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showInkAnnotation="0" codeName="ThisWorkbook" defaultThemeVersion="124226"/>
  <mc:AlternateContent xmlns:mc="http://schemas.openxmlformats.org/markup-compatibility/2006">
    <mc:Choice Requires="x15">
      <x15ac:absPath xmlns:x15ac="http://schemas.microsoft.com/office/spreadsheetml/2010/11/ac" url="D:\Dropbox (JEMCOR Partners)\JEMCOR - SCALED\Current Projects\Village at Madrone - Morgan Hill - 249u\Finance and Lending\CDLAC - TCAC\TCAC\"/>
    </mc:Choice>
  </mc:AlternateContent>
  <xr:revisionPtr revIDLastSave="0" documentId="13_ncr:1_{B9069106-1687-4F6C-927F-91DD8EA83553}" xr6:coauthVersionLast="45" xr6:coauthVersionMax="45" xr10:uidLastSave="{00000000-0000-0000-0000-000000000000}"/>
  <bookViews>
    <workbookView xWindow="-120" yWindow="-120" windowWidth="38640" windowHeight="21240" tabRatio="905"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J1004" i="3" l="1"/>
  <c r="G99" i="4" l="1"/>
  <c r="E86" i="4"/>
  <c r="F30" i="4"/>
  <c r="S86" i="4"/>
  <c r="C86" i="4"/>
  <c r="AF637" i="3" l="1"/>
  <c r="E30" i="4"/>
  <c r="E37" i="4"/>
  <c r="E35" i="4"/>
  <c r="E32" i="4"/>
  <c r="E33" i="4"/>
  <c r="E31" i="4"/>
  <c r="E29" i="4"/>
  <c r="E85" i="4"/>
  <c r="E53" i="4"/>
  <c r="E51" i="4"/>
  <c r="E50" i="4"/>
  <c r="E49" i="4"/>
  <c r="E47" i="4"/>
  <c r="E46" i="4"/>
  <c r="E65" i="4"/>
  <c r="E75" i="4"/>
  <c r="E80" i="4"/>
  <c r="E79" i="4"/>
  <c r="E94" i="4"/>
  <c r="E93" i="4"/>
  <c r="E91" i="4"/>
  <c r="E89" i="4"/>
  <c r="E88" i="4"/>
  <c r="E83" i="4"/>
  <c r="F45" i="4"/>
  <c r="F43" i="4"/>
  <c r="F41" i="4"/>
  <c r="F40" i="4"/>
  <c r="F13" i="4"/>
  <c r="F5" i="4"/>
  <c r="F4" i="4"/>
  <c r="AO639" i="3"/>
  <c r="AA915" i="3"/>
  <c r="W851" i="3"/>
  <c r="W867" i="3"/>
  <c r="W847" i="3"/>
  <c r="W840" i="3"/>
  <c r="W852" i="3"/>
  <c r="W850" i="3"/>
  <c r="G665" i="3"/>
  <c r="G663" i="3"/>
  <c r="G664" i="3"/>
  <c r="G662" i="3"/>
  <c r="Z655" i="3"/>
  <c r="Z656" i="3"/>
  <c r="Z654" i="3"/>
  <c r="G657" i="3"/>
  <c r="G655" i="3"/>
  <c r="G656" i="3"/>
  <c r="G654" i="3"/>
  <c r="G607" i="3"/>
  <c r="G605" i="3"/>
  <c r="G606" i="3"/>
  <c r="G604" i="3"/>
  <c r="AA583" i="3"/>
  <c r="Z582" i="3"/>
  <c r="Z580" i="3"/>
  <c r="Z581" i="3"/>
  <c r="Z579" i="3"/>
  <c r="AA600" i="3"/>
  <c r="Z599" i="3"/>
  <c r="Z597" i="3"/>
  <c r="Z598" i="3"/>
  <c r="Z596" i="3"/>
  <c r="H600" i="3"/>
  <c r="G599" i="3"/>
  <c r="G598" i="3"/>
  <c r="G597" i="3"/>
  <c r="G596" i="3"/>
  <c r="AH507" i="3"/>
  <c r="AG447" i="3"/>
  <c r="H316" i="3"/>
  <c r="H315" i="3"/>
  <c r="H314" i="3"/>
  <c r="H312" i="3"/>
  <c r="H313" i="3"/>
  <c r="H311" i="3"/>
  <c r="H310" i="3"/>
  <c r="AA297" i="3"/>
  <c r="AA296" i="3"/>
  <c r="AA295" i="3"/>
  <c r="H292" i="3" l="1"/>
  <c r="H290" i="3"/>
  <c r="H289" i="3"/>
  <c r="H287" i="3"/>
  <c r="H286" i="3"/>
  <c r="S99" i="4" l="1"/>
  <c r="S93" i="4"/>
  <c r="S91" i="4"/>
  <c r="S89" i="4"/>
  <c r="S85" i="4"/>
  <c r="S80" i="4"/>
  <c r="S79" i="4"/>
  <c r="S65" i="4"/>
  <c r="S53" i="4"/>
  <c r="S51" i="4"/>
  <c r="S50" i="4"/>
  <c r="S47" i="4"/>
  <c r="S46" i="4"/>
  <c r="S43" i="4"/>
  <c r="S41" i="4"/>
  <c r="S40" i="4"/>
  <c r="S30" i="4"/>
  <c r="S31" i="4"/>
  <c r="S32" i="4"/>
  <c r="S33" i="4"/>
  <c r="S34" i="4"/>
  <c r="S35" i="4"/>
  <c r="S36" i="4"/>
  <c r="S37" i="4"/>
  <c r="S29" i="4"/>
  <c r="C51" i="4"/>
  <c r="C50" i="4"/>
  <c r="C65" i="4"/>
  <c r="S13" i="4"/>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6" i="7"/>
  <c r="K56" i="7" s="1"/>
  <c r="M56" i="7" s="1"/>
  <c r="O56" i="7" s="1"/>
  <c r="Q56" i="7" s="1"/>
  <c r="S56" i="7" s="1"/>
  <c r="U56" i="7" s="1"/>
  <c r="W56" i="7" s="1"/>
  <c r="Y56" i="7" s="1"/>
  <c r="AA56" i="7" s="1"/>
  <c r="AC56" i="7" s="1"/>
  <c r="AE56" i="7" s="1"/>
  <c r="AG56" i="7" s="1"/>
  <c r="I52" i="7"/>
  <c r="K52" i="7" s="1"/>
  <c r="M52" i="7" s="1"/>
  <c r="O52" i="7" s="1"/>
  <c r="Q52" i="7" s="1"/>
  <c r="S52" i="7" s="1"/>
  <c r="U52" i="7" s="1"/>
  <c r="W52" i="7" s="1"/>
  <c r="Y52" i="7" s="1"/>
  <c r="AA52" i="7" s="1"/>
  <c r="AC52" i="7" s="1"/>
  <c r="AE52" i="7" s="1"/>
  <c r="AG52"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2" i="7"/>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Y28" i="7" l="1"/>
  <c r="I28" i="7"/>
  <c r="W28" i="7"/>
  <c r="G28" i="7"/>
  <c r="U28" i="7"/>
  <c r="S28" i="7"/>
  <c r="AG28" i="7"/>
  <c r="Q28" i="7"/>
  <c r="AE28" i="7"/>
  <c r="O28" i="7"/>
  <c r="AC28" i="7"/>
  <c r="M28" i="7"/>
  <c r="AA28" i="7"/>
  <c r="K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H704" i="3"/>
  <c r="BH711" i="3"/>
  <c r="BH723" i="3"/>
  <c r="BH712" i="3"/>
  <c r="BH715" i="3"/>
  <c r="BH727" i="3"/>
  <c r="BI727" i="3" s="1"/>
  <c r="BH708" i="3"/>
  <c r="BH724" i="3"/>
  <c r="BI724" i="3" s="1"/>
  <c r="BH707" i="3"/>
  <c r="BH719" i="3"/>
  <c r="BH716" i="3"/>
  <c r="BH710" i="3"/>
  <c r="BH713" i="3"/>
  <c r="BH726" i="3"/>
  <c r="BI726" i="3" s="1"/>
  <c r="BH706" i="3"/>
  <c r="BH722" i="3"/>
  <c r="BH709" i="3"/>
  <c r="BH721" i="3"/>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BI712" i="3" s="1"/>
  <c r="AC738" i="3"/>
  <c r="AM738" i="3"/>
  <c r="BI713" i="3" s="1"/>
  <c r="AC739" i="3"/>
  <c r="AM739" i="3"/>
  <c r="BI714" i="3" s="1"/>
  <c r="AC740" i="3"/>
  <c r="AM740" i="3"/>
  <c r="BI715" i="3" s="1"/>
  <c r="AC741" i="3"/>
  <c r="AM741" i="3"/>
  <c r="BI716" i="3" s="1"/>
  <c r="AC742" i="3"/>
  <c r="AM742" i="3"/>
  <c r="BI717" i="3" s="1"/>
  <c r="AC743" i="3"/>
  <c r="AM743" i="3"/>
  <c r="BI718" i="3" s="1"/>
  <c r="AC744" i="3"/>
  <c r="AM744" i="3"/>
  <c r="BI719" i="3" s="1"/>
  <c r="AC745" i="3"/>
  <c r="AM745" i="3"/>
  <c r="BI720" i="3" s="1"/>
  <c r="AC746" i="3"/>
  <c r="AM746" i="3"/>
  <c r="BI721" i="3" s="1"/>
  <c r="AC747" i="3"/>
  <c r="AM747" i="3"/>
  <c r="BI722" i="3" s="1"/>
  <c r="AC748" i="3"/>
  <c r="AM748" i="3"/>
  <c r="BI723" i="3" s="1"/>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B54" i="4" l="1"/>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AD1037" i="3" l="1"/>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J1028" i="3" l="1"/>
  <c r="AP768" i="20" s="1"/>
  <c r="AJ1024" i="3"/>
  <c r="AP767" i="20"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Y61" i="7" s="1"/>
  <c r="W65" i="7"/>
  <c r="W66" i="7"/>
  <c r="AA48" i="7"/>
  <c r="AA44" i="7"/>
  <c r="AE5" i="7"/>
  <c r="AG4" i="7"/>
  <c r="Y47" i="7"/>
  <c r="Y46" i="7"/>
  <c r="Y59" i="7"/>
  <c r="AC7" i="7"/>
  <c r="AC10" i="7" s="1"/>
  <c r="AC36" i="7" s="1"/>
  <c r="AE6" i="7"/>
  <c r="Y66" i="7" l="1"/>
  <c r="Y65" i="7"/>
  <c r="W69" i="7"/>
  <c r="W71" i="7" s="1"/>
  <c r="AE7" i="7"/>
  <c r="AE10" i="7" s="1"/>
  <c r="AE36" i="7" s="1"/>
  <c r="AG6" i="7"/>
  <c r="AG7" i="7" s="1"/>
  <c r="AC44" i="7"/>
  <c r="AC48" i="7"/>
  <c r="AG5" i="7"/>
  <c r="AA46" i="7"/>
  <c r="AA47" i="7"/>
  <c r="AA59" i="7"/>
  <c r="Y69" i="7" l="1"/>
  <c r="Y71" i="7" s="1"/>
  <c r="AA66" i="7"/>
  <c r="AA65" i="7"/>
  <c r="AG10" i="7"/>
  <c r="AG36" i="7" s="1"/>
  <c r="AG48" i="7" s="1"/>
  <c r="AE48" i="7"/>
  <c r="AE44" i="7"/>
  <c r="AC46" i="7"/>
  <c r="AC59" i="7"/>
  <c r="AC47" i="7"/>
  <c r="AA69" i="7" l="1"/>
  <c r="AA71" i="7" s="1"/>
  <c r="AC66" i="7"/>
  <c r="AC65" i="7"/>
  <c r="AG44" i="7"/>
  <c r="AG46" i="7" s="1"/>
  <c r="AE59" i="7"/>
  <c r="AE46" i="7"/>
  <c r="AE47" i="7"/>
  <c r="AC69" i="7" l="1"/>
  <c r="AC71" i="7" s="1"/>
  <c r="AE66" i="7"/>
  <c r="AE65" i="7"/>
  <c r="AG59" i="7"/>
  <c r="AG47" i="7"/>
  <c r="AE69" i="7" l="1"/>
  <c r="AE71" i="7" s="1"/>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<sst xmlns="http://schemas.openxmlformats.org/spreadsheetml/2006/main" count="5008" uniqueCount="2627">
  <si>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</si>
  <si>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</si>
  <si>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</si>
  <si>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</si>
  <si>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</si>
  <si>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</si>
  <si>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</si>
  <si>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</si>
  <si>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</si>
  <si>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</si>
  <si>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</si>
  <si>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</si>
  <si>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</si>
  <si>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</si>
  <si>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</si>
  <si>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</si>
  <si>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</si>
  <si>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</si>
  <si>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</si>
  <si>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</si>
  <si>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</si>
  <si>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</si>
  <si>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</si>
  <si>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</si>
  <si>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</si>
  <si>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</si>
  <si>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</si>
  <si>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</si>
  <si>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</si>
  <si>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</si>
  <si>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</si>
  <si>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</si>
  <si>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</si>
  <si>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</si>
  <si>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</si>
  <si>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</si>
  <si>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</si>
  <si>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</si>
  <si>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</si>
  <si>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</si>
  <si>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</si>
  <si>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</si>
  <si>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</si>
  <si>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</si>
  <si>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</si>
  <si>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</si>
  <si>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</si>
  <si>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</si>
  <si>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</si>
  <si>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</si>
  <si>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</si>
  <si>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</si>
  <si>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</si>
  <si>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</si>
  <si>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</si>
  <si>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</si>
  <si>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</si>
  <si>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</si>
  <si>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</si>
  <si>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</si>
  <si>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</si>
  <si>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</si>
  <si>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</si>
  <si>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</si>
  <si>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</si>
  <si>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</si>
  <si>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</si>
  <si>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</si>
  <si>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</si>
  <si>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</si>
  <si>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</si>
  <si>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</si>
  <si>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</si>
  <si>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</si>
  <si>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</si>
  <si>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</si>
  <si>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</si>
  <si>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</si>
  <si>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</si>
  <si>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</si>
  <si>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</si>
  <si>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</si>
  <si>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</si>
  <si>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</si>
  <si>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</si>
  <si>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</si>
  <si>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</si>
  <si>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</si>
  <si>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</si>
  <si>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</si>
  <si>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</si>
  <si>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</si>
  <si>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</si>
  <si>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</si>
  <si>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</si>
  <si>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</si>
  <si>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</si>
  <si>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</si>
  <si>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</si>
  <si>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</si>
  <si>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</si>
  <si>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</si>
  <si>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</si>
  <si>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</si>
  <si>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</si>
  <si>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</si>
  <si>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</si>
  <si>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</si>
  <si>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</si>
  <si>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</si>
  <si>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</si>
  <si>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</si>
  <si>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</si>
  <si>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</si>
  <si>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</si>
  <si>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</si>
  <si>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</si>
  <si>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</si>
  <si>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</si>
  <si>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</si>
  <si>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</si>
  <si>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</si>
  <si>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</si>
  <si>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</si>
  <si>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</si>
  <si>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</si>
  <si>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</si>
  <si>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</si>
  <si>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</si>
  <si>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</si>
  <si>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</si>
  <si>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</si>
  <si>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</si>
  <si>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</si>
  <si>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</si>
  <si>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</si>
  <si>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</si>
  <si>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</si>
  <si>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</si>
  <si>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</si>
  <si>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</si>
  <si>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</si>
  <si>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</si>
  <si>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</si>
  <si>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</si>
  <si>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</si>
  <si>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</si>
  <si>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</si>
  <si>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</si>
  <si>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</si>
  <si>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</si>
  <si>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</si>
  <si>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</si>
  <si>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</si>
  <si>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</si>
  <si>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</si>
  <si>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</si>
  <si>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</si>
  <si>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</si>
  <si>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</si>
  <si>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</si>
  <si>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</si>
  <si>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</si>
  <si>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</si>
  <si>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</si>
  <si>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</si>
  <si>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</si>
  <si>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</si>
  <si>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</si>
  <si>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</si>
  <si>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</si>
  <si>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</si>
  <si>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</si>
  <si>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</si>
  <si>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</si>
  <si>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</si>
  <si>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</si>
  <si>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</si>
  <si>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</si>
  <si>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</si>
  <si>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</si>
  <si>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</si>
  <si>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</si>
  <si>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</si>
  <si>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</si>
  <si>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</si>
  <si>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</si>
  <si>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</si>
  <si>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</si>
  <si>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</si>
  <si>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</si>
  <si>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</si>
  <si>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</si>
  <si>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</si>
  <si>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</si>
  <si>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</si>
  <si>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</si>
  <si>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</si>
  <si>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</si>
  <si>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</si>
  <si>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</si>
  <si>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</si>
  <si>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</si>
  <si>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</si>
  <si>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</si>
  <si>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</si>
  <si>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</si>
  <si>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</si>
  <si>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</si>
  <si>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</si>
  <si>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</si>
  <si>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</si>
  <si>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</si>
  <si>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</si>
  <si>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</si>
  <si>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</si>
  <si>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</si>
  <si>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</si>
  <si>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</si>
  <si>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</si>
  <si>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</si>
  <si>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</si>
  <si>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</si>
  <si>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</si>
  <si>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</si>
  <si>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</si>
  <si>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</si>
  <si>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</si>
  <si>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</si>
  <si>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</si>
  <si>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</si>
  <si>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</si>
  <si>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</si>
  <si>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</si>
  <si>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</si>
  <si>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</si>
  <si>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</si>
  <si>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</si>
  <si>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</si>
  <si>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</si>
  <si>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</si>
  <si>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</si>
  <si>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</si>
  <si>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</si>
  <si>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</si>
  <si>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</si>
  <si>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</si>
  <si>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</si>
  <si>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</si>
  <si>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</si>
  <si>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</si>
  <si>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</si>
  <si>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</si>
  <si>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</si>
  <si>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</si>
  <si>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</si>
  <si>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</si>
  <si>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</si>
  <si>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</si>
  <si>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</si>
  <si>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</si>
  <si>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</si>
  <si>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</si>
  <si>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</si>
  <si>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</si>
  <si>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</si>
  <si>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</si>
  <si>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</si>
  <si>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</si>
  <si>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</si>
  <si>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</si>
  <si>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</si>
  <si>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</si>
  <si>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</si>
  <si>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</si>
  <si>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</si>
  <si>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</si>
  <si>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</si>
  <si>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</si>
  <si>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</si>
  <si>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</si>
  <si>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</si>
  <si>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</si>
  <si>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</si>
  <si>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</si>
  <si>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</si>
  <si>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</si>
  <si>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</si>
  <si>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</si>
  <si>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</si>
  <si>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</si>
  <si>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</si>
  <si>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</si>
  <si>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</si>
  <si>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</si>
  <si>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</si>
  <si>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</si>
  <si>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</si>
  <si>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</si>
  <si>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</si>
  <si>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</si>
  <si>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</si>
  <si>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</si>
  <si>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</si>
  <si>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</si>
  <si>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</si>
  <si>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</si>
  <si>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</si>
  <si>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</si>
  <si>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</si>
  <si>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</si>
  <si>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</si>
  <si>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</si>
  <si>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</si>
  <si>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</si>
  <si>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</si>
  <si>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</si>
  <si>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</si>
  <si>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</si>
  <si>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</si>
  <si>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</si>
  <si>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</si>
  <si>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</si>
  <si>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</si>
  <si>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</si>
  <si>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</si>
  <si>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</si>
  <si>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</si>
  <si>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</si>
  <si>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</si>
  <si>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</si>
  <si>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</si>
  <si>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</si>
  <si>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</si>
  <si>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</si>
  <si>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</si>
  <si>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</si>
  <si>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</si>
  <si>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</si>
  <si>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</si>
  <si>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</si>
  <si>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</si>
  <si>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</si>
  <si>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</si>
  <si>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</si>
  <si>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</si>
  <si>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</si>
  <si>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</si>
  <si>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</si>
  <si>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</si>
  <si>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</si>
  <si>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</si>
  <si>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</si>
  <si>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</si>
  <si>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</si>
  <si>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</si>
  <si>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</si>
  <si>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</si>
  <si>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</si>
  <si>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</si>
  <si>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</si>
  <si>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</si>
  <si>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</si>
  <si>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</si>
  <si>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</si>
  <si>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</si>
  <si>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</si>
  <si>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</si>
  <si>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</si>
  <si>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</si>
  <si>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</si>
  <si>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</si>
  <si>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</si>
  <si>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</si>
  <si>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</si>
  <si>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</si>
  <si>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</si>
  <si>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</si>
  <si>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</si>
  <si>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</si>
  <si>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</si>
  <si>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</si>
  <si>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</si>
  <si>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</si>
  <si>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</si>
  <si>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</si>
  <si>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</si>
  <si>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</si>
  <si>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</si>
  <si>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</si>
  <si>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</si>
  <si>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</si>
  <si>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</si>
  <si>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</si>
  <si>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</si>
  <si>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</si>
  <si>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</si>
  <si>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</si>
  <si>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</si>
  <si>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</si>
  <si>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</si>
  <si>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</si>
  <si>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</si>
  <si>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</si>
  <si>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</si>
  <si>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</si>
  <si>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</si>
  <si>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</si>
  <si>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</si>
  <si>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</si>
  <si>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</si>
  <si>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</si>
  <si>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</si>
  <si>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</si>
  <si>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</si>
  <si>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</si>
  <si>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</si>
  <si>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</si>
  <si>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</si>
  <si>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</si>
  <si>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</si>
  <si>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</si>
  <si>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</si>
  <si>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</si>
  <si>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</si>
  <si>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</si>
  <si>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</si>
  <si>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</si>
  <si>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</si>
  <si>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</si>
  <si>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</si>
  <si>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</si>
  <si>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</si>
  <si>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</si>
  <si>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</si>
  <si>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</si>
  <si>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</si>
  <si>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</si>
  <si>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</si>
  <si>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</si>
  <si>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</si>
  <si>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</si>
  <si>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</si>
  <si>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</si>
  <si>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</si>
  <si>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</si>
  <si>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</si>
  <si>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</si>
  <si>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</si>
  <si>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</si>
  <si>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</si>
  <si>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</si>
  <si>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</si>
  <si>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</si>
  <si>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</si>
  <si>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</si>
  <si>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</si>
  <si>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</si>
  <si>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</si>
  <si>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</si>
  <si>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</si>
  <si>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</si>
  <si>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</si>
  <si>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</si>
  <si>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</si>
  <si>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</si>
  <si>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</si>
  <si>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</si>
  <si>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</si>
  <si>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</si>
  <si>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</si>
  <si>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</si>
  <si>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</si>
  <si>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</si>
  <si>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</si>
  <si>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</si>
  <si>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</si>
  <si>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</si>
  <si>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</si>
  <si>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</si>
  <si>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</si>
  <si>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</si>
  <si>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</si>
  <si>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</si>
  <si>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</si>
  <si>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</si>
  <si>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</si>
  <si>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</si>
  <si>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</si>
  <si>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</si>
  <si>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</si>
  <si>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</si>
  <si>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</si>
  <si>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</si>
  <si>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</si>
  <si>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</si>
  <si>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</si>
  <si>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</si>
  <si>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</si>
  <si>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</si>
  <si>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</si>
  <si>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</si>
  <si>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</si>
  <si>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</si>
  <si>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</si>
  <si>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</si>
  <si>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</si>
  <si>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</si>
  <si>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</si>
  <si>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</si>
  <si>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</si>
  <si>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</si>
  <si>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</si>
  <si>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</si>
  <si>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</si>
  <si>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</si>
  <si>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</si>
  <si>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</si>
  <si>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</si>
  <si>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</si>
  <si>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</si>
  <si>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</si>
  <si>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</si>
  <si>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</si>
  <si>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</si>
  <si>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</si>
  <si>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</si>
  <si>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</si>
  <si>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</si>
  <si>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</si>
  <si>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</si>
  <si>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</si>
  <si>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</si>
  <si>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</si>
  <si>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</si>
  <si>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</si>
  <si>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</si>
  <si>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</si>
  <si>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</si>
  <si>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</si>
  <si>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</si>
  <si>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</si>
  <si>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</si>
  <si>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</si>
  <si>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</si>
  <si>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</si>
  <si>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</si>
  <si>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</si>
  <si>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</si>
  <si>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</si>
  <si>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</si>
  <si>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</si>
  <si>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</si>
  <si>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</si>
  <si>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</si>
  <si>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</si>
  <si>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</si>
  <si>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</si>
  <si>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</si>
  <si>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</si>
  <si>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</si>
  <si>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</si>
  <si>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</si>
  <si>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</si>
  <si>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</si>
  <si>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</si>
  <si>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</si>
  <si>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</si>
  <si>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</si>
  <si>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</si>
  <si>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</si>
  <si>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</si>
  <si>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</si>
  <si>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</si>
  <si>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</si>
  <si>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</si>
  <si>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</si>
  <si>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</si>
  <si>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</si>
  <si>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</si>
  <si>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</si>
  <si>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</si>
  <si>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</si>
  <si>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</si>
  <si>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</si>
  <si>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</si>
  <si>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</si>
  <si>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</si>
  <si>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</si>
  <si>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</si>
  <si>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</si>
  <si>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</si>
  <si>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</si>
  <si>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</si>
  <si>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</si>
  <si>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</si>
  <si>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</si>
  <si>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</si>
  <si>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</si>
  <si>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</si>
  <si>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</si>
  <si>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</si>
  <si>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</si>
  <si>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</si>
  <si>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</si>
  <si>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</si>
  <si>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</si>
  <si>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</si>
  <si>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</si>
  <si>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</si>
  <si>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</si>
  <si>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</si>
  <si>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</si>
  <si>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</si>
  <si>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</si>
  <si>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</si>
  <si>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</si>
  <si>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</si>
  <si>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</si>
  <si>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</si>
  <si>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</si>
  <si>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</si>
  <si>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</si>
  <si>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</si>
  <si>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</si>
  <si>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</si>
  <si>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</si>
  <si>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</si>
  <si>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</si>
  <si>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</si>
  <si>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</si>
  <si>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</si>
  <si>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</si>
  <si>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</si>
  <si>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</si>
  <si>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</si>
  <si>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</si>
  <si>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</si>
  <si>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</si>
  <si>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</si>
  <si>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</si>
  <si>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</si>
  <si>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</si>
  <si>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</si>
  <si>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</si>
  <si>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</si>
  <si>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</si>
  <si>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</si>
  <si>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</si>
  <si>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</si>
  <si>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</si>
  <si>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</si>
  <si>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</si>
  <si>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</si>
  <si>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</si>
  <si>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</si>
  <si>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</si>
  <si>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</si>
  <si>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</si>
  <si>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</si>
  <si>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</si>
  <si>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</si>
  <si>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</si>
  <si>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</si>
  <si>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</si>
  <si>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</si>
  <si>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</si>
  <si>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</si>
  <si>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</si>
  <si>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</si>
  <si>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</si>
  <si>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</si>
  <si>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</si>
  <si>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</si>
  <si>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</si>
  <si>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</si>
  <si>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</si>
  <si>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</si>
  <si>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</si>
  <si>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</si>
  <si>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</si>
  <si>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</si>
  <si>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</si>
  <si>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</si>
  <si>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</si>
  <si>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</si>
  <si>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</si>
  <si>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</si>
  <si>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</si>
  <si>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</si>
  <si>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</si>
  <si>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</si>
  <si>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</si>
  <si>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</si>
  <si>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</si>
  <si>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</si>
  <si>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</si>
  <si>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</si>
  <si>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</si>
  <si>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</si>
  <si>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</si>
  <si>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</si>
  <si>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</si>
  <si>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</si>
  <si>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</si>
  <si>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</si>
  <si>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</si>
  <si>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</si>
  <si>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</si>
  <si>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</si>
  <si>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</si>
  <si>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</si>
  <si>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</si>
  <si>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</si>
  <si>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</si>
  <si>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</si>
  <si>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</si>
  <si>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</si>
  <si>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</si>
  <si>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</si>
  <si>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</si>
  <si>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</si>
  <si>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</si>
  <si>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</si>
  <si>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</si>
  <si>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</si>
  <si>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</si>
  <si>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</si>
  <si>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</si>
  <si>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</si>
  <si>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</si>
  <si>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</si>
  <si>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</si>
  <si>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</si>
  <si>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</si>
  <si>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</si>
  <si>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</si>
  <si>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</si>
  <si>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</si>
  <si>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</si>
  <si>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</si>
  <si>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</si>
  <si>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</si>
  <si>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</si>
  <si>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</si>
  <si>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</si>
  <si>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</si>
  <si>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</si>
  <si>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</si>
  <si>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</si>
  <si>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</si>
  <si>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</si>
  <si>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</si>
  <si>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</si>
  <si>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</si>
  <si>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</si>
  <si>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</si>
  <si>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</si>
  <si>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</si>
  <si>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</si>
  <si>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</si>
  <si>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</si>
  <si>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</si>
  <si>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</si>
  <si>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</si>
  <si>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</si>
  <si>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</si>
  <si>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</si>
  <si>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</si>
  <si>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</si>
  <si>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</si>
  <si>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</si>
  <si>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</si>
  <si>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</si>
  <si>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</si>
  <si>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</si>
  <si>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</si>
  <si>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</si>
  <si>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</si>
  <si>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</si>
  <si>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</si>
  <si>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</si>
  <si>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</si>
  <si>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</si>
  <si>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</si>
  <si>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</si>
  <si>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</si>
  <si>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</si>
  <si>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</si>
  <si>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</si>
  <si>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</si>
  <si>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</si>
  <si>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</si>
  <si>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</si>
  <si>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</si>
  <si>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</si>
  <si>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</si>
  <si>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</si>
  <si>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</si>
  <si>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</si>
  <si>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</si>
  <si>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</si>
  <si>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</si>
  <si>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</si>
  <si>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</si>
  <si>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</si>
  <si>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</si>
  <si>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</si>
  <si>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</si>
  <si>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</si>
  <si>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</si>
  <si>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</si>
  <si>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</si>
  <si>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</si>
  <si>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</si>
  <si>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</si>
  <si>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</si>
  <si>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</si>
  <si>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</si>
  <si>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</si>
  <si>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</si>
  <si>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</si>
  <si>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</si>
  <si>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</si>
  <si>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</si>
  <si>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</si>
  <si>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</si>
  <si>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</si>
  <si>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</si>
  <si>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</si>
  <si>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</si>
  <si>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</si>
  <si>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</si>
  <si>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</si>
  <si>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</si>
  <si>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</si>
  <si>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</si>
  <si>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</si>
  <si>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</si>
  <si>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</si>
  <si>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</si>
  <si>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</si>
  <si>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</si>
  <si>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</si>
  <si>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</si>
  <si>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</si>
  <si>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</si>
  <si>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</si>
  <si>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</si>
  <si>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</si>
  <si>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</si>
  <si>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</si>
  <si>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</si>
  <si>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</si>
  <si>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</si>
  <si>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</si>
  <si>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</si>
  <si>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</si>
  <si>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</si>
  <si>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</si>
  <si>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</si>
  <si>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</si>
  <si>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</si>
  <si>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</si>
  <si>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</si>
  <si>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</si>
  <si>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</si>
  <si>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</si>
  <si>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</si>
  <si>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</si>
  <si>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</si>
  <si>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</si>
  <si>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</si>
  <si>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</si>
  <si>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</si>
  <si>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</si>
  <si>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</si>
  <si>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</si>
  <si>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</si>
  <si>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</si>
  <si>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</si>
  <si>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</si>
  <si>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</si>
  <si>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</si>
  <si>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</si>
  <si>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</si>
  <si>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</si>
  <si>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</si>
  <si>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</si>
  <si>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</si>
  <si>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</si>
  <si>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</si>
  <si>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</si>
  <si>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</si>
  <si>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</si>
  <si>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</si>
  <si>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</si>
  <si>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</si>
  <si>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</si>
  <si>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</si>
  <si>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</si>
  <si>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</si>
  <si>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</si>
  <si>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</si>
  <si>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</si>
  <si>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</si>
  <si>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</si>
  <si>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</si>
  <si>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</si>
  <si>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</si>
  <si>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</si>
  <si>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</si>
  <si>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</si>
  <si>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</si>
  <si>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</si>
  <si>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</si>
  <si>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</si>
  <si>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</si>
  <si>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</si>
  <si>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</si>
  <si>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</si>
  <si>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</si>
  <si>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</si>
  <si>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</si>
  <si>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</si>
  <si>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</si>
  <si>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</si>
  <si>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</si>
  <si>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</si>
  <si>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</si>
  <si>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</si>
  <si>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</si>
  <si>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</si>
  <si>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</si>
  <si>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</si>
  <si>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</si>
  <si>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</si>
  <si>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</si>
  <si>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</si>
  <si>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</si>
  <si>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</si>
  <si>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</si>
  <si>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</si>
  <si>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</si>
  <si>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</si>
  <si>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</si>
  <si>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</si>
  <si>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</si>
  <si>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</si>
  <si>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</si>
  <si>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</si>
  <si>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</si>
  <si>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</si>
  <si>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</si>
  <si>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</si>
  <si>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</si>
  <si>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</si>
  <si>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</si>
  <si>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</si>
  <si>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</si>
  <si>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</si>
  <si>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</si>
  <si>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</si>
  <si>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</si>
  <si>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</si>
  <si>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</si>
  <si>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</si>
  <si>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</si>
  <si>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</si>
  <si>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</si>
  <si>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</si>
  <si>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</si>
  <si>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</si>
  <si>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</si>
  <si>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</si>
  <si>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</si>
  <si>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</si>
  <si>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</si>
  <si>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</si>
  <si>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</si>
  <si>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</si>
  <si>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</si>
  <si>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</si>
  <si>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</si>
  <si>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</si>
  <si>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</si>
  <si>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</si>
  <si>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</si>
  <si>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</si>
  <si>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</si>
  <si>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</si>
  <si>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</si>
  <si>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</si>
  <si>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</si>
  <si>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</si>
  <si>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</si>
  <si>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</si>
  <si>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</si>
  <si>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</si>
  <si>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</si>
  <si>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</si>
  <si>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</si>
  <si>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</si>
  <si>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</si>
  <si>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</si>
  <si>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</si>
  <si>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</si>
  <si>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</si>
  <si>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</si>
  <si>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</si>
  <si>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</si>
  <si>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</si>
  <si>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</si>
  <si>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</si>
  <si>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</si>
  <si>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</si>
  <si>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</si>
  <si>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</si>
  <si>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</si>
  <si>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</si>
  <si>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</si>
  <si>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</si>
  <si>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</si>
  <si>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</si>
  <si>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</si>
  <si>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</si>
  <si>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</si>
  <si>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</si>
  <si>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</si>
  <si>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</si>
  <si>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</si>
  <si>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</si>
  <si>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</si>
  <si>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</si>
  <si>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</si>
  <si>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</si>
  <si>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</si>
  <si>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</si>
  <si>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</si>
  <si>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</si>
  <si>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</si>
  <si>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</si>
  <si>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</si>
  <si>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</si>
  <si>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</si>
  <si>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</si>
  <si>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</si>
  <si>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</si>
  <si>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</si>
  <si>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</si>
  <si>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</si>
  <si>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</si>
  <si>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</si>
  <si>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</si>
  <si>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</si>
  <si>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</si>
  <si>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</si>
  <si>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</si>
  <si>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</si>
  <si>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</si>
  <si>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</si>
  <si>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</si>
  <si>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</si>
  <si>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</si>
  <si>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</si>
  <si>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</si>
  <si>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</si>
  <si>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</si>
  <si>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</si>
  <si>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</si>
  <si>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</si>
  <si>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</si>
  <si>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</si>
  <si>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</si>
  <si>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</si>
  <si>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</si>
  <si>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</si>
  <si>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</si>
  <si>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</si>
  <si>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</si>
  <si>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</si>
  <si>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</si>
  <si>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</si>
  <si>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</si>
  <si>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</si>
  <si>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</si>
  <si>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</si>
  <si>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</si>
  <si>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</si>
  <si>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</si>
  <si>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</si>
  <si>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</si>
  <si>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</si>
  <si>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</si>
  <si>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</si>
  <si>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</si>
  <si>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</si>
  <si>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</si>
  <si>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</si>
  <si>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</si>
  <si>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</si>
  <si>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</si>
  <si>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</si>
  <si>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</si>
  <si>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</si>
  <si>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</si>
  <si>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</si>
  <si>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</si>
  <si>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</si>
  <si>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</si>
  <si>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</si>
  <si>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</si>
  <si>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</si>
  <si>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</si>
  <si>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</si>
  <si>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</si>
  <si>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</si>
  <si>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</si>
  <si>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</si>
  <si>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</si>
  <si>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</si>
  <si>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</si>
  <si>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</si>
  <si>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</si>
  <si>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</si>
  <si>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</si>
  <si>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</si>
  <si>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</si>
  <si>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</si>
  <si>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</si>
  <si>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</si>
  <si>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</si>
  <si>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</si>
  <si>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</si>
  <si>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</si>
  <si>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</si>
  <si>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</si>
  <si>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</si>
  <si>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</si>
  <si>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</si>
  <si>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</si>
  <si>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</si>
  <si>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</si>
  <si>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</si>
  <si>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</si>
  <si>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</si>
  <si>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</si>
  <si>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</si>
  <si>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</si>
  <si>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</si>
  <si>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</si>
  <si>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</si>
  <si>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</si>
  <si>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</si>
  <si>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</si>
  <si>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</si>
  <si>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</si>
  <si>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</si>
  <si>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</si>
  <si>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</si>
  <si>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</si>
  <si>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</si>
  <si>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</si>
  <si>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</si>
  <si>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</si>
  <si>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</si>
  <si>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</si>
  <si>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</si>
  <si>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</si>
  <si>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</si>
  <si>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</si>
  <si>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</si>
  <si>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</si>
  <si>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</si>
  <si>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</si>
  <si>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</si>
  <si>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</si>
  <si>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</si>
  <si>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</si>
  <si>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</si>
  <si>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</si>
  <si>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</si>
  <si>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</si>
  <si>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</si>
  <si>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</si>
  <si>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</si>
  <si>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</si>
  <si>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</si>
  <si>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</si>
  <si>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</si>
  <si>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</si>
  <si>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</si>
  <si>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</si>
  <si>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</si>
  <si>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</si>
  <si>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</si>
  <si>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</si>
  <si>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</si>
  <si>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</si>
  <si>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</si>
  <si>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</si>
  <si>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</si>
  <si>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</si>
  <si>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</si>
  <si>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</si>
  <si>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</si>
  <si>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</si>
  <si>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</si>
  <si>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</si>
  <si>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</si>
  <si>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</si>
  <si>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</si>
  <si>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</si>
  <si>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</si>
  <si>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</si>
  <si>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</si>
  <si>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</si>
  <si>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</si>
  <si>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</si>
  <si>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</si>
  <si>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</si>
  <si>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</si>
  <si>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</si>
  <si>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</si>
  <si>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</si>
  <si>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</si>
  <si>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</si>
  <si>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</si>
  <si>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</si>
  <si>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</si>
  <si>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</si>
  <si>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</si>
  <si>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</si>
  <si>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</si>
  <si>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</si>
  <si>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</si>
  <si>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</si>
  <si>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</si>
  <si>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</si>
  <si>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</si>
  <si>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</si>
  <si>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</si>
  <si>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</si>
  <si>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</si>
  <si>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</si>
  <si>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</si>
  <si>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</si>
  <si>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</si>
  <si>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</si>
  <si>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</si>
  <si>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</si>
  <si>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</si>
  <si>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</si>
  <si>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</si>
  <si>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</si>
  <si>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</si>
  <si>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</si>
  <si>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</si>
  <si>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</si>
  <si>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</si>
  <si>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</si>
  <si>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</si>
  <si>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</si>
  <si>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</si>
  <si>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</si>
  <si>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</si>
  <si>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</si>
  <si>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</si>
  <si>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</si>
  <si>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</si>
  <si>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</si>
  <si>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</si>
  <si>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</si>
  <si>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</si>
  <si>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</si>
  <si>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</si>
  <si>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</si>
  <si>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</si>
  <si>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</si>
  <si>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</si>
  <si>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</si>
  <si>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</si>
  <si>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</si>
  <si>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</si>
  <si>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</si>
  <si>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</si>
  <si>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</si>
  <si>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</si>
  <si>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</si>
  <si>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</si>
  <si>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</si>
  <si>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</si>
  <si>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</si>
  <si>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</si>
  <si>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</si>
  <si>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</si>
  <si>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</si>
  <si>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</si>
  <si>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</si>
  <si>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</si>
  <si>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</si>
  <si>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</si>
  <si>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</si>
  <si>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</si>
  <si>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</si>
  <si>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</si>
  <si>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</si>
  <si>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</si>
  <si>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</si>
  <si>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</si>
  <si>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</si>
  <si>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</si>
  <si>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</si>
  <si>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</si>
  <si>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</si>
  <si>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</si>
  <si>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</si>
  <si>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</si>
  <si>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</si>
  <si>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</si>
  <si>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</si>
  <si>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</si>
  <si>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</si>
  <si>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</si>
  <si>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</si>
  <si>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</si>
  <si>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</si>
  <si>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</si>
  <si>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</si>
  <si>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</si>
  <si>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</si>
  <si>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</si>
  <si>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</si>
  <si>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</si>
  <si>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</si>
  <si>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</si>
  <si>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</si>
  <si>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</si>
  <si>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</si>
  <si>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</si>
  <si>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</si>
  <si>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</si>
  <si>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</si>
  <si>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</si>
  <si>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</si>
  <si>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</si>
  <si>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</si>
  <si>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</si>
  <si>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</si>
  <si>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</si>
  <si>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</si>
  <si>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</si>
  <si>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</si>
  <si>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</si>
  <si>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</si>
  <si>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</si>
  <si>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</si>
  <si>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</si>
  <si>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</si>
  <si>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</si>
  <si>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</si>
  <si>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</si>
  <si>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</si>
  <si>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</si>
  <si>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</si>
  <si>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</si>
  <si>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</si>
  <si>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</si>
  <si>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</si>
  <si>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</si>
  <si>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</si>
  <si>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</si>
  <si>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</si>
  <si>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</si>
  <si>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</si>
  <si>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</si>
  <si>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</si>
  <si>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</si>
  <si>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</si>
  <si>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</si>
  <si>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</si>
  <si>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</si>
  <si>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</si>
  <si>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</si>
  <si>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</si>
  <si>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</si>
  <si>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</si>
  <si>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</si>
  <si>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</si>
  <si>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</si>
  <si>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</si>
  <si>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</si>
  <si>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</si>
  <si>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</si>
  <si>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</si>
  <si>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</si>
  <si>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</si>
  <si>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</si>
  <si>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</si>
  <si>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</si>
  <si>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</si>
  <si>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</si>
  <si>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</si>
  <si>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</si>
  <si>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</si>
  <si>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</si>
  <si>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</si>
  <si>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</si>
  <si>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</si>
  <si>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</si>
  <si>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</si>
  <si>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</si>
  <si>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</si>
  <si>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</si>
  <si>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</si>
  <si>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</si>
  <si>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</si>
  <si>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</si>
  <si>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</si>
  <si>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</si>
  <si>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</si>
  <si>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</si>
  <si>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</si>
  <si>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</si>
  <si>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</si>
  <si>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</si>
  <si>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</si>
  <si>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</si>
  <si>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</si>
  <si>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</si>
  <si>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</si>
  <si>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</si>
  <si>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</si>
  <si>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</si>
  <si>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</si>
  <si>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</si>
  <si>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</si>
  <si>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</si>
  <si>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</si>
  <si>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</si>
  <si>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</si>
  <si>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</si>
  <si>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</si>
  <si>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</si>
  <si>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</si>
  <si>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</si>
  <si>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</si>
  <si>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</si>
  <si>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</si>
  <si>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</si>
  <si>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</si>
  <si>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</si>
  <si>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</si>
  <si>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</si>
  <si>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</si>
  <si>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</si>
  <si>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</si>
  <si>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</si>
  <si>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</si>
  <si>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</si>
  <si>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</si>
  <si>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</si>
  <si>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</si>
  <si>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</si>
  <si>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</si>
  <si>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</si>
  <si>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</si>
  <si>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</si>
  <si>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</si>
  <si>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</si>
  <si>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</si>
  <si>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</si>
  <si>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</si>
  <si>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</si>
  <si>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</si>
  <si>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</si>
  <si>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</si>
  <si>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</si>
  <si>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</si>
  <si>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</si>
  <si>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</si>
  <si>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</si>
  <si>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</si>
  <si>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</si>
  <si>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</si>
  <si>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</si>
  <si>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</si>
  <si>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</si>
  <si>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</si>
  <si>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</si>
  <si>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</si>
  <si>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</si>
  <si>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</si>
  <si>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</si>
  <si>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</si>
  <si>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</si>
  <si>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</si>
  <si>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</si>
  <si>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</si>
  <si>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</si>
  <si>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</si>
  <si>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</si>
  <si>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</si>
  <si>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</si>
  <si>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</si>
  <si>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</si>
  <si>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</si>
  <si>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</si>
  <si>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</si>
  <si>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</si>
  <si>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</si>
  <si>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</si>
  <si>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</si>
  <si>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</si>
  <si>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</si>
  <si>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</si>
  <si>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</si>
  <si>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</si>
  <si>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</si>
  <si>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</si>
  <si>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</si>
  <si>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</si>
  <si>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</si>
  <si>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</si>
  <si>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</si>
  <si>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</si>
  <si>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</si>
  <si>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</si>
  <si>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</si>
  <si>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</si>
  <si>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</si>
  <si>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</si>
  <si>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</si>
  <si>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</si>
  <si>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</si>
  <si>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</si>
  <si>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</si>
  <si>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</si>
  <si>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</si>
  <si>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</si>
  <si>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</si>
  <si>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</si>
  <si>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</si>
  <si>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</si>
  <si>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</si>
  <si>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</si>
  <si>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</si>
  <si>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</si>
  <si>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</si>
  <si>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</si>
  <si>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</si>
  <si>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</si>
  <si>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</si>
  <si>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</si>
  <si>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</si>
  <si>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</si>
  <si>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</si>
  <si>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</si>
  <si>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</si>
  <si>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</si>
  <si>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</si>
  <si>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</si>
  <si>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</si>
  <si>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</si>
  <si>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</si>
  <si>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</si>
  <si>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</si>
  <si>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</si>
  <si>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</si>
  <si>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</si>
  <si>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</si>
  <si>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</si>
  <si>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</si>
  <si>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</si>
  <si>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</si>
  <si>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</si>
  <si>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</si>
  <si>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</si>
  <si>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</si>
  <si>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</si>
  <si>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</si>
  <si>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</si>
  <si>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</si>
  <si>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</si>
  <si>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</si>
  <si>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</si>
  <si>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</si>
  <si>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</si>
  <si>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</si>
  <si>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</si>
  <si>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</si>
  <si>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</si>
  <si>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</si>
  <si>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</si>
  <si>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</si>
  <si>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</si>
  <si>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</si>
  <si>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</si>
  <si>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</si>
  <si>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</si>
  <si>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</si>
  <si>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</si>
  <si>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</si>
  <si>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</si>
  <si>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</si>
  <si>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</si>
  <si>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</si>
  <si>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</si>
  <si>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</si>
  <si>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</si>
  <si>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</si>
  <si>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</si>
  <si>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</si>
  <si>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</si>
  <si>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</si>
  <si>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</si>
  <si>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</si>
  <si>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</si>
  <si>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</si>
  <si>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</si>
  <si>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</si>
  <si>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</si>
  <si>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</si>
  <si>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</si>
  <si>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</si>
  <si>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</si>
  <si>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</si>
  <si>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</si>
  <si>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</si>
  <si>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</si>
  <si>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</si>
  <si>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</si>
  <si>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</si>
  <si>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</si>
  <si>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</si>
  <si>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</si>
  <si>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</si>
  <si>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</si>
  <si>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</si>
  <si>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</si>
  <si>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</si>
  <si>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</si>
  <si>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</si>
  <si>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</si>
  <si>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</si>
  <si>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</si>
  <si>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</si>
  <si>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</si>
  <si>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</si>
  <si>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</si>
  <si>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</si>
  <si>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</si>
  <si>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</si>
  <si>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</si>
  <si>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</si>
  <si>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</si>
  <si>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</si>
  <si>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</si>
  <si>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</si>
  <si>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</si>
  <si>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</si>
  <si>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</si>
  <si>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</si>
  <si>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</si>
  <si>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</si>
  <si>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</si>
  <si>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</si>
  <si>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</si>
  <si>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</si>
  <si>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</si>
  <si>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</si>
  <si>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</si>
  <si>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</si>
  <si>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</si>
  <si>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</si>
  <si>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</si>
  <si>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</si>
  <si>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</si>
  <si>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</si>
  <si>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</si>
  <si>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</si>
  <si>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</si>
  <si>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</si>
  <si>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</si>
  <si>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</si>
  <si>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</si>
  <si>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</si>
  <si>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</si>
  <si>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</si>
  <si>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</si>
  <si>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</si>
  <si>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</si>
  <si>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</si>
  <si>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</si>
  <si>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</si>
  <si>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</si>
  <si>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</si>
  <si>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</si>
  <si>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</si>
  <si>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</si>
  <si>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</si>
  <si>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</si>
  <si>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</si>
  <si>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</si>
  <si>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</si>
  <si>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</si>
  <si>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</si>
  <si>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</si>
  <si>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</si>
  <si>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</si>
  <si>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</si>
  <si>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</si>
  <si>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</si>
  <si>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</si>
  <si>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</si>
  <si>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</si>
  <si>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</si>
  <si>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</si>
  <si>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</si>
  <si>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</si>
  <si>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</si>
  <si>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</si>
  <si>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</si>
  <si>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</si>
  <si>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</si>
  <si>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</si>
  <si>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</si>
  <si>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</si>
  <si>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</si>
  <si>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</si>
  <si>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</si>
  <si>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</si>
  <si>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</si>
  <si>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</si>
  <si>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</si>
  <si>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</si>
  <si>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</si>
  <si>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</si>
  <si>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</si>
  <si>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</si>
  <si>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</si>
  <si>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</si>
  <si>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</si>
  <si>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</si>
  <si>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</si>
  <si>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</si>
  <si>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</si>
  <si>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</si>
  <si>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</si>
  <si>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</si>
  <si>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</si>
  <si>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</si>
  <si>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</si>
  <si>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</si>
  <si>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</si>
  <si>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</si>
  <si>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</si>
  <si>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</si>
  <si>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</si>
  <si>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</si>
  <si>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</si>
  <si>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</si>
  <si>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</si>
  <si>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</si>
  <si>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</si>
  <si>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</si>
  <si>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</si>
  <si>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</si>
  <si>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</si>
  <si>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</si>
  <si>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</si>
  <si>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</si>
  <si>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</si>
  <si>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</si>
  <si>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</si>
  <si>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</si>
  <si>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</si>
  <si>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</si>
  <si>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</si>
  <si>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</si>
  <si>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</si>
  <si>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</si>
  <si>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</si>
  <si>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</si>
  <si>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</si>
  <si>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</si>
  <si>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</si>
  <si>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</si>
  <si>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</si>
  <si>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</si>
  <si>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</si>
  <si>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</si>
  <si>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</si>
  <si>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</si>
  <si>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</si>
  <si>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</si>
  <si>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</si>
  <si>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</si>
  <si>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</si>
  <si>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</si>
  <si>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</si>
  <si>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</si>
  <si>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</si>
  <si>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</si>
  <si>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</si>
  <si>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</si>
  <si>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</si>
  <si>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</si>
  <si>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</si>
  <si>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</si>
  <si>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</si>
  <si>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</si>
  <si>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</si>
  <si>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</si>
  <si>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</si>
  <si>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</si>
  <si>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</si>
  <si>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</si>
  <si>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</si>
  <si>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</si>
  <si>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</si>
  <si>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</si>
  <si>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</si>
  <si>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</si>
  <si>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</si>
  <si>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</si>
  <si>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</si>
  <si>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</si>
  <si>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</si>
  <si>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</si>
  <si>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</si>
  <si>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</si>
  <si>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</si>
  <si>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</si>
  <si>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</si>
  <si>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</si>
  <si>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</si>
  <si>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</si>
  <si>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</si>
  <si>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</si>
  <si>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</si>
  <si>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</si>
  <si>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</si>
  <si>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</si>
  <si>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</si>
  <si>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</si>
  <si>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</si>
  <si>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</si>
  <si>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</si>
  <si>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</si>
  <si>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</si>
  <si>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</si>
  <si>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</si>
  <si>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</si>
  <si>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</si>
  <si>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</si>
  <si>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</si>
  <si>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</si>
  <si>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</si>
  <si>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</si>
  <si>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</si>
  <si>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</si>
  <si>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</si>
  <si>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</si>
  <si>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</si>
  <si>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</si>
  <si>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</si>
  <si>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</si>
  <si>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</si>
  <si>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</si>
  <si>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</si>
  <si>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</si>
  <si>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</si>
  <si>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</si>
  <si>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</si>
  <si>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</si>
  <si>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</si>
  <si>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</si>
  <si>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</si>
  <si>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</si>
  <si>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</si>
  <si>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</si>
  <si>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</si>
  <si>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</si>
  <si>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</si>
  <si>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</si>
  <si>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</si>
  <si>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</si>
  <si>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</si>
  <si>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</si>
  <si>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</si>
  <si>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</si>
  <si>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</si>
  <si>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</si>
  <si>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</si>
  <si>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</si>
  <si>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</si>
  <si>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</si>
  <si>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</si>
  <si>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</si>
  <si>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</si>
  <si>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</si>
  <si>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</si>
  <si>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</si>
  <si>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</si>
  <si>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</si>
  <si>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</si>
  <si>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</si>
  <si>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</si>
  <si>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</si>
  <si>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</si>
  <si>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</si>
  <si>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</si>
  <si>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</si>
  <si>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</si>
  <si>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</si>
  <si>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</si>
  <si>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</si>
  <si>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</si>
  <si>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</si>
  <si>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</si>
  <si>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</si>
  <si>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</si>
  <si>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</si>
  <si>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</si>
  <si>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</si>
  <si>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</si>
  <si>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</si>
  <si>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</si>
  <si>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</si>
  <si>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</si>
  <si>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</si>
  <si>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</si>
  <si>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</si>
  <si>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</si>
  <si>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</si>
  <si>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</si>
  <si>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</si>
  <si>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</si>
  <si>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</si>
  <si>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</si>
  <si>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</si>
  <si>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</si>
  <si>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</si>
  <si>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</si>
  <si>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</si>
  <si>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</si>
  <si>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</si>
  <si>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</si>
  <si>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</si>
  <si>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</si>
  <si>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</si>
  <si>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</si>
  <si>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</si>
  <si>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</si>
  <si>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</si>
  <si>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</si>
  <si>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</si>
  <si>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</si>
  <si>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</si>
  <si>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</si>
  <si>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</si>
  <si>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</si>
  <si>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</si>
  <si>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</si>
  <si>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</si>
  <si>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</si>
  <si>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</si>
  <si>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</si>
  <si>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</si>
  <si>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</si>
  <si>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</si>
  <si>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</si>
  <si>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</si>
  <si>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</si>
  <si>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</si>
  <si>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</si>
  <si>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</si>
  <si>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</si>
  <si>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</si>
  <si>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</si>
  <si>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</si>
  <si>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</si>
  <si>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</si>
  <si>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</si>
  <si>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</si>
  <si>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</si>
  <si>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</si>
  <si>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</si>
  <si>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</si>
  <si>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</si>
  <si>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</si>
  <si>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</si>
  <si>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</si>
  <si>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</si>
  <si>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</si>
  <si>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</si>
  <si>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</si>
  <si>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</si>
  <si>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</si>
  <si>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</si>
  <si>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</si>
  <si>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</si>
  <si>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</si>
  <si>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</si>
  <si>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</si>
  <si>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</si>
  <si>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</si>
  <si>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</si>
  <si>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</si>
  <si>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</si>
  <si>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</si>
  <si>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</si>
  <si>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</si>
  <si>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</si>
  <si>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</si>
  <si>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</si>
  <si>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</si>
  <si>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</si>
  <si>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</si>
  <si>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</si>
  <si>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</si>
  <si>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</si>
  <si>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</si>
  <si>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</si>
  <si>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</si>
  <si>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</si>
  <si>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</si>
  <si>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</si>
  <si>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</si>
  <si>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</si>
  <si>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</si>
  <si>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</si>
  <si>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</si>
  <si>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</si>
  <si>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</si>
  <si>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</si>
  <si>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</si>
  <si>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</si>
  <si>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</si>
  <si>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</si>
  <si>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</si>
  <si>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</si>
  <si>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</si>
  <si>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</si>
  <si>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</si>
  <si>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</si>
  <si>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</si>
  <si>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</si>
  <si>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</si>
  <si>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</si>
  <si>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</si>
  <si>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</si>
  <si>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</si>
  <si>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</si>
  <si>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</si>
  <si>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</si>
  <si>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</si>
  <si>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</si>
  <si>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</si>
  <si>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</si>
  <si>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</si>
  <si>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</si>
  <si>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</si>
  <si>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</si>
  <si>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</si>
  <si>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</si>
  <si>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</si>
  <si>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</si>
  <si>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</si>
  <si>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</si>
  <si>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</si>
  <si>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</si>
  <si>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</si>
  <si>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</si>
  <si>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</si>
  <si>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</si>
  <si>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</si>
  <si>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</si>
  <si>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</si>
  <si>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</si>
  <si>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</si>
  <si>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</si>
  <si>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</si>
  <si>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</si>
  <si>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</si>
  <si>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</si>
  <si>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</si>
  <si>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</si>
  <si>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</si>
  <si>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</si>
  <si>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</si>
  <si>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</si>
  <si>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</si>
  <si>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</si>
  <si>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</si>
  <si>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</si>
  <si>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</si>
  <si>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</si>
  <si>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</si>
  <si>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</si>
  <si>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</si>
  <si>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</si>
  <si>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</si>
  <si>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</si>
  <si>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</si>
  <si>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</si>
  <si>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</si>
  <si>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</si>
  <si>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</si>
  <si>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</si>
  <si>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</si>
  <si>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</si>
  <si>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</si>
  <si>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</si>
  <si>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</si>
  <si>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</si>
  <si>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</si>
  <si>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</si>
  <si>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</si>
  <si>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</si>
  <si>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</si>
  <si>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</si>
  <si>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</si>
  <si>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</si>
  <si>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</si>
  <si>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</si>
  <si>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</si>
  <si>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</si>
  <si>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</si>
  <si>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</si>
  <si>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</si>
  <si>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</si>
  <si>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</si>
  <si>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</si>
  <si>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</si>
  <si>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</si>
  <si>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</si>
  <si>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</si>
  <si>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</si>
  <si>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</si>
  <si>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</si>
  <si>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</si>
  <si>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</si>
  <si>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</si>
  <si>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</si>
  <si>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</si>
  <si>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</si>
  <si>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</si>
  <si>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</si>
  <si>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</si>
  <si>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</si>
  <si>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</si>
  <si>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</si>
  <si>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</si>
  <si>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</si>
  <si>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</si>
  <si>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</si>
  <si>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</si>
  <si>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</si>
  <si>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</si>
  <si>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</si>
  <si>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</si>
  <si>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</si>
  <si>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</si>
  <si>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</si>
  <si>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</si>
  <si>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</si>
  <si>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</si>
  <si>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</si>
  <si>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</si>
  <si>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</si>
  <si>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</si>
  <si>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</si>
  <si>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</si>
  <si>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</si>
  <si>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</si>
  <si>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</si>
  <si>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</si>
  <si>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</si>
  <si>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</si>
  <si>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</si>
  <si>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</si>
  <si>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</si>
  <si>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</si>
  <si>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</si>
  <si>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</si>
  <si>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</si>
  <si>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</si>
  <si>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</si>
  <si>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</si>
  <si>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</si>
  <si>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</si>
  <si>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</si>
  <si>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</si>
  <si>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</si>
  <si>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</si>
  <si>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</si>
  <si>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</si>
  <si>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</si>
  <si>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</si>
  <si>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</si>
  <si>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</si>
  <si>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</si>
  <si>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</si>
  <si>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</si>
  <si>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</si>
  <si>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</si>
  <si>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</si>
  <si>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</si>
  <si>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</si>
  <si>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</si>
  <si>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</si>
  <si>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</si>
  <si>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</si>
  <si>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</si>
  <si>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</si>
  <si>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</si>
  <si>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</si>
  <si>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</si>
  <si>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</si>
  <si>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</si>
  <si>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</si>
  <si>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</si>
  <si>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</si>
  <si>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</si>
  <si>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</si>
  <si>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</si>
  <si>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</si>
  <si>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</si>
  <si>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</si>
  <si>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</si>
  <si>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</si>
  <si>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</si>
  <si>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</si>
  <si>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</si>
  <si>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</si>
  <si>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</si>
  <si>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</si>
  <si>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</si>
  <si>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</si>
  <si>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</si>
  <si>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</si>
  <si>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</si>
  <si>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</si>
  <si>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</si>
  <si>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</si>
  <si>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</si>
  <si>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</si>
  <si>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</si>
  <si>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</si>
  <si>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</si>
  <si>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</si>
  <si>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</si>
  <si>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</si>
  <si>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</si>
  <si>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</si>
  <si>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</si>
  <si>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</si>
  <si>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</si>
  <si>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</si>
  <si>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</si>
  <si>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</si>
  <si>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</si>
  <si>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</si>
  <si>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</si>
  <si>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</si>
  <si>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</si>
  <si>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</si>
  <si>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</si>
  <si>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</si>
  <si>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</si>
  <si>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</si>
  <si>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</si>
  <si>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</si>
  <si>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</si>
  <si>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</si>
  <si>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</si>
  <si>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</si>
  <si>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</si>
  <si>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</si>
  <si>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</si>
  <si>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</si>
  <si>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</si>
  <si>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</si>
  <si>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</si>
  <si>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</si>
  <si>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</si>
  <si>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</si>
  <si>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</si>
  <si>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</si>
  <si>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</si>
  <si>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</si>
  <si>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</si>
  <si>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</si>
  <si>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</si>
  <si>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</si>
  <si>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</si>
  <si>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</si>
  <si>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</si>
  <si>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</si>
  <si>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</si>
  <si>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</si>
  <si>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</si>
  <si>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</si>
  <si>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</si>
  <si>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</si>
  <si>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</si>
  <si>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</si>
  <si>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</si>
  <si>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</si>
  <si>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</si>
  <si>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</si>
  <si>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</si>
  <si>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</si>
  <si>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</si>
  <si>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</si>
  <si>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</si>
  <si>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</si>
  <si>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</si>
  <si>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</si>
  <si>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</si>
  <si>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</si>
  <si>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</si>
  <si>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</si>
  <si>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</si>
  <si>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</si>
  <si>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</si>
  <si>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</si>
  <si>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</si>
  <si>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</si>
  <si>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</si>
  <si>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</si>
  <si>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</si>
  <si>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</si>
  <si>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</si>
  <si>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</si>
  <si>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</si>
  <si>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</si>
  <si>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</si>
  <si>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</si>
  <si>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</si>
  <si>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</si>
  <si>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</si>
  <si>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</si>
  <si>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</si>
  <si>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</si>
  <si>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</si>
  <si>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</si>
  <si>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</si>
  <si>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</si>
  <si>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</si>
  <si>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</si>
  <si>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</si>
  <si>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</si>
  <si>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</si>
  <si>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</si>
  <si>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</si>
  <si>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</si>
  <si>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</si>
  <si>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</si>
  <si>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</si>
  <si>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</si>
  <si>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</si>
  <si>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</si>
  <si>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</si>
  <si>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</si>
  <si>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</si>
  <si>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</si>
  <si>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</si>
  <si>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</si>
  <si>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</si>
  <si>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</si>
  <si>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</si>
  <si>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</si>
  <si>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</si>
  <si>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</si>
  <si>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</si>
  <si>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</si>
  <si>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</si>
  <si>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</si>
  <si>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</si>
  <si>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</si>
  <si>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</si>
  <si>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</si>
  <si>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</si>
  <si>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</si>
  <si>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</si>
  <si>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</si>
  <si>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</si>
  <si>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</si>
  <si>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</si>
  <si>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</si>
  <si>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</si>
  <si>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</si>
  <si>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</si>
  <si>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</si>
  <si>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</si>
  <si>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</si>
  <si>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</si>
  <si>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</si>
  <si>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</si>
  <si>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</si>
  <si>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</si>
  <si>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</si>
  <si>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</si>
  <si>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</si>
  <si>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</si>
  <si>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</si>
  <si>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</si>
  <si>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</si>
  <si>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</si>
  <si>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</si>
  <si>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</si>
  <si>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</si>
  <si>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</si>
  <si>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</si>
  <si>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</si>
  <si>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</si>
  <si>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</si>
  <si>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</si>
  <si>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</si>
  <si>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</si>
  <si>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</si>
  <si>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</si>
  <si>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</si>
  <si>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</si>
  <si>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</si>
  <si>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</si>
  <si>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</si>
  <si>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</si>
  <si>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</si>
  <si>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</si>
  <si>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</si>
  <si>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</si>
  <si>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</si>
  <si>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</si>
  <si>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</si>
  <si>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</si>
  <si>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</si>
  <si>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</si>
  <si>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</si>
  <si>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</si>
  <si>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</si>
  <si>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</si>
  <si>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</si>
  <si>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</si>
  <si>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</si>
  <si>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</si>
  <si>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</si>
  <si>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</si>
  <si>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</si>
  <si>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</si>
  <si>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</si>
  <si>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</si>
  <si>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</si>
  <si>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</si>
  <si>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</si>
  <si>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</si>
  <si>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</si>
  <si>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</si>
  <si>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</si>
  <si>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</si>
  <si>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</si>
  <si>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</si>
  <si>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</si>
  <si>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</si>
  <si>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</si>
  <si>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</si>
  <si>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</si>
  <si>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</si>
  <si>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</si>
  <si>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</si>
  <si>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</si>
  <si>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</si>
  <si>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</si>
  <si>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</si>
  <si>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</si>
  <si>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</si>
  <si>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</si>
  <si>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</si>
  <si>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</si>
  <si>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</si>
  <si>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</si>
  <si>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</si>
  <si>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</si>
  <si>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</si>
  <si>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</si>
  <si>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</si>
  <si>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</si>
  <si>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</si>
  <si>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</si>
  <si>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</si>
  <si>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</si>
  <si>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</si>
  <si>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</si>
  <si>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</si>
  <si>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</si>
  <si>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</si>
  <si>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</si>
  <si>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</si>
  <si>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</si>
  <si>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</si>
  <si>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</si>
  <si>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</si>
  <si>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</si>
  <si>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</si>
  <si>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</si>
  <si>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</si>
  <si>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</si>
  <si>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</si>
  <si>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</si>
  <si>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</si>
  <si>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</si>
  <si>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</si>
  <si>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</si>
  <si>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</si>
  <si>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</si>
  <si>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</si>
  <si>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</si>
  <si>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</si>
  <si>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Other: Solar</t>
  </si>
  <si>
    <t>Other: Lender Inspections</t>
  </si>
  <si>
    <t>Other: Legal</t>
  </si>
  <si>
    <t>40%/60%</t>
  </si>
  <si>
    <t>CDLAC-TCAC Joint Application (submitting concurrently)</t>
  </si>
  <si>
    <t>California Municpal Finance Authority - Recycled Bonds</t>
  </si>
  <si>
    <t>JEMCOR Development Partners, LLC</t>
  </si>
  <si>
    <t xml:space="preserve">Monterey and Madrone Apartments </t>
  </si>
  <si>
    <t>City of Morgan Hill</t>
  </si>
  <si>
    <t>Christina Turner</t>
  </si>
  <si>
    <t>17575 Peak Avenue</t>
  </si>
  <si>
    <t xml:space="preserve">Morgan Hill </t>
  </si>
  <si>
    <t>408-779-7271</t>
  </si>
  <si>
    <t>408-779-1592</t>
  </si>
  <si>
    <t>christina.turner@morganhill.ca.gov</t>
  </si>
  <si>
    <t>18960 Monterey Street</t>
  </si>
  <si>
    <t>Morgan Hill</t>
  </si>
  <si>
    <t>726-36-059</t>
  </si>
  <si>
    <t>Low Resource</t>
  </si>
  <si>
    <t>1700 S. El Camino Real, Suite 400</t>
  </si>
  <si>
    <t>CA</t>
  </si>
  <si>
    <t>Jonathan Emami</t>
  </si>
  <si>
    <t>415-941-5832</t>
  </si>
  <si>
    <t>jemami@jemcorpartners.com</t>
  </si>
  <si>
    <t>LLC</t>
  </si>
  <si>
    <t>JS III Village at Madrone, LLC</t>
  </si>
  <si>
    <t>Administrative GP</t>
  </si>
  <si>
    <t>PacH Affordable Holdings, Inc.</t>
  </si>
  <si>
    <t>Managing GP</t>
  </si>
  <si>
    <t>2115 J Street, Suite 201</t>
  </si>
  <si>
    <t>916-638-5200</t>
  </si>
  <si>
    <t>Mark Wiese</t>
  </si>
  <si>
    <t>mwiese@pacifichousing.org</t>
  </si>
  <si>
    <t xml:space="preserve">Pacific Housing, Inc. </t>
  </si>
  <si>
    <t xml:space="preserve">General Partner, Developer </t>
  </si>
  <si>
    <t>San Mateo, CA 94402</t>
  </si>
  <si>
    <t>KTGY</t>
  </si>
  <si>
    <t>17911 Von Karmon Avenue</t>
  </si>
  <si>
    <t>Irvine, CA 92614</t>
  </si>
  <si>
    <t>Keith Labus</t>
  </si>
  <si>
    <t>949-221-6239</t>
  </si>
  <si>
    <t>klabus@ktgy.com</t>
  </si>
  <si>
    <t>JEMCOR Construction Partners</t>
  </si>
  <si>
    <t>Rodriguez Wright</t>
  </si>
  <si>
    <t>446 Old County Road, Suite 100</t>
  </si>
  <si>
    <t>Pacifica, CA 94044</t>
  </si>
  <si>
    <t xml:space="preserve">Byron Rodriguez </t>
  </si>
  <si>
    <t>415-963-4327</t>
  </si>
  <si>
    <t>brodriguez@rodriguezwright.com</t>
  </si>
  <si>
    <t>Propp Christensen Caniglia, LLP</t>
  </si>
  <si>
    <t xml:space="preserve">9261 Sierra College Blvd. </t>
  </si>
  <si>
    <t>Roseville, CA 95661</t>
  </si>
  <si>
    <t xml:space="preserve">Justin Gierth </t>
  </si>
  <si>
    <t>916-751-2900</t>
  </si>
  <si>
    <t>916-751-2979</t>
  </si>
  <si>
    <t xml:space="preserve">jgierth@pccpllp.com </t>
  </si>
  <si>
    <t>Boston Financial</t>
  </si>
  <si>
    <t>8721 Sunset Blvd. PH1</t>
  </si>
  <si>
    <t>Los Angeles, CA 90069</t>
  </si>
  <si>
    <t>Roy Faerber</t>
  </si>
  <si>
    <t>310-860-4550</t>
  </si>
  <si>
    <t xml:space="preserve">roy.faerber@bfim.com </t>
  </si>
  <si>
    <t>California Municipal Finance Authority</t>
  </si>
  <si>
    <t>2111 Palomar Airport Road, 320</t>
  </si>
  <si>
    <t>Carlsbad, CA 92011</t>
  </si>
  <si>
    <t>Benjamin Barker</t>
  </si>
  <si>
    <t>760-930-1266</t>
  </si>
  <si>
    <t xml:space="preserve">bbarker@cmfa-ca.com </t>
  </si>
  <si>
    <t>FPI Management</t>
  </si>
  <si>
    <t>800 Iron Point Road</t>
  </si>
  <si>
    <t>Folson, CA 95630</t>
  </si>
  <si>
    <t>Cynthia Wray</t>
  </si>
  <si>
    <t>916-850-4484</t>
  </si>
  <si>
    <t xml:space="preserve">cynthia.wray@frimgt.com </t>
  </si>
  <si>
    <t>Other (Specify below)</t>
  </si>
  <si>
    <t xml:space="preserve">3 story walk up </t>
  </si>
  <si>
    <t xml:space="preserve">RAL MU-F </t>
  </si>
  <si>
    <t xml:space="preserve">No </t>
  </si>
  <si>
    <t>Citibank - Tax Exempt</t>
  </si>
  <si>
    <t>Citibank - Recycled Bonds</t>
  </si>
  <si>
    <t>Tax Credit Equity - Boston Financing</t>
  </si>
  <si>
    <t xml:space="preserve">Deferred Reserve Funding </t>
  </si>
  <si>
    <t>Lease Up Income</t>
  </si>
  <si>
    <t>Interest</t>
  </si>
  <si>
    <t>None</t>
  </si>
  <si>
    <t>8721 Sunset Boulevard, PH1</t>
  </si>
  <si>
    <t>Tax Credit Equity</t>
  </si>
  <si>
    <t>325 E. Hillcrest Drive, Suite 160</t>
  </si>
  <si>
    <t>Thousand Oaks</t>
  </si>
  <si>
    <t>Jay Abeywardena</t>
  </si>
  <si>
    <t>805-557-0943</t>
  </si>
  <si>
    <t>Tax Exempt</t>
  </si>
  <si>
    <t>Citibank - Taxable</t>
  </si>
  <si>
    <t>Taxable</t>
  </si>
  <si>
    <t>Citibank</t>
  </si>
  <si>
    <t>Permanent</t>
  </si>
  <si>
    <t xml:space="preserve">Deferred </t>
  </si>
  <si>
    <t>Application, Late Fees, Etc.</t>
  </si>
  <si>
    <t>Santa Clara County Housing Authority</t>
  </si>
  <si>
    <t>Other: CDLAC Application Fee</t>
  </si>
  <si>
    <t>Pacific Housing, Inc.</t>
  </si>
  <si>
    <t>FPI Management, Inc.</t>
  </si>
  <si>
    <t>Provided</t>
  </si>
  <si>
    <t>Secured by Fee Interest</t>
  </si>
  <si>
    <t>Site acquired by sponsor</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</si>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</sst>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17147">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48" fillId="5" borderId="11" xfId="0" applyFont="1" applyFill="1" applyBorder="1" applyAlignment="1" applyProtection="1">
      <alignment horizontal="right" vertical="top" wrapText="1"/>
      <protection locked="0"/>
    </xf>
    <xf numFmtId="0" fontId="48" fillId="5" borderId="11" xfId="0" applyFont="1" applyFill="1" applyBorder="1" applyAlignment="1" applyProtection="1">
      <alignment horizontal="right" vertical="top" wrapText="1"/>
      <protection locked="0"/>
    </xf>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5" borderId="12" xfId="570" applyFont="1" applyFill="1" applyBorder="1" applyProtection="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29" fillId="0" borderId="0" xfId="570" applyFont="1" applyAlignment="1" applyProtection="1">
      <alignment horizontal="left"/>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0" fillId="5" borderId="6" xfId="0" applyFill="1" applyBorder="1" applyAlignment="1" applyProtection="1">
      <alignment horizontal="center"/>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0" fillId="0" borderId="11" xfId="0"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0" fontId="20" fillId="2" borderId="11"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166" fontId="20" fillId="5" borderId="4" xfId="0" applyNumberFormat="1"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5" borderId="4" xfId="0" applyFont="1" applyFill="1" applyBorder="1" applyAlignment="1" applyProtection="1">
      <alignment horizontal="lef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0" borderId="11" xfId="543" applyFont="1" applyFill="1" applyBorder="1" applyAlignment="1" applyProtection="1">
      <alignment horizontal="center"/>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168" fontId="11" fillId="0" borderId="11" xfId="543" applyNumberFormat="1"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4" xfId="0" applyFill="1" applyBorder="1" applyAlignment="1" applyProtection="1">
      <alignment horizontal="left"/>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1" fillId="0" borderId="0" xfId="543" applyFont="1" applyFill="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20" fillId="5" borderId="6" xfId="0" applyFon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20" fillId="5" borderId="6" xfId="0" applyFon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20" fillId="0" borderId="3" xfId="0" applyFont="1" applyBorder="1" applyAlignment="1" applyProtection="1">
      <alignment horizontal="center"/>
    </xf>
    <xf numFmtId="0" fontId="20" fillId="0" borderId="5" xfId="0" applyFont="1" applyBorder="1" applyAlignment="1" applyProtection="1">
      <alignment horizontal="center"/>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2" fontId="11" fillId="0" borderId="0" xfId="543" applyNumberFormat="1" applyFont="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9" fontId="11"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20"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11" fillId="0" borderId="1"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0" fontId="18"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0"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1" xfId="0" applyFont="1" applyFill="1" applyBorder="1" applyAlignment="1" applyProtection="1">
      <alignment horizontal="center" vertical="top"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20" fillId="0" borderId="4" xfId="0" applyFont="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11"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45" borderId="5" xfId="4501" applyFont="1" applyFill="1" applyBorder="1" applyAlignment="1">
      <alignment horizontal="center"/>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81" xfId="4501" applyFont="1" applyFill="1" applyBorder="1" applyAlignment="1" applyProtection="1">
      <alignment horizontal="center"/>
      <protection locked="0"/>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48" borderId="11" xfId="450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14" fontId="153" fillId="48" borderId="75" xfId="4501" applyNumberFormat="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3"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4" fillId="0" borderId="69" xfId="4501" applyBorder="1" applyAlignment="1"/>
    <xf numFmtId="0" fontId="4" fillId="0" borderId="70" xfId="4501" applyBorder="1" applyAlignment="1"/>
    <xf numFmtId="0" fontId="4" fillId="48" borderId="82" xfId="450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0" fontId="4" fillId="48" borderId="93"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48" fillId="45" borderId="79"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53" fillId="48" borderId="95" xfId="4501" applyFont="1" applyFill="1" applyBorder="1" applyAlignment="1" applyProtection="1">
      <alignment horizontal="center"/>
      <protection locked="0"/>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159" fillId="48" borderId="74"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9" fillId="48" borderId="82"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1" fontId="4" fillId="48" borderId="11" xfId="4501" applyNumberForma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4" fillId="48" borderId="13" xfId="4501" applyNumberFormat="1" applyFill="1" applyBorder="1" applyAlignment="1" applyProtection="1">
      <alignment horizontal="center"/>
      <protection locked="0"/>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81" xfId="4501" applyFont="1" applyFill="1" applyBorder="1" applyAlignment="1">
      <alignment horizontal="center"/>
    </xf>
    <xf numFmtId="0" fontId="153" fillId="48" borderId="68" xfId="450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14" fontId="153" fillId="48" borderId="73" xfId="4501" applyNumberFormat="1" applyFont="1" applyFill="1" applyBorder="1" applyAlignment="1" applyProtection="1">
      <alignment horizontal="center"/>
      <protection locked="0"/>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0" fontId="117" fillId="5" borderId="55"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5" borderId="6" xfId="1193" applyFont="1" applyFill="1" applyBorder="1" applyAlignment="1" applyProtection="1">
      <alignment horizontal="left"/>
      <protection locked="0"/>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0" fontId="11" fillId="0" borderId="11" xfId="4496" applyNumberFormat="1" applyFont="1" applyFill="1" applyBorder="1" applyAlignment="1" applyProtection="1">
      <alignment horizontal="center"/>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0" xfId="4497" applyFont="1" applyAlignment="1">
      <alignment horizontal="left" vertical="center" wrapText="1"/>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44"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168" fontId="11" fillId="0" borderId="6" xfId="1193" applyNumberFormat="1" applyFont="1" applyFill="1" applyBorder="1" applyAlignment="1" applyProtection="1">
      <alignment horizontal="right"/>
    </xf>
    <xf numFmtId="168" fontId="11" fillId="0" borderId="0" xfId="1193" applyNumberFormat="1" applyFont="1" applyBorder="1" applyAlignment="1" applyProtection="1">
      <alignment horizontal="right"/>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1"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0" fontId="11" fillId="0" borderId="0"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0" borderId="2" xfId="4496" applyFont="1" applyFill="1" applyBorder="1" applyAlignment="1">
      <alignment horizontal="center"/>
    </xf>
    <xf numFmtId="0" fontId="27" fillId="0"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44"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17147">
    <cellStyle name="20% - Accent1" xfId="1" builtinId="30" customBuiltin="1"/>
    <cellStyle name="20% - Accent1 10" xfId="4507" xr:uid="{00000000-0005-0000-0000-000001000000}"/>
    <cellStyle name="20% - Accent1 10 2" xfId="12936" xr:uid="{3C4C2857-24EF-4A71-BE94-FC1283B596DD}"/>
    <cellStyle name="20% - Accent1 11" xfId="8718" xr:uid="{24CA3F47-C437-4BF9-8280-1D21F0548C03}"/>
    <cellStyle name="20% - Accent1 2" xfId="2" xr:uid="{00000000-0005-0000-0000-000002000000}"/>
    <cellStyle name="20% - Accent1 2 10" xfId="8719" xr:uid="{068F2CFA-DB2A-4430-9303-08F0DD6519BC}"/>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2 2 2" xfId="15498" xr:uid="{D730E993-A454-4BA3-B23C-60BF638E3C85}"/>
    <cellStyle name="20% - Accent1 2 2 2 2 2 3" xfId="11280" xr:uid="{F92D8E44-1089-450C-803C-F6042CF494D4}"/>
    <cellStyle name="20% - Accent1 2 2 2 2 3" xfId="4924" xr:uid="{00000000-0005-0000-0000-000008000000}"/>
    <cellStyle name="20% - Accent1 2 2 2 2 3 2" xfId="13353" xr:uid="{1A02F0CE-0BF2-4BB0-A6EC-985F29C5A9AB}"/>
    <cellStyle name="20% - Accent1 2 2 2 2 4" xfId="9135" xr:uid="{7868B7D8-A1EF-4CFE-91F8-CEEAAA892392}"/>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2 2 2" xfId="15911" xr:uid="{FD502EFE-B7A8-4DF2-BCA4-C050FAB43182}"/>
    <cellStyle name="20% - Accent1 2 2 2 3 2 3" xfId="11693" xr:uid="{23E1E076-9584-4080-8F13-B280A00C17C3}"/>
    <cellStyle name="20% - Accent1 2 2 2 3 3" xfId="5337" xr:uid="{00000000-0005-0000-0000-00000C000000}"/>
    <cellStyle name="20% - Accent1 2 2 2 3 3 2" xfId="13766" xr:uid="{CF6667B6-5140-4E70-B3B4-7229FE8D853F}"/>
    <cellStyle name="20% - Accent1 2 2 2 3 4" xfId="9548" xr:uid="{0DB4C6EE-1E70-4C1D-AFEB-46DBE8A6F54F}"/>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2 2 2" xfId="16324" xr:uid="{C5A93E7D-09FE-4682-971B-94A08975DD71}"/>
    <cellStyle name="20% - Accent1 2 2 2 4 2 3" xfId="12106" xr:uid="{472D94EB-6242-4E50-BA88-F476A21FCF47}"/>
    <cellStyle name="20% - Accent1 2 2 2 4 3" xfId="5750" xr:uid="{00000000-0005-0000-0000-000010000000}"/>
    <cellStyle name="20% - Accent1 2 2 2 4 3 2" xfId="14179" xr:uid="{4CF0FD23-1C60-4E65-A2E9-B1C84DE8953E}"/>
    <cellStyle name="20% - Accent1 2 2 2 4 4" xfId="9961" xr:uid="{AF5D4517-E15A-4341-AB7F-9A6DCD6CF879}"/>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2 2 2" xfId="16737" xr:uid="{8A4A34F0-FEF1-4018-BB0A-8D748415929C}"/>
    <cellStyle name="20% - Accent1 2 2 2 5 2 3" xfId="12519" xr:uid="{ECF5B1F6-539F-49CE-8ACA-931E9F993909}"/>
    <cellStyle name="20% - Accent1 2 2 2 5 3" xfId="6163" xr:uid="{00000000-0005-0000-0000-000014000000}"/>
    <cellStyle name="20% - Accent1 2 2 2 5 3 2" xfId="14592" xr:uid="{19A8E7FD-87A1-466D-A89F-5DFF2D4995A4}"/>
    <cellStyle name="20% - Accent1 2 2 2 5 4" xfId="10374" xr:uid="{81C4A4E2-B5D0-486D-A682-B189E3652041}"/>
    <cellStyle name="20% - Accent1 2 2 2 6" xfId="2268" xr:uid="{00000000-0005-0000-0000-000015000000}"/>
    <cellStyle name="20% - Accent1 2 2 2 6 2" xfId="6576" xr:uid="{00000000-0005-0000-0000-000016000000}"/>
    <cellStyle name="20% - Accent1 2 2 2 6 2 2" xfId="15005" xr:uid="{D5CF6E93-AD4C-49DF-9A90-3C2BE230E4E4}"/>
    <cellStyle name="20% - Accent1 2 2 2 6 3" xfId="10787" xr:uid="{B2BCF5F8-8220-4E52-85F8-CCEB8830C422}"/>
    <cellStyle name="20% - Accent1 2 2 2 7" xfId="4510" xr:uid="{00000000-0005-0000-0000-000017000000}"/>
    <cellStyle name="20% - Accent1 2 2 2 7 2" xfId="12939" xr:uid="{1AF8E49C-C722-4CCF-B4C5-86D2B89852A0}"/>
    <cellStyle name="20% - Accent1 2 2 2 8" xfId="8721" xr:uid="{88924D26-A333-4298-A7F9-FD08869C98FF}"/>
    <cellStyle name="20% - Accent1 2 2 3" xfId="573" xr:uid="{00000000-0005-0000-0000-000018000000}"/>
    <cellStyle name="20% - Accent1 2 2 3 2" xfId="2844" xr:uid="{00000000-0005-0000-0000-000019000000}"/>
    <cellStyle name="20% - Accent1 2 2 3 2 2" xfId="7068" xr:uid="{00000000-0005-0000-0000-00001A000000}"/>
    <cellStyle name="20% - Accent1 2 2 3 2 2 2" xfId="15497" xr:uid="{5FD66066-D00B-4198-A09B-80B3106B81B7}"/>
    <cellStyle name="20% - Accent1 2 2 3 2 3" xfId="11279" xr:uid="{58593F61-09A7-4039-B8A6-D86CA62F8C85}"/>
    <cellStyle name="20% - Accent1 2 2 3 3" xfId="4923" xr:uid="{00000000-0005-0000-0000-00001B000000}"/>
    <cellStyle name="20% - Accent1 2 2 3 3 2" xfId="13352" xr:uid="{3C449904-691D-4447-8CE8-0E91CFFA3EC2}"/>
    <cellStyle name="20% - Accent1 2 2 3 4" xfId="9134" xr:uid="{510314E5-8C49-4048-B728-3F7653547573}"/>
    <cellStyle name="20% - Accent1 2 2 4" xfId="1026" xr:uid="{00000000-0005-0000-0000-00001C000000}"/>
    <cellStyle name="20% - Accent1 2 2 4 2" xfId="3257" xr:uid="{00000000-0005-0000-0000-00001D000000}"/>
    <cellStyle name="20% - Accent1 2 2 4 2 2" xfId="7481" xr:uid="{00000000-0005-0000-0000-00001E000000}"/>
    <cellStyle name="20% - Accent1 2 2 4 2 2 2" xfId="15910" xr:uid="{EE4C9A86-76E5-4E5F-8857-D757E1284DA1}"/>
    <cellStyle name="20% - Accent1 2 2 4 2 3" xfId="11692" xr:uid="{BE9688F9-9E86-4C04-8416-2C9070EB310A}"/>
    <cellStyle name="20% - Accent1 2 2 4 3" xfId="5336" xr:uid="{00000000-0005-0000-0000-00001F000000}"/>
    <cellStyle name="20% - Accent1 2 2 4 3 2" xfId="13765" xr:uid="{D5360207-3383-435A-8CE8-AED2C7040BC8}"/>
    <cellStyle name="20% - Accent1 2 2 4 4" xfId="9547" xr:uid="{E7C950C5-BE82-4280-AC9B-66083CB427E3}"/>
    <cellStyle name="20% - Accent1 2 2 5" xfId="1440" xr:uid="{00000000-0005-0000-0000-000020000000}"/>
    <cellStyle name="20% - Accent1 2 2 5 2" xfId="3670" xr:uid="{00000000-0005-0000-0000-000021000000}"/>
    <cellStyle name="20% - Accent1 2 2 5 2 2" xfId="7894" xr:uid="{00000000-0005-0000-0000-000022000000}"/>
    <cellStyle name="20% - Accent1 2 2 5 2 2 2" xfId="16323" xr:uid="{3A9D23C0-AC1D-4E9E-B9FA-A63250B3343C}"/>
    <cellStyle name="20% - Accent1 2 2 5 2 3" xfId="12105" xr:uid="{FD6B6CE7-9732-4EAD-833F-CA23F67DB3F0}"/>
    <cellStyle name="20% - Accent1 2 2 5 3" xfId="5749" xr:uid="{00000000-0005-0000-0000-000023000000}"/>
    <cellStyle name="20% - Accent1 2 2 5 3 2" xfId="14178" xr:uid="{72B99586-642D-4C4E-A6C9-3FA6321A0A96}"/>
    <cellStyle name="20% - Accent1 2 2 5 4" xfId="9960" xr:uid="{7B227FEC-41EA-4938-9149-521F2539E072}"/>
    <cellStyle name="20% - Accent1 2 2 6" xfId="1854" xr:uid="{00000000-0005-0000-0000-000024000000}"/>
    <cellStyle name="20% - Accent1 2 2 6 2" xfId="4083" xr:uid="{00000000-0005-0000-0000-000025000000}"/>
    <cellStyle name="20% - Accent1 2 2 6 2 2" xfId="8307" xr:uid="{00000000-0005-0000-0000-000026000000}"/>
    <cellStyle name="20% - Accent1 2 2 6 2 2 2" xfId="16736" xr:uid="{B5DF91EB-A8D0-4A34-B7D1-1E6F2F28CC9E}"/>
    <cellStyle name="20% - Accent1 2 2 6 2 3" xfId="12518" xr:uid="{0C05DD1E-67B5-45CC-ABB9-93248DF237EA}"/>
    <cellStyle name="20% - Accent1 2 2 6 3" xfId="6162" xr:uid="{00000000-0005-0000-0000-000027000000}"/>
    <cellStyle name="20% - Accent1 2 2 6 3 2" xfId="14591" xr:uid="{922E6B1D-7DE7-42AC-88FD-766F51FFE714}"/>
    <cellStyle name="20% - Accent1 2 2 6 4" xfId="10373" xr:uid="{10FA70CE-8971-411E-BAC8-76E773F7ED9D}"/>
    <cellStyle name="20% - Accent1 2 2 7" xfId="2267" xr:uid="{00000000-0005-0000-0000-000028000000}"/>
    <cellStyle name="20% - Accent1 2 2 7 2" xfId="6575" xr:uid="{00000000-0005-0000-0000-000029000000}"/>
    <cellStyle name="20% - Accent1 2 2 7 2 2" xfId="15004" xr:uid="{ADF4D52E-5181-481E-99AB-A124C3D78DE1}"/>
    <cellStyle name="20% - Accent1 2 2 7 3" xfId="10786" xr:uid="{791A802E-77C6-44F0-A13F-563B37CA9A4F}"/>
    <cellStyle name="20% - Accent1 2 2 8" xfId="4509" xr:uid="{00000000-0005-0000-0000-00002A000000}"/>
    <cellStyle name="20% - Accent1 2 2 8 2" xfId="12938" xr:uid="{5C905D0E-B276-4DDB-A205-1DE4885BD63E}"/>
    <cellStyle name="20% - Accent1 2 2 9" xfId="8720" xr:uid="{B70C16F2-9137-4A25-8A02-CECAA5F08D0F}"/>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2 2 2" xfId="15499" xr:uid="{2B581BB2-BA93-40FB-9E99-B150360FD9C8}"/>
    <cellStyle name="20% - Accent1 2 3 2 2 3" xfId="11281" xr:uid="{43EC2F66-6C33-4C75-8B69-2419DE48A521}"/>
    <cellStyle name="20% - Accent1 2 3 2 3" xfId="4925" xr:uid="{00000000-0005-0000-0000-00002F000000}"/>
    <cellStyle name="20% - Accent1 2 3 2 3 2" xfId="13354" xr:uid="{DD6E6715-CBD5-416B-AA54-D7395DEB7D94}"/>
    <cellStyle name="20% - Accent1 2 3 2 4" xfId="9136" xr:uid="{2E90E9C0-90A7-41B6-9EA7-8C4E3CBABB3C}"/>
    <cellStyle name="20% - Accent1 2 3 3" xfId="1028" xr:uid="{00000000-0005-0000-0000-000030000000}"/>
    <cellStyle name="20% - Accent1 2 3 3 2" xfId="3259" xr:uid="{00000000-0005-0000-0000-000031000000}"/>
    <cellStyle name="20% - Accent1 2 3 3 2 2" xfId="7483" xr:uid="{00000000-0005-0000-0000-000032000000}"/>
    <cellStyle name="20% - Accent1 2 3 3 2 2 2" xfId="15912" xr:uid="{90997055-75FF-40B4-8ED0-5A2EC2E13097}"/>
    <cellStyle name="20% - Accent1 2 3 3 2 3" xfId="11694" xr:uid="{35A2BA92-2491-49EA-B88C-095FB3DA0E5D}"/>
    <cellStyle name="20% - Accent1 2 3 3 3" xfId="5338" xr:uid="{00000000-0005-0000-0000-000033000000}"/>
    <cellStyle name="20% - Accent1 2 3 3 3 2" xfId="13767" xr:uid="{17B51CC8-8023-4BED-A6F7-3FDF0AD781B8}"/>
    <cellStyle name="20% - Accent1 2 3 3 4" xfId="9549" xr:uid="{9AAD5534-1C21-4877-918C-87B83AD39565}"/>
    <cellStyle name="20% - Accent1 2 3 4" xfId="1442" xr:uid="{00000000-0005-0000-0000-000034000000}"/>
    <cellStyle name="20% - Accent1 2 3 4 2" xfId="3672" xr:uid="{00000000-0005-0000-0000-000035000000}"/>
    <cellStyle name="20% - Accent1 2 3 4 2 2" xfId="7896" xr:uid="{00000000-0005-0000-0000-000036000000}"/>
    <cellStyle name="20% - Accent1 2 3 4 2 2 2" xfId="16325" xr:uid="{69060F4A-5475-4092-AEBC-62CC8669BF0C}"/>
    <cellStyle name="20% - Accent1 2 3 4 2 3" xfId="12107" xr:uid="{8641A0EC-8827-4D78-95BB-49009C2032F5}"/>
    <cellStyle name="20% - Accent1 2 3 4 3" xfId="5751" xr:uid="{00000000-0005-0000-0000-000037000000}"/>
    <cellStyle name="20% - Accent1 2 3 4 3 2" xfId="14180" xr:uid="{B5F4A6BA-5F7B-44D7-A55E-92AE4F158095}"/>
    <cellStyle name="20% - Accent1 2 3 4 4" xfId="9962" xr:uid="{EB72D714-ACBA-4DFB-93E1-5D8DBF33F425}"/>
    <cellStyle name="20% - Accent1 2 3 5" xfId="1856" xr:uid="{00000000-0005-0000-0000-000038000000}"/>
    <cellStyle name="20% - Accent1 2 3 5 2" xfId="4085" xr:uid="{00000000-0005-0000-0000-000039000000}"/>
    <cellStyle name="20% - Accent1 2 3 5 2 2" xfId="8309" xr:uid="{00000000-0005-0000-0000-00003A000000}"/>
    <cellStyle name="20% - Accent1 2 3 5 2 2 2" xfId="16738" xr:uid="{AC978D23-C84D-451D-B8F5-B7EA9A09452B}"/>
    <cellStyle name="20% - Accent1 2 3 5 2 3" xfId="12520" xr:uid="{3996643E-4A0C-46C8-A1D6-8EC69559D05E}"/>
    <cellStyle name="20% - Accent1 2 3 5 3" xfId="6164" xr:uid="{00000000-0005-0000-0000-00003B000000}"/>
    <cellStyle name="20% - Accent1 2 3 5 3 2" xfId="14593" xr:uid="{86D80C30-DC46-4700-B4DB-65E0263C4DF0}"/>
    <cellStyle name="20% - Accent1 2 3 5 4" xfId="10375" xr:uid="{02D96AC3-A4A8-4948-AA9C-A890E385EEBB}"/>
    <cellStyle name="20% - Accent1 2 3 6" xfId="2269" xr:uid="{00000000-0005-0000-0000-00003C000000}"/>
    <cellStyle name="20% - Accent1 2 3 6 2" xfId="6577" xr:uid="{00000000-0005-0000-0000-00003D000000}"/>
    <cellStyle name="20% - Accent1 2 3 6 2 2" xfId="15006" xr:uid="{195E17BA-344F-49AB-99D0-B3E1321D931A}"/>
    <cellStyle name="20% - Accent1 2 3 6 3" xfId="10788" xr:uid="{22FA75FC-7D00-420C-9FF7-44145C796B58}"/>
    <cellStyle name="20% - Accent1 2 3 7" xfId="4511" xr:uid="{00000000-0005-0000-0000-00003E000000}"/>
    <cellStyle name="20% - Accent1 2 3 7 2" xfId="12940" xr:uid="{6BABC8AC-E5E9-4EF5-8952-442375A129D1}"/>
    <cellStyle name="20% - Accent1 2 3 8" xfId="8722" xr:uid="{2AFD761A-3D0A-4D47-90A2-336F23DE2575}"/>
    <cellStyle name="20% - Accent1 2 4" xfId="572" xr:uid="{00000000-0005-0000-0000-00003F000000}"/>
    <cellStyle name="20% - Accent1 2 4 2" xfId="2843" xr:uid="{00000000-0005-0000-0000-000040000000}"/>
    <cellStyle name="20% - Accent1 2 4 2 2" xfId="7067" xr:uid="{00000000-0005-0000-0000-000041000000}"/>
    <cellStyle name="20% - Accent1 2 4 2 2 2" xfId="15496" xr:uid="{E814ADB0-5B6C-495A-B6BB-4D658E67E841}"/>
    <cellStyle name="20% - Accent1 2 4 2 3" xfId="11278" xr:uid="{1173354C-1C9A-4AEB-8F70-5C89DF995C59}"/>
    <cellStyle name="20% - Accent1 2 4 3" xfId="4922" xr:uid="{00000000-0005-0000-0000-000042000000}"/>
    <cellStyle name="20% - Accent1 2 4 3 2" xfId="13351" xr:uid="{B2667150-D980-49DD-9D95-F839D5F2A433}"/>
    <cellStyle name="20% - Accent1 2 4 4" xfId="9133" xr:uid="{0E96AAD8-F3D5-4BD4-8D7B-82AE4C84CE57}"/>
    <cellStyle name="20% - Accent1 2 5" xfId="1025" xr:uid="{00000000-0005-0000-0000-000043000000}"/>
    <cellStyle name="20% - Accent1 2 5 2" xfId="3256" xr:uid="{00000000-0005-0000-0000-000044000000}"/>
    <cellStyle name="20% - Accent1 2 5 2 2" xfId="7480" xr:uid="{00000000-0005-0000-0000-000045000000}"/>
    <cellStyle name="20% - Accent1 2 5 2 2 2" xfId="15909" xr:uid="{EC23D014-4498-4AE3-BBC5-20DCDCDC43AC}"/>
    <cellStyle name="20% - Accent1 2 5 2 3" xfId="11691" xr:uid="{50D5516C-F8AC-47C2-970B-1839D7263E5D}"/>
    <cellStyle name="20% - Accent1 2 5 3" xfId="5335" xr:uid="{00000000-0005-0000-0000-000046000000}"/>
    <cellStyle name="20% - Accent1 2 5 3 2" xfId="13764" xr:uid="{8C48156A-DF9D-449D-A470-06C78DF89A16}"/>
    <cellStyle name="20% - Accent1 2 5 4" xfId="9546" xr:uid="{80208631-3B5C-4357-882F-B19815607B56}"/>
    <cellStyle name="20% - Accent1 2 6" xfId="1439" xr:uid="{00000000-0005-0000-0000-000047000000}"/>
    <cellStyle name="20% - Accent1 2 6 2" xfId="3669" xr:uid="{00000000-0005-0000-0000-000048000000}"/>
    <cellStyle name="20% - Accent1 2 6 2 2" xfId="7893" xr:uid="{00000000-0005-0000-0000-000049000000}"/>
    <cellStyle name="20% - Accent1 2 6 2 2 2" xfId="16322" xr:uid="{3DC4D8DB-BB9D-47C6-AA90-C26A3A5DA1FC}"/>
    <cellStyle name="20% - Accent1 2 6 2 3" xfId="12104" xr:uid="{E8097B62-6200-49D7-9027-A9B237A63F33}"/>
    <cellStyle name="20% - Accent1 2 6 3" xfId="5748" xr:uid="{00000000-0005-0000-0000-00004A000000}"/>
    <cellStyle name="20% - Accent1 2 6 3 2" xfId="14177" xr:uid="{C4F73FA2-9370-483E-A890-C9DEFEE7C8BE}"/>
    <cellStyle name="20% - Accent1 2 6 4" xfId="9959" xr:uid="{CDA44438-4731-4A26-BC0D-743210C751E5}"/>
    <cellStyle name="20% - Accent1 2 7" xfId="1853" xr:uid="{00000000-0005-0000-0000-00004B000000}"/>
    <cellStyle name="20% - Accent1 2 7 2" xfId="4082" xr:uid="{00000000-0005-0000-0000-00004C000000}"/>
    <cellStyle name="20% - Accent1 2 7 2 2" xfId="8306" xr:uid="{00000000-0005-0000-0000-00004D000000}"/>
    <cellStyle name="20% - Accent1 2 7 2 2 2" xfId="16735" xr:uid="{25E8B66C-F693-4A33-83FD-1175987D8451}"/>
    <cellStyle name="20% - Accent1 2 7 2 3" xfId="12517" xr:uid="{42511BDD-9B2F-4DC5-AEC7-C64DC1F365D5}"/>
    <cellStyle name="20% - Accent1 2 7 3" xfId="6161" xr:uid="{00000000-0005-0000-0000-00004E000000}"/>
    <cellStyle name="20% - Accent1 2 7 3 2" xfId="14590" xr:uid="{A51310FA-024E-41F4-9CA9-3072A02350CD}"/>
    <cellStyle name="20% - Accent1 2 7 4" xfId="10372" xr:uid="{7025CF70-6E49-46A1-8121-CCC1A97089C1}"/>
    <cellStyle name="20% - Accent1 2 8" xfId="2266" xr:uid="{00000000-0005-0000-0000-00004F000000}"/>
    <cellStyle name="20% - Accent1 2 8 2" xfId="6574" xr:uid="{00000000-0005-0000-0000-000050000000}"/>
    <cellStyle name="20% - Accent1 2 8 2 2" xfId="15003" xr:uid="{230E6E66-8755-45AC-A464-4F536A689BB6}"/>
    <cellStyle name="20% - Accent1 2 8 3" xfId="10785" xr:uid="{29F2A78E-5146-4DA8-B0FD-EAB494AB8D4C}"/>
    <cellStyle name="20% - Accent1 2 9" xfId="4508" xr:uid="{00000000-0005-0000-0000-000051000000}"/>
    <cellStyle name="20% - Accent1 2 9 2" xfId="12937" xr:uid="{6591E9A2-9450-4B1B-A895-655A7CA02162}"/>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2 2 2" xfId="15501" xr:uid="{838D8916-AFAF-4CBB-A196-F88337EDD1E3}"/>
    <cellStyle name="20% - Accent1 3 2 2 2 3" xfId="11283" xr:uid="{B8DE58D8-1890-4242-B173-7A1F9C68A113}"/>
    <cellStyle name="20% - Accent1 3 2 2 3" xfId="4927" xr:uid="{00000000-0005-0000-0000-000057000000}"/>
    <cellStyle name="20% - Accent1 3 2 2 3 2" xfId="13356" xr:uid="{F8D7D23F-E24F-4FBD-A552-ED18F8F561A5}"/>
    <cellStyle name="20% - Accent1 3 2 2 4" xfId="9138" xr:uid="{F3C505CA-1D67-4FB0-A36E-5C509B49A9D5}"/>
    <cellStyle name="20% - Accent1 3 2 3" xfId="1030" xr:uid="{00000000-0005-0000-0000-000058000000}"/>
    <cellStyle name="20% - Accent1 3 2 3 2" xfId="3261" xr:uid="{00000000-0005-0000-0000-000059000000}"/>
    <cellStyle name="20% - Accent1 3 2 3 2 2" xfId="7485" xr:uid="{00000000-0005-0000-0000-00005A000000}"/>
    <cellStyle name="20% - Accent1 3 2 3 2 2 2" xfId="15914" xr:uid="{EDAF1A3F-C983-40C6-8BE7-CAA825A2323E}"/>
    <cellStyle name="20% - Accent1 3 2 3 2 3" xfId="11696" xr:uid="{FBB6D182-E692-41F8-8BDA-DC0C8C5A62A5}"/>
    <cellStyle name="20% - Accent1 3 2 3 3" xfId="5340" xr:uid="{00000000-0005-0000-0000-00005B000000}"/>
    <cellStyle name="20% - Accent1 3 2 3 3 2" xfId="13769" xr:uid="{CD152533-3319-4BAD-9403-1DC8C61A7C4C}"/>
    <cellStyle name="20% - Accent1 3 2 3 4" xfId="9551" xr:uid="{6E319849-0AAA-4958-9BEE-336FB71ED52B}"/>
    <cellStyle name="20% - Accent1 3 2 4" xfId="1444" xr:uid="{00000000-0005-0000-0000-00005C000000}"/>
    <cellStyle name="20% - Accent1 3 2 4 2" xfId="3674" xr:uid="{00000000-0005-0000-0000-00005D000000}"/>
    <cellStyle name="20% - Accent1 3 2 4 2 2" xfId="7898" xr:uid="{00000000-0005-0000-0000-00005E000000}"/>
    <cellStyle name="20% - Accent1 3 2 4 2 2 2" xfId="16327" xr:uid="{E7C73F44-7ADF-4967-8788-C8D5F2B4594E}"/>
    <cellStyle name="20% - Accent1 3 2 4 2 3" xfId="12109" xr:uid="{6B28C60A-274A-4C3A-9A86-254A7B68AAF8}"/>
    <cellStyle name="20% - Accent1 3 2 4 3" xfId="5753" xr:uid="{00000000-0005-0000-0000-00005F000000}"/>
    <cellStyle name="20% - Accent1 3 2 4 3 2" xfId="14182" xr:uid="{3847EAEE-02A6-48F4-9201-E4B5906996D6}"/>
    <cellStyle name="20% - Accent1 3 2 4 4" xfId="9964" xr:uid="{86CD9DAE-E91D-4BA2-A01E-8A25CB18047B}"/>
    <cellStyle name="20% - Accent1 3 2 5" xfId="1858" xr:uid="{00000000-0005-0000-0000-000060000000}"/>
    <cellStyle name="20% - Accent1 3 2 5 2" xfId="4087" xr:uid="{00000000-0005-0000-0000-000061000000}"/>
    <cellStyle name="20% - Accent1 3 2 5 2 2" xfId="8311" xr:uid="{00000000-0005-0000-0000-000062000000}"/>
    <cellStyle name="20% - Accent1 3 2 5 2 2 2" xfId="16740" xr:uid="{D96ABE0F-8B4D-47D2-833B-9DCC589F3D0E}"/>
    <cellStyle name="20% - Accent1 3 2 5 2 3" xfId="12522" xr:uid="{44A729C1-837E-42B5-B188-7370D1105257}"/>
    <cellStyle name="20% - Accent1 3 2 5 3" xfId="6166" xr:uid="{00000000-0005-0000-0000-000063000000}"/>
    <cellStyle name="20% - Accent1 3 2 5 3 2" xfId="14595" xr:uid="{0A91F971-335E-4463-BD16-EF0438395789}"/>
    <cellStyle name="20% - Accent1 3 2 5 4" xfId="10377" xr:uid="{6ECC99AF-C8C0-4F74-A739-6356595C8AA7}"/>
    <cellStyle name="20% - Accent1 3 2 6" xfId="2271" xr:uid="{00000000-0005-0000-0000-000064000000}"/>
    <cellStyle name="20% - Accent1 3 2 6 2" xfId="6579" xr:uid="{00000000-0005-0000-0000-000065000000}"/>
    <cellStyle name="20% - Accent1 3 2 6 2 2" xfId="15008" xr:uid="{24E6C9B6-9596-4338-AF5D-599ADB5B7030}"/>
    <cellStyle name="20% - Accent1 3 2 6 3" xfId="10790" xr:uid="{45E2CE29-F8BF-437F-BAD4-3CDCA7D4DE18}"/>
    <cellStyle name="20% - Accent1 3 2 7" xfId="4513" xr:uid="{00000000-0005-0000-0000-000066000000}"/>
    <cellStyle name="20% - Accent1 3 2 7 2" xfId="12942" xr:uid="{EBA76311-24FD-43A3-B756-4D1711011B0C}"/>
    <cellStyle name="20% - Accent1 3 2 8" xfId="8724" xr:uid="{3206989A-C1C2-4B04-AA29-8A98F0FF51E6}"/>
    <cellStyle name="20% - Accent1 3 3" xfId="576" xr:uid="{00000000-0005-0000-0000-000067000000}"/>
    <cellStyle name="20% - Accent1 3 3 2" xfId="2847" xr:uid="{00000000-0005-0000-0000-000068000000}"/>
    <cellStyle name="20% - Accent1 3 3 2 2" xfId="7071" xr:uid="{00000000-0005-0000-0000-000069000000}"/>
    <cellStyle name="20% - Accent1 3 3 2 2 2" xfId="15500" xr:uid="{BE155B8C-7231-42E9-B7AB-5EEE180172B3}"/>
    <cellStyle name="20% - Accent1 3 3 2 3" xfId="11282" xr:uid="{EDBCFB59-8FB6-4023-927A-FC2628E4A3DC}"/>
    <cellStyle name="20% - Accent1 3 3 3" xfId="4926" xr:uid="{00000000-0005-0000-0000-00006A000000}"/>
    <cellStyle name="20% - Accent1 3 3 3 2" xfId="13355" xr:uid="{11E674AF-DE9D-4B84-8A8E-1C6F480631D2}"/>
    <cellStyle name="20% - Accent1 3 3 4" xfId="9137" xr:uid="{2FC9C333-FF03-49C7-836A-8CC3743570D2}"/>
    <cellStyle name="20% - Accent1 3 4" xfId="1029" xr:uid="{00000000-0005-0000-0000-00006B000000}"/>
    <cellStyle name="20% - Accent1 3 4 2" xfId="3260" xr:uid="{00000000-0005-0000-0000-00006C000000}"/>
    <cellStyle name="20% - Accent1 3 4 2 2" xfId="7484" xr:uid="{00000000-0005-0000-0000-00006D000000}"/>
    <cellStyle name="20% - Accent1 3 4 2 2 2" xfId="15913" xr:uid="{41625A79-22EC-44BC-8621-48F3DA2ED73B}"/>
    <cellStyle name="20% - Accent1 3 4 2 3" xfId="11695" xr:uid="{01F4C7B0-0222-4D4C-8F7A-4C2A588C56B6}"/>
    <cellStyle name="20% - Accent1 3 4 3" xfId="5339" xr:uid="{00000000-0005-0000-0000-00006E000000}"/>
    <cellStyle name="20% - Accent1 3 4 3 2" xfId="13768" xr:uid="{6AF7188B-B326-42BA-A5BA-68E58BBBF1FC}"/>
    <cellStyle name="20% - Accent1 3 4 4" xfId="9550" xr:uid="{22EF6DFD-0D7C-49AF-8466-257B1555811E}"/>
    <cellStyle name="20% - Accent1 3 5" xfId="1443" xr:uid="{00000000-0005-0000-0000-00006F000000}"/>
    <cellStyle name="20% - Accent1 3 5 2" xfId="3673" xr:uid="{00000000-0005-0000-0000-000070000000}"/>
    <cellStyle name="20% - Accent1 3 5 2 2" xfId="7897" xr:uid="{00000000-0005-0000-0000-000071000000}"/>
    <cellStyle name="20% - Accent1 3 5 2 2 2" xfId="16326" xr:uid="{5F6E4969-1C11-463B-B163-BDF5B13A58DA}"/>
    <cellStyle name="20% - Accent1 3 5 2 3" xfId="12108" xr:uid="{D3CA203C-867D-42B3-A433-968F185F9D6C}"/>
    <cellStyle name="20% - Accent1 3 5 3" xfId="5752" xr:uid="{00000000-0005-0000-0000-000072000000}"/>
    <cellStyle name="20% - Accent1 3 5 3 2" xfId="14181" xr:uid="{C98E8E71-3F96-4FDC-BE7F-637CAD4F4E01}"/>
    <cellStyle name="20% - Accent1 3 5 4" xfId="9963" xr:uid="{D76CE3F1-1C02-4977-9455-E5D377AA1A44}"/>
    <cellStyle name="20% - Accent1 3 6" xfId="1857" xr:uid="{00000000-0005-0000-0000-000073000000}"/>
    <cellStyle name="20% - Accent1 3 6 2" xfId="4086" xr:uid="{00000000-0005-0000-0000-000074000000}"/>
    <cellStyle name="20% - Accent1 3 6 2 2" xfId="8310" xr:uid="{00000000-0005-0000-0000-000075000000}"/>
    <cellStyle name="20% - Accent1 3 6 2 2 2" xfId="16739" xr:uid="{5314BABB-5ED8-4FDB-9BC3-4F8168BD2D0B}"/>
    <cellStyle name="20% - Accent1 3 6 2 3" xfId="12521" xr:uid="{E97BAF63-8104-4264-BFF3-572A9D8DA13A}"/>
    <cellStyle name="20% - Accent1 3 6 3" xfId="6165" xr:uid="{00000000-0005-0000-0000-000076000000}"/>
    <cellStyle name="20% - Accent1 3 6 3 2" xfId="14594" xr:uid="{8E732F50-4C3E-4127-9038-1BD1DDBFC6EF}"/>
    <cellStyle name="20% - Accent1 3 6 4" xfId="10376" xr:uid="{A72A9EE1-79FC-4656-83BA-C9D30EC32781}"/>
    <cellStyle name="20% - Accent1 3 7" xfId="2270" xr:uid="{00000000-0005-0000-0000-000077000000}"/>
    <cellStyle name="20% - Accent1 3 7 2" xfId="6578" xr:uid="{00000000-0005-0000-0000-000078000000}"/>
    <cellStyle name="20% - Accent1 3 7 2 2" xfId="15007" xr:uid="{9DA94AB2-829A-4BE3-9E03-335ADC3C6750}"/>
    <cellStyle name="20% - Accent1 3 7 3" xfId="10789" xr:uid="{D7DBF541-829D-447F-A7F1-3A6F8CF2B798}"/>
    <cellStyle name="20% - Accent1 3 8" xfId="4512" xr:uid="{00000000-0005-0000-0000-000079000000}"/>
    <cellStyle name="20% - Accent1 3 8 2" xfId="12941" xr:uid="{4232C35A-920A-45A8-BD5F-9068A321EE38}"/>
    <cellStyle name="20% - Accent1 3 9" xfId="8723" xr:uid="{56C616A1-99DE-424C-897D-E5164E3F6FD6}"/>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2 2 2" xfId="15502" xr:uid="{A3BE57A7-826A-48D7-9E98-202EA2FBCEEF}"/>
    <cellStyle name="20% - Accent1 4 2 2 3" xfId="11284" xr:uid="{8F93923F-78AC-4D55-BCED-D7A962EFB9BC}"/>
    <cellStyle name="20% - Accent1 4 2 3" xfId="4928" xr:uid="{00000000-0005-0000-0000-00007E000000}"/>
    <cellStyle name="20% - Accent1 4 2 3 2" xfId="13357" xr:uid="{1580EB32-3DB6-4217-9E7A-1632473B95D2}"/>
    <cellStyle name="20% - Accent1 4 2 4" xfId="9139" xr:uid="{56EF7DF6-995A-4F59-9A49-69D9F14D5E7D}"/>
    <cellStyle name="20% - Accent1 4 3" xfId="1031" xr:uid="{00000000-0005-0000-0000-00007F000000}"/>
    <cellStyle name="20% - Accent1 4 3 2" xfId="3262" xr:uid="{00000000-0005-0000-0000-000080000000}"/>
    <cellStyle name="20% - Accent1 4 3 2 2" xfId="7486" xr:uid="{00000000-0005-0000-0000-000081000000}"/>
    <cellStyle name="20% - Accent1 4 3 2 2 2" xfId="15915" xr:uid="{546118F8-047A-42B7-84BA-EFFD1F060D1D}"/>
    <cellStyle name="20% - Accent1 4 3 2 3" xfId="11697" xr:uid="{620DD7B9-7A1C-4865-A5CE-8FC4838D138C}"/>
    <cellStyle name="20% - Accent1 4 3 3" xfId="5341" xr:uid="{00000000-0005-0000-0000-000082000000}"/>
    <cellStyle name="20% - Accent1 4 3 3 2" xfId="13770" xr:uid="{3EF36980-541F-4ECE-BF38-911A745FA26A}"/>
    <cellStyle name="20% - Accent1 4 3 4" xfId="9552" xr:uid="{EA5176F7-9586-4656-8DDD-CBF145D8131A}"/>
    <cellStyle name="20% - Accent1 4 4" xfId="1445" xr:uid="{00000000-0005-0000-0000-000083000000}"/>
    <cellStyle name="20% - Accent1 4 4 2" xfId="3675" xr:uid="{00000000-0005-0000-0000-000084000000}"/>
    <cellStyle name="20% - Accent1 4 4 2 2" xfId="7899" xr:uid="{00000000-0005-0000-0000-000085000000}"/>
    <cellStyle name="20% - Accent1 4 4 2 2 2" xfId="16328" xr:uid="{5D7F4D31-2C7A-4061-99CA-F1EFB619F243}"/>
    <cellStyle name="20% - Accent1 4 4 2 3" xfId="12110" xr:uid="{201FFB6D-FC17-482C-9C57-D74B0A679416}"/>
    <cellStyle name="20% - Accent1 4 4 3" xfId="5754" xr:uid="{00000000-0005-0000-0000-000086000000}"/>
    <cellStyle name="20% - Accent1 4 4 3 2" xfId="14183" xr:uid="{1E92298B-9961-4FD3-99FB-766CAFD5D548}"/>
    <cellStyle name="20% - Accent1 4 4 4" xfId="9965" xr:uid="{57A7B417-4F5B-4DE3-AD7F-062B746E5237}"/>
    <cellStyle name="20% - Accent1 4 5" xfId="1859" xr:uid="{00000000-0005-0000-0000-000087000000}"/>
    <cellStyle name="20% - Accent1 4 5 2" xfId="4088" xr:uid="{00000000-0005-0000-0000-000088000000}"/>
    <cellStyle name="20% - Accent1 4 5 2 2" xfId="8312" xr:uid="{00000000-0005-0000-0000-000089000000}"/>
    <cellStyle name="20% - Accent1 4 5 2 2 2" xfId="16741" xr:uid="{DFF0AAEC-044B-453B-805F-996A0BC897B9}"/>
    <cellStyle name="20% - Accent1 4 5 2 3" xfId="12523" xr:uid="{F61735E1-F436-485F-8FDE-DB3873AB3655}"/>
    <cellStyle name="20% - Accent1 4 5 3" xfId="6167" xr:uid="{00000000-0005-0000-0000-00008A000000}"/>
    <cellStyle name="20% - Accent1 4 5 3 2" xfId="14596" xr:uid="{97B1B0AB-7E1B-413A-AF34-87A1CD111622}"/>
    <cellStyle name="20% - Accent1 4 5 4" xfId="10378" xr:uid="{E708E25C-81BB-4F6E-956C-7E47EF559310}"/>
    <cellStyle name="20% - Accent1 4 6" xfId="2272" xr:uid="{00000000-0005-0000-0000-00008B000000}"/>
    <cellStyle name="20% - Accent1 4 6 2" xfId="6580" xr:uid="{00000000-0005-0000-0000-00008C000000}"/>
    <cellStyle name="20% - Accent1 4 6 2 2" xfId="15009" xr:uid="{68F2D181-9079-430F-B6D9-E73AC07569F3}"/>
    <cellStyle name="20% - Accent1 4 6 3" xfId="10791" xr:uid="{FB3E7AD5-F076-49BF-995D-7ACF4DE76BD8}"/>
    <cellStyle name="20% - Accent1 4 7" xfId="4514" xr:uid="{00000000-0005-0000-0000-00008D000000}"/>
    <cellStyle name="20% - Accent1 4 7 2" xfId="12943" xr:uid="{0A479D40-159A-4C2B-AE58-C0D862FC2C1B}"/>
    <cellStyle name="20% - Accent1 4 8" xfId="8725" xr:uid="{779B9B2B-68C2-4FED-AED4-675FBF126C44}"/>
    <cellStyle name="20% - Accent1 5" xfId="571" xr:uid="{00000000-0005-0000-0000-00008E000000}"/>
    <cellStyle name="20% - Accent1 5 2" xfId="2842" xr:uid="{00000000-0005-0000-0000-00008F000000}"/>
    <cellStyle name="20% - Accent1 5 2 2" xfId="7066" xr:uid="{00000000-0005-0000-0000-000090000000}"/>
    <cellStyle name="20% - Accent1 5 2 2 2" xfId="15495" xr:uid="{14DDFEE2-1DA9-4E1F-A5F7-2F4352F5B5E8}"/>
    <cellStyle name="20% - Accent1 5 2 3" xfId="11277" xr:uid="{2E24365A-1BD6-49C6-B0DE-88919392D68F}"/>
    <cellStyle name="20% - Accent1 5 3" xfId="4921" xr:uid="{00000000-0005-0000-0000-000091000000}"/>
    <cellStyle name="20% - Accent1 5 3 2" xfId="13350" xr:uid="{0B8F245C-373B-4715-8702-557F7A7B6D81}"/>
    <cellStyle name="20% - Accent1 5 4" xfId="9132" xr:uid="{A9136E8F-BC1D-4FBF-A4B0-5449675A22F1}"/>
    <cellStyle name="20% - Accent1 6" xfId="1024" xr:uid="{00000000-0005-0000-0000-000092000000}"/>
    <cellStyle name="20% - Accent1 6 2" xfId="3255" xr:uid="{00000000-0005-0000-0000-000093000000}"/>
    <cellStyle name="20% - Accent1 6 2 2" xfId="7479" xr:uid="{00000000-0005-0000-0000-000094000000}"/>
    <cellStyle name="20% - Accent1 6 2 2 2" xfId="15908" xr:uid="{38D9563C-ED53-4457-BE8A-6E791178122F}"/>
    <cellStyle name="20% - Accent1 6 2 3" xfId="11690" xr:uid="{8363021E-D9BF-4B6B-8F2A-D0CE9C3236B2}"/>
    <cellStyle name="20% - Accent1 6 3" xfId="5334" xr:uid="{00000000-0005-0000-0000-000095000000}"/>
    <cellStyle name="20% - Accent1 6 3 2" xfId="13763" xr:uid="{B93163E7-A38D-4775-9AA6-BC0AB4A96205}"/>
    <cellStyle name="20% - Accent1 6 4" xfId="9545" xr:uid="{649917D9-81FE-4FBA-A0A6-2C754F57F31D}"/>
    <cellStyle name="20% - Accent1 7" xfId="1438" xr:uid="{00000000-0005-0000-0000-000096000000}"/>
    <cellStyle name="20% - Accent1 7 2" xfId="3668" xr:uid="{00000000-0005-0000-0000-000097000000}"/>
    <cellStyle name="20% - Accent1 7 2 2" xfId="7892" xr:uid="{00000000-0005-0000-0000-000098000000}"/>
    <cellStyle name="20% - Accent1 7 2 2 2" xfId="16321" xr:uid="{9BCDD2FE-E2EC-46A3-BEA8-7E7D325836B7}"/>
    <cellStyle name="20% - Accent1 7 2 3" xfId="12103" xr:uid="{71A086D2-E156-4FF9-8FFC-207D161C79A4}"/>
    <cellStyle name="20% - Accent1 7 3" xfId="5747" xr:uid="{00000000-0005-0000-0000-000099000000}"/>
    <cellStyle name="20% - Accent1 7 3 2" xfId="14176" xr:uid="{2583CB12-4A0C-40A4-9E4F-0B70EB3C815A}"/>
    <cellStyle name="20% - Accent1 7 4" xfId="9958" xr:uid="{85782891-6009-4E79-BC1C-5F14C1839FBE}"/>
    <cellStyle name="20% - Accent1 8" xfId="1852" xr:uid="{00000000-0005-0000-0000-00009A000000}"/>
    <cellStyle name="20% - Accent1 8 2" xfId="4081" xr:uid="{00000000-0005-0000-0000-00009B000000}"/>
    <cellStyle name="20% - Accent1 8 2 2" xfId="8305" xr:uid="{00000000-0005-0000-0000-00009C000000}"/>
    <cellStyle name="20% - Accent1 8 2 2 2" xfId="16734" xr:uid="{95A2E1A3-77D5-4F59-BB7A-A776F9E57142}"/>
    <cellStyle name="20% - Accent1 8 2 3" xfId="12516" xr:uid="{F68BDCCA-6DA7-4EF3-B25E-C98EB6AD8AA8}"/>
    <cellStyle name="20% - Accent1 8 3" xfId="6160" xr:uid="{00000000-0005-0000-0000-00009D000000}"/>
    <cellStyle name="20% - Accent1 8 3 2" xfId="14589" xr:uid="{21FCC401-C717-4623-900F-68EC06FC47E5}"/>
    <cellStyle name="20% - Accent1 8 4" xfId="10371" xr:uid="{56389CB2-864B-48FD-A1DC-ADA07BB340EC}"/>
    <cellStyle name="20% - Accent1 9" xfId="2265" xr:uid="{00000000-0005-0000-0000-00009E000000}"/>
    <cellStyle name="20% - Accent1 9 2" xfId="6573" xr:uid="{00000000-0005-0000-0000-00009F000000}"/>
    <cellStyle name="20% - Accent1 9 2 2" xfId="15002" xr:uid="{7E923EBA-7249-4303-9B0A-011E34C07EAD}"/>
    <cellStyle name="20% - Accent1 9 3" xfId="10784" xr:uid="{B52D4178-A7C2-4377-AD1D-1E5B0CCF9DD1}"/>
    <cellStyle name="20% - Accent2" xfId="9" builtinId="34" customBuiltin="1"/>
    <cellStyle name="20% - Accent2 10" xfId="4515" xr:uid="{00000000-0005-0000-0000-0000A1000000}"/>
    <cellStyle name="20% - Accent2 10 2" xfId="12944" xr:uid="{9448688D-BA41-43AA-AE0E-0C657D3B99C0}"/>
    <cellStyle name="20% - Accent2 11" xfId="8726" xr:uid="{71554980-CF88-4722-BC63-F9922B5711F5}"/>
    <cellStyle name="20% - Accent2 2" xfId="10" xr:uid="{00000000-0005-0000-0000-0000A2000000}"/>
    <cellStyle name="20% - Accent2 2 10" xfId="8727" xr:uid="{8CD15060-7CD9-47E9-85BB-F81C2FC556E9}"/>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2 2 2" xfId="15506" xr:uid="{3A066E61-57E3-426E-B4CC-EC7FF73FE8B6}"/>
    <cellStyle name="20% - Accent2 2 2 2 2 2 3" xfId="11288" xr:uid="{D7BA4265-0EEF-4861-A196-69BE2E5623EA}"/>
    <cellStyle name="20% - Accent2 2 2 2 2 3" xfId="4932" xr:uid="{00000000-0005-0000-0000-0000A8000000}"/>
    <cellStyle name="20% - Accent2 2 2 2 2 3 2" xfId="13361" xr:uid="{EAA2138F-B252-476D-88AD-5F35627C9F5D}"/>
    <cellStyle name="20% - Accent2 2 2 2 2 4" xfId="9143" xr:uid="{4EFFFAC1-9902-42CC-9D6D-91AE01D786D2}"/>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2 2 2" xfId="15919" xr:uid="{ED2FDEA4-C5B0-4B5C-A11F-F52973DDE80C}"/>
    <cellStyle name="20% - Accent2 2 2 2 3 2 3" xfId="11701" xr:uid="{9A922A9C-B538-4BF6-86FD-75C171E994A6}"/>
    <cellStyle name="20% - Accent2 2 2 2 3 3" xfId="5345" xr:uid="{00000000-0005-0000-0000-0000AC000000}"/>
    <cellStyle name="20% - Accent2 2 2 2 3 3 2" xfId="13774" xr:uid="{342D44E1-9CA2-4171-8139-66E4AAF3C606}"/>
    <cellStyle name="20% - Accent2 2 2 2 3 4" xfId="9556" xr:uid="{D3A571EF-D37D-498D-9463-F1DAD74F4492}"/>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2 2 2" xfId="16332" xr:uid="{D2A801D7-91B8-4A67-958C-9A920BFAA9CD}"/>
    <cellStyle name="20% - Accent2 2 2 2 4 2 3" xfId="12114" xr:uid="{3A83330B-B2E3-4E23-8834-253F4A3A8376}"/>
    <cellStyle name="20% - Accent2 2 2 2 4 3" xfId="5758" xr:uid="{00000000-0005-0000-0000-0000B0000000}"/>
    <cellStyle name="20% - Accent2 2 2 2 4 3 2" xfId="14187" xr:uid="{E4FB0077-1050-48D7-BB59-CE5A4931F5B1}"/>
    <cellStyle name="20% - Accent2 2 2 2 4 4" xfId="9969" xr:uid="{E158598F-C0B3-49B4-9E1F-DFD2692753CA}"/>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2 2 2" xfId="16745" xr:uid="{2FA8E759-78C3-45F7-8B50-87C7BBCAFDDE}"/>
    <cellStyle name="20% - Accent2 2 2 2 5 2 3" xfId="12527" xr:uid="{2D17C799-6B74-4612-A3A8-555642189B00}"/>
    <cellStyle name="20% - Accent2 2 2 2 5 3" xfId="6171" xr:uid="{00000000-0005-0000-0000-0000B4000000}"/>
    <cellStyle name="20% - Accent2 2 2 2 5 3 2" xfId="14600" xr:uid="{96566329-4BF2-4CBD-86B1-A5185A7F855B}"/>
    <cellStyle name="20% - Accent2 2 2 2 5 4" xfId="10382" xr:uid="{DC0A5D3F-B0F4-4A12-9654-02B4B42B05F7}"/>
    <cellStyle name="20% - Accent2 2 2 2 6" xfId="2276" xr:uid="{00000000-0005-0000-0000-0000B5000000}"/>
    <cellStyle name="20% - Accent2 2 2 2 6 2" xfId="6584" xr:uid="{00000000-0005-0000-0000-0000B6000000}"/>
    <cellStyle name="20% - Accent2 2 2 2 6 2 2" xfId="15013" xr:uid="{BFAB3EF0-F54F-41C9-80D8-417EF906FB9F}"/>
    <cellStyle name="20% - Accent2 2 2 2 6 3" xfId="10795" xr:uid="{7F1CEC4E-046A-4135-B053-6FA91133282F}"/>
    <cellStyle name="20% - Accent2 2 2 2 7" xfId="4518" xr:uid="{00000000-0005-0000-0000-0000B7000000}"/>
    <cellStyle name="20% - Accent2 2 2 2 7 2" xfId="12947" xr:uid="{CE782261-FB64-4516-9887-605D4E4FC27F}"/>
    <cellStyle name="20% - Accent2 2 2 2 8" xfId="8729" xr:uid="{72E78561-202A-428C-9C7E-966B0A996329}"/>
    <cellStyle name="20% - Accent2 2 2 3" xfId="581" xr:uid="{00000000-0005-0000-0000-0000B8000000}"/>
    <cellStyle name="20% - Accent2 2 2 3 2" xfId="2852" xr:uid="{00000000-0005-0000-0000-0000B9000000}"/>
    <cellStyle name="20% - Accent2 2 2 3 2 2" xfId="7076" xr:uid="{00000000-0005-0000-0000-0000BA000000}"/>
    <cellStyle name="20% - Accent2 2 2 3 2 2 2" xfId="15505" xr:uid="{077871E3-1970-41FE-A0D2-4F792FD5A836}"/>
    <cellStyle name="20% - Accent2 2 2 3 2 3" xfId="11287" xr:uid="{744FC013-82F4-4585-A6B0-A035F5FF8B04}"/>
    <cellStyle name="20% - Accent2 2 2 3 3" xfId="4931" xr:uid="{00000000-0005-0000-0000-0000BB000000}"/>
    <cellStyle name="20% - Accent2 2 2 3 3 2" xfId="13360" xr:uid="{6C327DA8-A069-4840-BE29-13F04504942D}"/>
    <cellStyle name="20% - Accent2 2 2 3 4" xfId="9142" xr:uid="{FC30167E-A1E7-4905-B575-EAA8E1CDBD84}"/>
    <cellStyle name="20% - Accent2 2 2 4" xfId="1034" xr:uid="{00000000-0005-0000-0000-0000BC000000}"/>
    <cellStyle name="20% - Accent2 2 2 4 2" xfId="3265" xr:uid="{00000000-0005-0000-0000-0000BD000000}"/>
    <cellStyle name="20% - Accent2 2 2 4 2 2" xfId="7489" xr:uid="{00000000-0005-0000-0000-0000BE000000}"/>
    <cellStyle name="20% - Accent2 2 2 4 2 2 2" xfId="15918" xr:uid="{FFBF0A98-53EC-4500-8D79-32C96B6964CC}"/>
    <cellStyle name="20% - Accent2 2 2 4 2 3" xfId="11700" xr:uid="{D0622C6D-A198-4936-9F91-596DEF3C9B29}"/>
    <cellStyle name="20% - Accent2 2 2 4 3" xfId="5344" xr:uid="{00000000-0005-0000-0000-0000BF000000}"/>
    <cellStyle name="20% - Accent2 2 2 4 3 2" xfId="13773" xr:uid="{1A9F7750-DD7D-4077-B376-2B82C0DA7678}"/>
    <cellStyle name="20% - Accent2 2 2 4 4" xfId="9555" xr:uid="{AFAF6DFA-79AC-4AD1-999C-0716BF00BEE8}"/>
    <cellStyle name="20% - Accent2 2 2 5" xfId="1448" xr:uid="{00000000-0005-0000-0000-0000C0000000}"/>
    <cellStyle name="20% - Accent2 2 2 5 2" xfId="3678" xr:uid="{00000000-0005-0000-0000-0000C1000000}"/>
    <cellStyle name="20% - Accent2 2 2 5 2 2" xfId="7902" xr:uid="{00000000-0005-0000-0000-0000C2000000}"/>
    <cellStyle name="20% - Accent2 2 2 5 2 2 2" xfId="16331" xr:uid="{2AC36453-E306-4E20-8F5F-55EE4F2A37FF}"/>
    <cellStyle name="20% - Accent2 2 2 5 2 3" xfId="12113" xr:uid="{37B66825-E7AA-49A0-954F-01D8A3210D46}"/>
    <cellStyle name="20% - Accent2 2 2 5 3" xfId="5757" xr:uid="{00000000-0005-0000-0000-0000C3000000}"/>
    <cellStyle name="20% - Accent2 2 2 5 3 2" xfId="14186" xr:uid="{35314E70-513F-47DD-BE44-429276123F7C}"/>
    <cellStyle name="20% - Accent2 2 2 5 4" xfId="9968" xr:uid="{3911DA0D-AB39-43C3-82DD-1116B3418694}"/>
    <cellStyle name="20% - Accent2 2 2 6" xfId="1862" xr:uid="{00000000-0005-0000-0000-0000C4000000}"/>
    <cellStyle name="20% - Accent2 2 2 6 2" xfId="4091" xr:uid="{00000000-0005-0000-0000-0000C5000000}"/>
    <cellStyle name="20% - Accent2 2 2 6 2 2" xfId="8315" xr:uid="{00000000-0005-0000-0000-0000C6000000}"/>
    <cellStyle name="20% - Accent2 2 2 6 2 2 2" xfId="16744" xr:uid="{EEB50C27-4130-421E-B5AC-8A96D6B5F1FC}"/>
    <cellStyle name="20% - Accent2 2 2 6 2 3" xfId="12526" xr:uid="{A9E936AF-A49F-46B4-AC66-B00CB650E998}"/>
    <cellStyle name="20% - Accent2 2 2 6 3" xfId="6170" xr:uid="{00000000-0005-0000-0000-0000C7000000}"/>
    <cellStyle name="20% - Accent2 2 2 6 3 2" xfId="14599" xr:uid="{98B78E1C-2091-45C4-8475-526F010B07BC}"/>
    <cellStyle name="20% - Accent2 2 2 6 4" xfId="10381" xr:uid="{33A5F844-6EF1-4DC9-929F-58D5819B1718}"/>
    <cellStyle name="20% - Accent2 2 2 7" xfId="2275" xr:uid="{00000000-0005-0000-0000-0000C8000000}"/>
    <cellStyle name="20% - Accent2 2 2 7 2" xfId="6583" xr:uid="{00000000-0005-0000-0000-0000C9000000}"/>
    <cellStyle name="20% - Accent2 2 2 7 2 2" xfId="15012" xr:uid="{F7E21968-EC85-42E5-B32C-EACA75B046EA}"/>
    <cellStyle name="20% - Accent2 2 2 7 3" xfId="10794" xr:uid="{5DB9A062-2ADB-48BF-98B2-739A0B4A8AFA}"/>
    <cellStyle name="20% - Accent2 2 2 8" xfId="4517" xr:uid="{00000000-0005-0000-0000-0000CA000000}"/>
    <cellStyle name="20% - Accent2 2 2 8 2" xfId="12946" xr:uid="{2A4E6C81-5507-4B73-B553-A7BA6EB48AB2}"/>
    <cellStyle name="20% - Accent2 2 2 9" xfId="8728" xr:uid="{2A007EFA-6295-4D34-AFCB-047EB55E4F7B}"/>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2 2 2" xfId="15507" xr:uid="{09967A2E-902D-4ECC-BE2D-092D0F03024B}"/>
    <cellStyle name="20% - Accent2 2 3 2 2 3" xfId="11289" xr:uid="{C5B864A7-7193-4408-BCE8-8A24188B9020}"/>
    <cellStyle name="20% - Accent2 2 3 2 3" xfId="4933" xr:uid="{00000000-0005-0000-0000-0000CF000000}"/>
    <cellStyle name="20% - Accent2 2 3 2 3 2" xfId="13362" xr:uid="{BB21EE0A-C790-4AAC-A0E1-0D251EFECA63}"/>
    <cellStyle name="20% - Accent2 2 3 2 4" xfId="9144" xr:uid="{37886C0D-0896-48FE-BD39-EB90858AA0CF}"/>
    <cellStyle name="20% - Accent2 2 3 3" xfId="1036" xr:uid="{00000000-0005-0000-0000-0000D0000000}"/>
    <cellStyle name="20% - Accent2 2 3 3 2" xfId="3267" xr:uid="{00000000-0005-0000-0000-0000D1000000}"/>
    <cellStyle name="20% - Accent2 2 3 3 2 2" xfId="7491" xr:uid="{00000000-0005-0000-0000-0000D2000000}"/>
    <cellStyle name="20% - Accent2 2 3 3 2 2 2" xfId="15920" xr:uid="{1FFCF6FB-72F0-4934-95E1-7662D72D49CF}"/>
    <cellStyle name="20% - Accent2 2 3 3 2 3" xfId="11702" xr:uid="{EC7D86D2-DD47-42AB-9A4A-B90652909842}"/>
    <cellStyle name="20% - Accent2 2 3 3 3" xfId="5346" xr:uid="{00000000-0005-0000-0000-0000D3000000}"/>
    <cellStyle name="20% - Accent2 2 3 3 3 2" xfId="13775" xr:uid="{16EC762D-2942-4D3D-8FCF-1AABC54EA539}"/>
    <cellStyle name="20% - Accent2 2 3 3 4" xfId="9557" xr:uid="{CAD3F598-7BAF-4304-9372-6CC185AA42B4}"/>
    <cellStyle name="20% - Accent2 2 3 4" xfId="1450" xr:uid="{00000000-0005-0000-0000-0000D4000000}"/>
    <cellStyle name="20% - Accent2 2 3 4 2" xfId="3680" xr:uid="{00000000-0005-0000-0000-0000D5000000}"/>
    <cellStyle name="20% - Accent2 2 3 4 2 2" xfId="7904" xr:uid="{00000000-0005-0000-0000-0000D6000000}"/>
    <cellStyle name="20% - Accent2 2 3 4 2 2 2" xfId="16333" xr:uid="{C13107FF-096C-47ED-945E-A3F3EE6344F7}"/>
    <cellStyle name="20% - Accent2 2 3 4 2 3" xfId="12115" xr:uid="{BF6C904E-FF19-49AC-A8D6-BF202E592B1C}"/>
    <cellStyle name="20% - Accent2 2 3 4 3" xfId="5759" xr:uid="{00000000-0005-0000-0000-0000D7000000}"/>
    <cellStyle name="20% - Accent2 2 3 4 3 2" xfId="14188" xr:uid="{17004691-8E50-4201-AC8B-6CC56568DB16}"/>
    <cellStyle name="20% - Accent2 2 3 4 4" xfId="9970" xr:uid="{14896F16-8C0A-4C48-8610-42E1A79B7B3B}"/>
    <cellStyle name="20% - Accent2 2 3 5" xfId="1864" xr:uid="{00000000-0005-0000-0000-0000D8000000}"/>
    <cellStyle name="20% - Accent2 2 3 5 2" xfId="4093" xr:uid="{00000000-0005-0000-0000-0000D9000000}"/>
    <cellStyle name="20% - Accent2 2 3 5 2 2" xfId="8317" xr:uid="{00000000-0005-0000-0000-0000DA000000}"/>
    <cellStyle name="20% - Accent2 2 3 5 2 2 2" xfId="16746" xr:uid="{648C4453-3081-43CF-8DFF-2522B370FA79}"/>
    <cellStyle name="20% - Accent2 2 3 5 2 3" xfId="12528" xr:uid="{611B7F8E-1688-4CBF-8099-D88B04697DB3}"/>
    <cellStyle name="20% - Accent2 2 3 5 3" xfId="6172" xr:uid="{00000000-0005-0000-0000-0000DB000000}"/>
    <cellStyle name="20% - Accent2 2 3 5 3 2" xfId="14601" xr:uid="{1216D1E7-8382-4BA2-8CBF-3975A29AC608}"/>
    <cellStyle name="20% - Accent2 2 3 5 4" xfId="10383" xr:uid="{34138ECC-9422-46B8-AAEC-9B7F8B922410}"/>
    <cellStyle name="20% - Accent2 2 3 6" xfId="2277" xr:uid="{00000000-0005-0000-0000-0000DC000000}"/>
    <cellStyle name="20% - Accent2 2 3 6 2" xfId="6585" xr:uid="{00000000-0005-0000-0000-0000DD000000}"/>
    <cellStyle name="20% - Accent2 2 3 6 2 2" xfId="15014" xr:uid="{3C494D68-215B-48D3-B984-3648293305CC}"/>
    <cellStyle name="20% - Accent2 2 3 6 3" xfId="10796" xr:uid="{323D3D11-024F-47E7-9E5D-B0707E0B1DC1}"/>
    <cellStyle name="20% - Accent2 2 3 7" xfId="4519" xr:uid="{00000000-0005-0000-0000-0000DE000000}"/>
    <cellStyle name="20% - Accent2 2 3 7 2" xfId="12948" xr:uid="{0266B22D-31E9-4EC6-8406-EC54699F0B33}"/>
    <cellStyle name="20% - Accent2 2 3 8" xfId="8730" xr:uid="{BAA532B9-C4ED-4045-84E5-9DB59A16C693}"/>
    <cellStyle name="20% - Accent2 2 4" xfId="580" xr:uid="{00000000-0005-0000-0000-0000DF000000}"/>
    <cellStyle name="20% - Accent2 2 4 2" xfId="2851" xr:uid="{00000000-0005-0000-0000-0000E0000000}"/>
    <cellStyle name="20% - Accent2 2 4 2 2" xfId="7075" xr:uid="{00000000-0005-0000-0000-0000E1000000}"/>
    <cellStyle name="20% - Accent2 2 4 2 2 2" xfId="15504" xr:uid="{A5BE51DA-5EE5-44E1-AFEA-64B01B170C20}"/>
    <cellStyle name="20% - Accent2 2 4 2 3" xfId="11286" xr:uid="{2102FA49-1A94-4A52-B000-521A7F32E2F4}"/>
    <cellStyle name="20% - Accent2 2 4 3" xfId="4930" xr:uid="{00000000-0005-0000-0000-0000E2000000}"/>
    <cellStyle name="20% - Accent2 2 4 3 2" xfId="13359" xr:uid="{F737B22A-12DF-4888-83BD-DA02CFE5CA4D}"/>
    <cellStyle name="20% - Accent2 2 4 4" xfId="9141" xr:uid="{02D8F983-BE88-437D-B6AE-1B911608B1ED}"/>
    <cellStyle name="20% - Accent2 2 5" xfId="1033" xr:uid="{00000000-0005-0000-0000-0000E3000000}"/>
    <cellStyle name="20% - Accent2 2 5 2" xfId="3264" xr:uid="{00000000-0005-0000-0000-0000E4000000}"/>
    <cellStyle name="20% - Accent2 2 5 2 2" xfId="7488" xr:uid="{00000000-0005-0000-0000-0000E5000000}"/>
    <cellStyle name="20% - Accent2 2 5 2 2 2" xfId="15917" xr:uid="{35AE302F-27EB-464C-A878-C324229835E4}"/>
    <cellStyle name="20% - Accent2 2 5 2 3" xfId="11699" xr:uid="{51CDBB8B-2BD9-40FA-8608-9F54CE7D78D8}"/>
    <cellStyle name="20% - Accent2 2 5 3" xfId="5343" xr:uid="{00000000-0005-0000-0000-0000E6000000}"/>
    <cellStyle name="20% - Accent2 2 5 3 2" xfId="13772" xr:uid="{1E7A8513-501C-4219-96CB-3BE3D52E1A63}"/>
    <cellStyle name="20% - Accent2 2 5 4" xfId="9554" xr:uid="{21FE7841-3635-42F2-94A7-150936F8E447}"/>
    <cellStyle name="20% - Accent2 2 6" xfId="1447" xr:uid="{00000000-0005-0000-0000-0000E7000000}"/>
    <cellStyle name="20% - Accent2 2 6 2" xfId="3677" xr:uid="{00000000-0005-0000-0000-0000E8000000}"/>
    <cellStyle name="20% - Accent2 2 6 2 2" xfId="7901" xr:uid="{00000000-0005-0000-0000-0000E9000000}"/>
    <cellStyle name="20% - Accent2 2 6 2 2 2" xfId="16330" xr:uid="{76C33DE8-7043-45C2-B708-DEB51319E79F}"/>
    <cellStyle name="20% - Accent2 2 6 2 3" xfId="12112" xr:uid="{69217024-C259-4883-8CA2-BEAA70490EC0}"/>
    <cellStyle name="20% - Accent2 2 6 3" xfId="5756" xr:uid="{00000000-0005-0000-0000-0000EA000000}"/>
    <cellStyle name="20% - Accent2 2 6 3 2" xfId="14185" xr:uid="{603E6737-D680-4928-B9D6-1C7969E758B6}"/>
    <cellStyle name="20% - Accent2 2 6 4" xfId="9967" xr:uid="{DDCA2840-3A65-460D-A112-FA05191CECCE}"/>
    <cellStyle name="20% - Accent2 2 7" xfId="1861" xr:uid="{00000000-0005-0000-0000-0000EB000000}"/>
    <cellStyle name="20% - Accent2 2 7 2" xfId="4090" xr:uid="{00000000-0005-0000-0000-0000EC000000}"/>
    <cellStyle name="20% - Accent2 2 7 2 2" xfId="8314" xr:uid="{00000000-0005-0000-0000-0000ED000000}"/>
    <cellStyle name="20% - Accent2 2 7 2 2 2" xfId="16743" xr:uid="{932B91C7-41A3-4832-B775-2C587FDB22CD}"/>
    <cellStyle name="20% - Accent2 2 7 2 3" xfId="12525" xr:uid="{CA5AE1FB-FC27-472E-B50F-6081C287B237}"/>
    <cellStyle name="20% - Accent2 2 7 3" xfId="6169" xr:uid="{00000000-0005-0000-0000-0000EE000000}"/>
    <cellStyle name="20% - Accent2 2 7 3 2" xfId="14598" xr:uid="{0A6EA652-5479-4155-8B5C-C8EFBD74C9EF}"/>
    <cellStyle name="20% - Accent2 2 7 4" xfId="10380" xr:uid="{AADFB7FA-95A7-4708-9BB4-FE629AD0A2BD}"/>
    <cellStyle name="20% - Accent2 2 8" xfId="2274" xr:uid="{00000000-0005-0000-0000-0000EF000000}"/>
    <cellStyle name="20% - Accent2 2 8 2" xfId="6582" xr:uid="{00000000-0005-0000-0000-0000F0000000}"/>
    <cellStyle name="20% - Accent2 2 8 2 2" xfId="15011" xr:uid="{87BD4428-D97F-4ADE-B985-67414EAB9754}"/>
    <cellStyle name="20% - Accent2 2 8 3" xfId="10793" xr:uid="{388F4C98-C347-4E13-9BFE-F6B67EA04602}"/>
    <cellStyle name="20% - Accent2 2 9" xfId="4516" xr:uid="{00000000-0005-0000-0000-0000F1000000}"/>
    <cellStyle name="20% - Accent2 2 9 2" xfId="12945" xr:uid="{154C5527-3D58-46C6-934F-5F0AA32CB28D}"/>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2 2 2" xfId="15509" xr:uid="{CF2DB863-E5CB-41AB-B841-85DD40B0AA1F}"/>
    <cellStyle name="20% - Accent2 3 2 2 2 3" xfId="11291" xr:uid="{39D84B1F-9201-4569-B664-97013A9F8212}"/>
    <cellStyle name="20% - Accent2 3 2 2 3" xfId="4935" xr:uid="{00000000-0005-0000-0000-0000F7000000}"/>
    <cellStyle name="20% - Accent2 3 2 2 3 2" xfId="13364" xr:uid="{6CEC4E4E-27BC-4E86-8AAB-92F29B725E7A}"/>
    <cellStyle name="20% - Accent2 3 2 2 4" xfId="9146" xr:uid="{06951F08-DB3A-44D0-8FA5-984CCB01CE3B}"/>
    <cellStyle name="20% - Accent2 3 2 3" xfId="1038" xr:uid="{00000000-0005-0000-0000-0000F8000000}"/>
    <cellStyle name="20% - Accent2 3 2 3 2" xfId="3269" xr:uid="{00000000-0005-0000-0000-0000F9000000}"/>
    <cellStyle name="20% - Accent2 3 2 3 2 2" xfId="7493" xr:uid="{00000000-0005-0000-0000-0000FA000000}"/>
    <cellStyle name="20% - Accent2 3 2 3 2 2 2" xfId="15922" xr:uid="{BFD19FE5-6A85-44BB-B913-45BCD8F79874}"/>
    <cellStyle name="20% - Accent2 3 2 3 2 3" xfId="11704" xr:uid="{CFC34D5C-E5F1-406F-9F6F-6816883CB5A5}"/>
    <cellStyle name="20% - Accent2 3 2 3 3" xfId="5348" xr:uid="{00000000-0005-0000-0000-0000FB000000}"/>
    <cellStyle name="20% - Accent2 3 2 3 3 2" xfId="13777" xr:uid="{1F820325-39F3-4A08-9BF4-F1C4A3EED20C}"/>
    <cellStyle name="20% - Accent2 3 2 3 4" xfId="9559" xr:uid="{6C518DD9-7324-41B5-9854-C89C3F425E57}"/>
    <cellStyle name="20% - Accent2 3 2 4" xfId="1452" xr:uid="{00000000-0005-0000-0000-0000FC000000}"/>
    <cellStyle name="20% - Accent2 3 2 4 2" xfId="3682" xr:uid="{00000000-0005-0000-0000-0000FD000000}"/>
    <cellStyle name="20% - Accent2 3 2 4 2 2" xfId="7906" xr:uid="{00000000-0005-0000-0000-0000FE000000}"/>
    <cellStyle name="20% - Accent2 3 2 4 2 2 2" xfId="16335" xr:uid="{AD78A760-A305-4BCA-BF6A-29975CCD0F7C}"/>
    <cellStyle name="20% - Accent2 3 2 4 2 3" xfId="12117" xr:uid="{1F392770-865B-442C-B46C-5808869280D6}"/>
    <cellStyle name="20% - Accent2 3 2 4 3" xfId="5761" xr:uid="{00000000-0005-0000-0000-0000FF000000}"/>
    <cellStyle name="20% - Accent2 3 2 4 3 2" xfId="14190" xr:uid="{F4194498-F600-4563-BD9E-8B96B3C97BA5}"/>
    <cellStyle name="20% - Accent2 3 2 4 4" xfId="9972" xr:uid="{5B74648C-D5BA-4B28-9BD0-FF297E2A2DB2}"/>
    <cellStyle name="20% - Accent2 3 2 5" xfId="1866" xr:uid="{00000000-0005-0000-0000-000000010000}"/>
    <cellStyle name="20% - Accent2 3 2 5 2" xfId="4095" xr:uid="{00000000-0005-0000-0000-000001010000}"/>
    <cellStyle name="20% - Accent2 3 2 5 2 2" xfId="8319" xr:uid="{00000000-0005-0000-0000-000002010000}"/>
    <cellStyle name="20% - Accent2 3 2 5 2 2 2" xfId="16748" xr:uid="{237C3D23-EC9A-4C43-8E59-57B48A503204}"/>
    <cellStyle name="20% - Accent2 3 2 5 2 3" xfId="12530" xr:uid="{4EB38571-E378-41DF-B69E-391FBD33A106}"/>
    <cellStyle name="20% - Accent2 3 2 5 3" xfId="6174" xr:uid="{00000000-0005-0000-0000-000003010000}"/>
    <cellStyle name="20% - Accent2 3 2 5 3 2" xfId="14603" xr:uid="{D5EB0C42-09F2-4338-BD03-7362D5175B3D}"/>
    <cellStyle name="20% - Accent2 3 2 5 4" xfId="10385" xr:uid="{D33A11EB-A344-4460-A993-751A5E7CFF6D}"/>
    <cellStyle name="20% - Accent2 3 2 6" xfId="2279" xr:uid="{00000000-0005-0000-0000-000004010000}"/>
    <cellStyle name="20% - Accent2 3 2 6 2" xfId="6587" xr:uid="{00000000-0005-0000-0000-000005010000}"/>
    <cellStyle name="20% - Accent2 3 2 6 2 2" xfId="15016" xr:uid="{E19F7E52-E4D6-4872-BD0F-9F98E22E1A2C}"/>
    <cellStyle name="20% - Accent2 3 2 6 3" xfId="10798" xr:uid="{89838A7F-39A5-4894-93D2-BC9FF8C06601}"/>
    <cellStyle name="20% - Accent2 3 2 7" xfId="4521" xr:uid="{00000000-0005-0000-0000-000006010000}"/>
    <cellStyle name="20% - Accent2 3 2 7 2" xfId="12950" xr:uid="{04C6D2DE-C8C6-4E13-A971-399AE10B62B5}"/>
    <cellStyle name="20% - Accent2 3 2 8" xfId="8732" xr:uid="{DD38B921-195C-4F78-AD1B-B456B2735DA7}"/>
    <cellStyle name="20% - Accent2 3 3" xfId="584" xr:uid="{00000000-0005-0000-0000-000007010000}"/>
    <cellStyle name="20% - Accent2 3 3 2" xfId="2855" xr:uid="{00000000-0005-0000-0000-000008010000}"/>
    <cellStyle name="20% - Accent2 3 3 2 2" xfId="7079" xr:uid="{00000000-0005-0000-0000-000009010000}"/>
    <cellStyle name="20% - Accent2 3 3 2 2 2" xfId="15508" xr:uid="{E3E24C67-C312-4676-941C-8F87BDA377ED}"/>
    <cellStyle name="20% - Accent2 3 3 2 3" xfId="11290" xr:uid="{90169F17-4AED-4104-AC5F-695FF7201713}"/>
    <cellStyle name="20% - Accent2 3 3 3" xfId="4934" xr:uid="{00000000-0005-0000-0000-00000A010000}"/>
    <cellStyle name="20% - Accent2 3 3 3 2" xfId="13363" xr:uid="{01871F96-8C7B-4F93-BF97-72201DA6E05A}"/>
    <cellStyle name="20% - Accent2 3 3 4" xfId="9145" xr:uid="{04797F37-E171-4BFB-9AA4-41AD465F692F}"/>
    <cellStyle name="20% - Accent2 3 4" xfId="1037" xr:uid="{00000000-0005-0000-0000-00000B010000}"/>
    <cellStyle name="20% - Accent2 3 4 2" xfId="3268" xr:uid="{00000000-0005-0000-0000-00000C010000}"/>
    <cellStyle name="20% - Accent2 3 4 2 2" xfId="7492" xr:uid="{00000000-0005-0000-0000-00000D010000}"/>
    <cellStyle name="20% - Accent2 3 4 2 2 2" xfId="15921" xr:uid="{AD2C0457-92CB-48EC-A153-F1547C1DE142}"/>
    <cellStyle name="20% - Accent2 3 4 2 3" xfId="11703" xr:uid="{B8554AE6-30FB-4B3A-8145-CC50753871FB}"/>
    <cellStyle name="20% - Accent2 3 4 3" xfId="5347" xr:uid="{00000000-0005-0000-0000-00000E010000}"/>
    <cellStyle name="20% - Accent2 3 4 3 2" xfId="13776" xr:uid="{08AE593F-E57F-485C-9DB5-057F29351E92}"/>
    <cellStyle name="20% - Accent2 3 4 4" xfId="9558" xr:uid="{3879156A-6813-4A39-A8FF-7B3474956045}"/>
    <cellStyle name="20% - Accent2 3 5" xfId="1451" xr:uid="{00000000-0005-0000-0000-00000F010000}"/>
    <cellStyle name="20% - Accent2 3 5 2" xfId="3681" xr:uid="{00000000-0005-0000-0000-000010010000}"/>
    <cellStyle name="20% - Accent2 3 5 2 2" xfId="7905" xr:uid="{00000000-0005-0000-0000-000011010000}"/>
    <cellStyle name="20% - Accent2 3 5 2 2 2" xfId="16334" xr:uid="{EF6C2326-EFC4-4AA8-99B2-1C255CF8421F}"/>
    <cellStyle name="20% - Accent2 3 5 2 3" xfId="12116" xr:uid="{FFB3D122-84B4-47C1-BFB8-6C93CC3126D9}"/>
    <cellStyle name="20% - Accent2 3 5 3" xfId="5760" xr:uid="{00000000-0005-0000-0000-000012010000}"/>
    <cellStyle name="20% - Accent2 3 5 3 2" xfId="14189" xr:uid="{14A6DB20-FAD6-4902-93BE-5CFC23E0FBE0}"/>
    <cellStyle name="20% - Accent2 3 5 4" xfId="9971" xr:uid="{2B051FDE-1F29-437F-B615-AA8F3753137B}"/>
    <cellStyle name="20% - Accent2 3 6" xfId="1865" xr:uid="{00000000-0005-0000-0000-000013010000}"/>
    <cellStyle name="20% - Accent2 3 6 2" xfId="4094" xr:uid="{00000000-0005-0000-0000-000014010000}"/>
    <cellStyle name="20% - Accent2 3 6 2 2" xfId="8318" xr:uid="{00000000-0005-0000-0000-000015010000}"/>
    <cellStyle name="20% - Accent2 3 6 2 2 2" xfId="16747" xr:uid="{26BF25F6-A42C-4EC8-9CDB-A74F94C07670}"/>
    <cellStyle name="20% - Accent2 3 6 2 3" xfId="12529" xr:uid="{42F967B1-935B-4E88-98F3-EC3990EF75EC}"/>
    <cellStyle name="20% - Accent2 3 6 3" xfId="6173" xr:uid="{00000000-0005-0000-0000-000016010000}"/>
    <cellStyle name="20% - Accent2 3 6 3 2" xfId="14602" xr:uid="{19AC02C4-E288-4EBE-9FAE-A760BEB8070F}"/>
    <cellStyle name="20% - Accent2 3 6 4" xfId="10384" xr:uid="{3F5ADDA2-6137-4659-8796-CD981D48DD38}"/>
    <cellStyle name="20% - Accent2 3 7" xfId="2278" xr:uid="{00000000-0005-0000-0000-000017010000}"/>
    <cellStyle name="20% - Accent2 3 7 2" xfId="6586" xr:uid="{00000000-0005-0000-0000-000018010000}"/>
    <cellStyle name="20% - Accent2 3 7 2 2" xfId="15015" xr:uid="{827FE0A1-8090-4178-A135-D008D6335D6F}"/>
    <cellStyle name="20% - Accent2 3 7 3" xfId="10797" xr:uid="{754D51C4-1651-4E0A-BCAC-9CA31CE45846}"/>
    <cellStyle name="20% - Accent2 3 8" xfId="4520" xr:uid="{00000000-0005-0000-0000-000019010000}"/>
    <cellStyle name="20% - Accent2 3 8 2" xfId="12949" xr:uid="{3C951F6A-FB1E-45B4-B3C6-A8099E194ACA}"/>
    <cellStyle name="20% - Accent2 3 9" xfId="8731" xr:uid="{C913BE3D-368C-4CD8-BC74-4E69EEDA4EEB}"/>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2 2 2" xfId="15510" xr:uid="{12E7B7F6-2FA2-4DBC-91F9-8434E576583F}"/>
    <cellStyle name="20% - Accent2 4 2 2 3" xfId="11292" xr:uid="{301A685D-EA14-4653-A7AA-6DFD91002B85}"/>
    <cellStyle name="20% - Accent2 4 2 3" xfId="4936" xr:uid="{00000000-0005-0000-0000-00001E010000}"/>
    <cellStyle name="20% - Accent2 4 2 3 2" xfId="13365" xr:uid="{824C0F74-E822-4C26-B4E5-B4C2A42E48DF}"/>
    <cellStyle name="20% - Accent2 4 2 4" xfId="9147" xr:uid="{FA3BAF6F-F16F-4048-A76E-41F7FDF9A2E6}"/>
    <cellStyle name="20% - Accent2 4 3" xfId="1039" xr:uid="{00000000-0005-0000-0000-00001F010000}"/>
    <cellStyle name="20% - Accent2 4 3 2" xfId="3270" xr:uid="{00000000-0005-0000-0000-000020010000}"/>
    <cellStyle name="20% - Accent2 4 3 2 2" xfId="7494" xr:uid="{00000000-0005-0000-0000-000021010000}"/>
    <cellStyle name="20% - Accent2 4 3 2 2 2" xfId="15923" xr:uid="{9D1A4CF2-BC2B-470A-9845-E8407EF6A0DC}"/>
    <cellStyle name="20% - Accent2 4 3 2 3" xfId="11705" xr:uid="{B9EFE892-5872-4EFE-9FFF-997D9D5DA14F}"/>
    <cellStyle name="20% - Accent2 4 3 3" xfId="5349" xr:uid="{00000000-0005-0000-0000-000022010000}"/>
    <cellStyle name="20% - Accent2 4 3 3 2" xfId="13778" xr:uid="{0D81268D-3940-440A-BE62-1097DECE2C81}"/>
    <cellStyle name="20% - Accent2 4 3 4" xfId="9560" xr:uid="{F781009F-E2C1-436A-9DB0-8FC4675F8EB7}"/>
    <cellStyle name="20% - Accent2 4 4" xfId="1453" xr:uid="{00000000-0005-0000-0000-000023010000}"/>
    <cellStyle name="20% - Accent2 4 4 2" xfId="3683" xr:uid="{00000000-0005-0000-0000-000024010000}"/>
    <cellStyle name="20% - Accent2 4 4 2 2" xfId="7907" xr:uid="{00000000-0005-0000-0000-000025010000}"/>
    <cellStyle name="20% - Accent2 4 4 2 2 2" xfId="16336" xr:uid="{37040F26-0F1E-4901-A3C3-5FC775B682B8}"/>
    <cellStyle name="20% - Accent2 4 4 2 3" xfId="12118" xr:uid="{C5630C30-1311-427E-B236-A38A61404468}"/>
    <cellStyle name="20% - Accent2 4 4 3" xfId="5762" xr:uid="{00000000-0005-0000-0000-000026010000}"/>
    <cellStyle name="20% - Accent2 4 4 3 2" xfId="14191" xr:uid="{D44D8185-96D0-4D40-828C-6333F34F0467}"/>
    <cellStyle name="20% - Accent2 4 4 4" xfId="9973" xr:uid="{FF01D978-0C3B-4723-8F73-6E057BB22F06}"/>
    <cellStyle name="20% - Accent2 4 5" xfId="1867" xr:uid="{00000000-0005-0000-0000-000027010000}"/>
    <cellStyle name="20% - Accent2 4 5 2" xfId="4096" xr:uid="{00000000-0005-0000-0000-000028010000}"/>
    <cellStyle name="20% - Accent2 4 5 2 2" xfId="8320" xr:uid="{00000000-0005-0000-0000-000029010000}"/>
    <cellStyle name="20% - Accent2 4 5 2 2 2" xfId="16749" xr:uid="{713D00B0-A631-4C1C-A158-73503C067825}"/>
    <cellStyle name="20% - Accent2 4 5 2 3" xfId="12531" xr:uid="{2A018144-1AA0-49C9-A99D-B46EEE06EF2D}"/>
    <cellStyle name="20% - Accent2 4 5 3" xfId="6175" xr:uid="{00000000-0005-0000-0000-00002A010000}"/>
    <cellStyle name="20% - Accent2 4 5 3 2" xfId="14604" xr:uid="{7824CAE0-4DCB-4C56-881E-F649A40BC4D8}"/>
    <cellStyle name="20% - Accent2 4 5 4" xfId="10386" xr:uid="{220AD3CF-F819-4778-BD8E-A9D9D2A6481C}"/>
    <cellStyle name="20% - Accent2 4 6" xfId="2280" xr:uid="{00000000-0005-0000-0000-00002B010000}"/>
    <cellStyle name="20% - Accent2 4 6 2" xfId="6588" xr:uid="{00000000-0005-0000-0000-00002C010000}"/>
    <cellStyle name="20% - Accent2 4 6 2 2" xfId="15017" xr:uid="{3FE95A27-6D03-4896-A3D7-CC65A9FB662F}"/>
    <cellStyle name="20% - Accent2 4 6 3" xfId="10799" xr:uid="{B09304E0-0B0A-4711-815E-1C28EAD8AD4B}"/>
    <cellStyle name="20% - Accent2 4 7" xfId="4522" xr:uid="{00000000-0005-0000-0000-00002D010000}"/>
    <cellStyle name="20% - Accent2 4 7 2" xfId="12951" xr:uid="{3C858FDF-330A-461E-8D7C-7D310D81F9F6}"/>
    <cellStyle name="20% - Accent2 4 8" xfId="8733" xr:uid="{CB18D466-32D3-4B14-A6F5-6253BBAB3342}"/>
    <cellStyle name="20% - Accent2 5" xfId="579" xr:uid="{00000000-0005-0000-0000-00002E010000}"/>
    <cellStyle name="20% - Accent2 5 2" xfId="2850" xr:uid="{00000000-0005-0000-0000-00002F010000}"/>
    <cellStyle name="20% - Accent2 5 2 2" xfId="7074" xr:uid="{00000000-0005-0000-0000-000030010000}"/>
    <cellStyle name="20% - Accent2 5 2 2 2" xfId="15503" xr:uid="{F2AD7F63-2267-4A87-AAF1-34001ED06BB2}"/>
    <cellStyle name="20% - Accent2 5 2 3" xfId="11285" xr:uid="{B17CFB2A-E39D-4947-8C66-40C7A983D304}"/>
    <cellStyle name="20% - Accent2 5 3" xfId="4929" xr:uid="{00000000-0005-0000-0000-000031010000}"/>
    <cellStyle name="20% - Accent2 5 3 2" xfId="13358" xr:uid="{46DA0918-41CE-4D29-856D-6BFB67CFD321}"/>
    <cellStyle name="20% - Accent2 5 4" xfId="9140" xr:uid="{CF8F1432-6671-4769-A511-F63BE6B7A7E0}"/>
    <cellStyle name="20% - Accent2 6" xfId="1032" xr:uid="{00000000-0005-0000-0000-000032010000}"/>
    <cellStyle name="20% - Accent2 6 2" xfId="3263" xr:uid="{00000000-0005-0000-0000-000033010000}"/>
    <cellStyle name="20% - Accent2 6 2 2" xfId="7487" xr:uid="{00000000-0005-0000-0000-000034010000}"/>
    <cellStyle name="20% - Accent2 6 2 2 2" xfId="15916" xr:uid="{B5425AFB-FF7E-4B0F-A5D0-E4E2C9CF8832}"/>
    <cellStyle name="20% - Accent2 6 2 3" xfId="11698" xr:uid="{1B7AF4DC-E3D4-45C5-A120-460CBE21BDA8}"/>
    <cellStyle name="20% - Accent2 6 3" xfId="5342" xr:uid="{00000000-0005-0000-0000-000035010000}"/>
    <cellStyle name="20% - Accent2 6 3 2" xfId="13771" xr:uid="{71D3D172-1237-40D1-9F56-864A1CF983E4}"/>
    <cellStyle name="20% - Accent2 6 4" xfId="9553" xr:uid="{015D7F2A-8B72-4D5F-B849-86EE3F5D5596}"/>
    <cellStyle name="20% - Accent2 7" xfId="1446" xr:uid="{00000000-0005-0000-0000-000036010000}"/>
    <cellStyle name="20% - Accent2 7 2" xfId="3676" xr:uid="{00000000-0005-0000-0000-000037010000}"/>
    <cellStyle name="20% - Accent2 7 2 2" xfId="7900" xr:uid="{00000000-0005-0000-0000-000038010000}"/>
    <cellStyle name="20% - Accent2 7 2 2 2" xfId="16329" xr:uid="{D90D22F6-2A6F-4044-8580-C8CE0B1735CF}"/>
    <cellStyle name="20% - Accent2 7 2 3" xfId="12111" xr:uid="{90B8B474-5851-4DF9-BF58-CCFC2DB8FEEF}"/>
    <cellStyle name="20% - Accent2 7 3" xfId="5755" xr:uid="{00000000-0005-0000-0000-000039010000}"/>
    <cellStyle name="20% - Accent2 7 3 2" xfId="14184" xr:uid="{321C76B3-6FB5-4E9D-97F1-4C7373DE160F}"/>
    <cellStyle name="20% - Accent2 7 4" xfId="9966" xr:uid="{8976E4D3-B129-4F07-81E4-1BCEAD541B80}"/>
    <cellStyle name="20% - Accent2 8" xfId="1860" xr:uid="{00000000-0005-0000-0000-00003A010000}"/>
    <cellStyle name="20% - Accent2 8 2" xfId="4089" xr:uid="{00000000-0005-0000-0000-00003B010000}"/>
    <cellStyle name="20% - Accent2 8 2 2" xfId="8313" xr:uid="{00000000-0005-0000-0000-00003C010000}"/>
    <cellStyle name="20% - Accent2 8 2 2 2" xfId="16742" xr:uid="{7C247295-4C7D-4C29-BC59-454D9AB8BA3D}"/>
    <cellStyle name="20% - Accent2 8 2 3" xfId="12524" xr:uid="{AB6FEEF2-4658-4A32-8293-F418D710832A}"/>
    <cellStyle name="20% - Accent2 8 3" xfId="6168" xr:uid="{00000000-0005-0000-0000-00003D010000}"/>
    <cellStyle name="20% - Accent2 8 3 2" xfId="14597" xr:uid="{72406D24-ED6D-4B60-A897-70956725C099}"/>
    <cellStyle name="20% - Accent2 8 4" xfId="10379" xr:uid="{9F359092-28E5-4ED8-81B1-D57F4CCCF07E}"/>
    <cellStyle name="20% - Accent2 9" xfId="2273" xr:uid="{00000000-0005-0000-0000-00003E010000}"/>
    <cellStyle name="20% - Accent2 9 2" xfId="6581" xr:uid="{00000000-0005-0000-0000-00003F010000}"/>
    <cellStyle name="20% - Accent2 9 2 2" xfId="15010" xr:uid="{C8703761-FFD7-498E-8526-6C5BFCDCD414}"/>
    <cellStyle name="20% - Accent2 9 3" xfId="10792" xr:uid="{648DCEFE-3437-42D1-8DA4-0A917306D32C}"/>
    <cellStyle name="20% - Accent3" xfId="17" builtinId="38" customBuiltin="1"/>
    <cellStyle name="20% - Accent3 10" xfId="4523" xr:uid="{00000000-0005-0000-0000-000041010000}"/>
    <cellStyle name="20% - Accent3 10 2" xfId="12952" xr:uid="{6E91560F-7B47-4862-A57D-E9528B62F705}"/>
    <cellStyle name="20% - Accent3 11" xfId="8734" xr:uid="{A7E9BCAA-4BDA-4079-8A0E-1F8A963FF036}"/>
    <cellStyle name="20% - Accent3 2" xfId="18" xr:uid="{00000000-0005-0000-0000-000042010000}"/>
    <cellStyle name="20% - Accent3 2 10" xfId="8735" xr:uid="{73B00708-4D87-498F-8D7C-7E31C7DE3362}"/>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2 2 2" xfId="15514" xr:uid="{1E18E02C-60B9-463D-8A1C-6455F1081ED3}"/>
    <cellStyle name="20% - Accent3 2 2 2 2 2 3" xfId="11296" xr:uid="{F1BB5CEC-C01A-4507-82CE-12F31E080427}"/>
    <cellStyle name="20% - Accent3 2 2 2 2 3" xfId="4940" xr:uid="{00000000-0005-0000-0000-000048010000}"/>
    <cellStyle name="20% - Accent3 2 2 2 2 3 2" xfId="13369" xr:uid="{000AF771-80E9-479E-843D-A1A0E51D2CCF}"/>
    <cellStyle name="20% - Accent3 2 2 2 2 4" xfId="9151" xr:uid="{DD74382C-9AC9-4AFD-A104-99CCC0E6BEEE}"/>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2 2 2" xfId="15927" xr:uid="{8AF17006-D7FF-4AF5-95F4-29D092E4D262}"/>
    <cellStyle name="20% - Accent3 2 2 2 3 2 3" xfId="11709" xr:uid="{6F57720F-F91B-45E5-90CF-08935E6022E8}"/>
    <cellStyle name="20% - Accent3 2 2 2 3 3" xfId="5353" xr:uid="{00000000-0005-0000-0000-00004C010000}"/>
    <cellStyle name="20% - Accent3 2 2 2 3 3 2" xfId="13782" xr:uid="{8C020E20-6593-4C24-AD6A-597D0830AE0C}"/>
    <cellStyle name="20% - Accent3 2 2 2 3 4" xfId="9564" xr:uid="{DA8DEB85-C48E-401B-B920-9F87C17404C8}"/>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2 2 2" xfId="16340" xr:uid="{C8C3E517-19E4-437C-88D3-62BD354C9F54}"/>
    <cellStyle name="20% - Accent3 2 2 2 4 2 3" xfId="12122" xr:uid="{3A358E89-1232-4B23-AB63-328FC31756BC}"/>
    <cellStyle name="20% - Accent3 2 2 2 4 3" xfId="5766" xr:uid="{00000000-0005-0000-0000-000050010000}"/>
    <cellStyle name="20% - Accent3 2 2 2 4 3 2" xfId="14195" xr:uid="{90DCE385-7533-4746-A36A-EC517974E07B}"/>
    <cellStyle name="20% - Accent3 2 2 2 4 4" xfId="9977" xr:uid="{7126B9CF-021B-4DB5-8390-554DAEB075B4}"/>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2 2 2" xfId="16753" xr:uid="{DD5499AC-79BA-437D-A8AF-0CB8FCB61761}"/>
    <cellStyle name="20% - Accent3 2 2 2 5 2 3" xfId="12535" xr:uid="{0B37F01E-E8E6-46A3-A21F-9F289418946F}"/>
    <cellStyle name="20% - Accent3 2 2 2 5 3" xfId="6179" xr:uid="{00000000-0005-0000-0000-000054010000}"/>
    <cellStyle name="20% - Accent3 2 2 2 5 3 2" xfId="14608" xr:uid="{1726A144-E5DC-463A-840A-A725BDA71CBB}"/>
    <cellStyle name="20% - Accent3 2 2 2 5 4" xfId="10390" xr:uid="{EAD98972-98BA-4F9C-A407-67B805DADC96}"/>
    <cellStyle name="20% - Accent3 2 2 2 6" xfId="2284" xr:uid="{00000000-0005-0000-0000-000055010000}"/>
    <cellStyle name="20% - Accent3 2 2 2 6 2" xfId="6592" xr:uid="{00000000-0005-0000-0000-000056010000}"/>
    <cellStyle name="20% - Accent3 2 2 2 6 2 2" xfId="15021" xr:uid="{3539478F-F590-4218-9501-22115C997331}"/>
    <cellStyle name="20% - Accent3 2 2 2 6 3" xfId="10803" xr:uid="{699C8EA9-939B-44A9-87CA-B619BF4E7013}"/>
    <cellStyle name="20% - Accent3 2 2 2 7" xfId="4526" xr:uid="{00000000-0005-0000-0000-000057010000}"/>
    <cellStyle name="20% - Accent3 2 2 2 7 2" xfId="12955" xr:uid="{E14BB472-CCE1-408C-82BE-D3FC0C27F52E}"/>
    <cellStyle name="20% - Accent3 2 2 2 8" xfId="8737" xr:uid="{2DC9C47C-CDBF-4581-8A26-79E9F29E5BBD}"/>
    <cellStyle name="20% - Accent3 2 2 3" xfId="589" xr:uid="{00000000-0005-0000-0000-000058010000}"/>
    <cellStyle name="20% - Accent3 2 2 3 2" xfId="2860" xr:uid="{00000000-0005-0000-0000-000059010000}"/>
    <cellStyle name="20% - Accent3 2 2 3 2 2" xfId="7084" xr:uid="{00000000-0005-0000-0000-00005A010000}"/>
    <cellStyle name="20% - Accent3 2 2 3 2 2 2" xfId="15513" xr:uid="{817AB093-63A2-448C-BE6A-73880347D4C9}"/>
    <cellStyle name="20% - Accent3 2 2 3 2 3" xfId="11295" xr:uid="{1B94FF81-731E-4A20-9704-7DFB9EE7926D}"/>
    <cellStyle name="20% - Accent3 2 2 3 3" xfId="4939" xr:uid="{00000000-0005-0000-0000-00005B010000}"/>
    <cellStyle name="20% - Accent3 2 2 3 3 2" xfId="13368" xr:uid="{BAE9B5B5-13CD-4A48-B01C-F0F309E8CD84}"/>
    <cellStyle name="20% - Accent3 2 2 3 4" xfId="9150" xr:uid="{CD6B766A-C6C9-4285-B904-98D7F22E02DA}"/>
    <cellStyle name="20% - Accent3 2 2 4" xfId="1042" xr:uid="{00000000-0005-0000-0000-00005C010000}"/>
    <cellStyle name="20% - Accent3 2 2 4 2" xfId="3273" xr:uid="{00000000-0005-0000-0000-00005D010000}"/>
    <cellStyle name="20% - Accent3 2 2 4 2 2" xfId="7497" xr:uid="{00000000-0005-0000-0000-00005E010000}"/>
    <cellStyle name="20% - Accent3 2 2 4 2 2 2" xfId="15926" xr:uid="{473B9CBA-760D-4C89-A51A-1CC4493632BA}"/>
    <cellStyle name="20% - Accent3 2 2 4 2 3" xfId="11708" xr:uid="{CBF712CE-A6FD-4247-A7F3-C47819085785}"/>
    <cellStyle name="20% - Accent3 2 2 4 3" xfId="5352" xr:uid="{00000000-0005-0000-0000-00005F010000}"/>
    <cellStyle name="20% - Accent3 2 2 4 3 2" xfId="13781" xr:uid="{349AB1C2-A036-4331-961F-A084A7B6EAF8}"/>
    <cellStyle name="20% - Accent3 2 2 4 4" xfId="9563" xr:uid="{BAF7B51A-24BB-4646-8494-11840BCDC0FB}"/>
    <cellStyle name="20% - Accent3 2 2 5" xfId="1456" xr:uid="{00000000-0005-0000-0000-000060010000}"/>
    <cellStyle name="20% - Accent3 2 2 5 2" xfId="3686" xr:uid="{00000000-0005-0000-0000-000061010000}"/>
    <cellStyle name="20% - Accent3 2 2 5 2 2" xfId="7910" xr:uid="{00000000-0005-0000-0000-000062010000}"/>
    <cellStyle name="20% - Accent3 2 2 5 2 2 2" xfId="16339" xr:uid="{C0F89D5D-559D-46AF-973D-FF03AA8519ED}"/>
    <cellStyle name="20% - Accent3 2 2 5 2 3" xfId="12121" xr:uid="{F11B13E7-3DA0-4EF0-B1E6-E4DD30EF280F}"/>
    <cellStyle name="20% - Accent3 2 2 5 3" xfId="5765" xr:uid="{00000000-0005-0000-0000-000063010000}"/>
    <cellStyle name="20% - Accent3 2 2 5 3 2" xfId="14194" xr:uid="{13EF8C6F-4DC1-4966-8EE7-BDC999C127E4}"/>
    <cellStyle name="20% - Accent3 2 2 5 4" xfId="9976" xr:uid="{E0FDDCC1-944D-4AD4-B164-FDE19BFC83A5}"/>
    <cellStyle name="20% - Accent3 2 2 6" xfId="1870" xr:uid="{00000000-0005-0000-0000-000064010000}"/>
    <cellStyle name="20% - Accent3 2 2 6 2" xfId="4099" xr:uid="{00000000-0005-0000-0000-000065010000}"/>
    <cellStyle name="20% - Accent3 2 2 6 2 2" xfId="8323" xr:uid="{00000000-0005-0000-0000-000066010000}"/>
    <cellStyle name="20% - Accent3 2 2 6 2 2 2" xfId="16752" xr:uid="{C26357AA-F1C0-4E34-B02E-59BB100701CF}"/>
    <cellStyle name="20% - Accent3 2 2 6 2 3" xfId="12534" xr:uid="{99ECC70D-4B69-4E9C-BFC7-91F8FE98DB45}"/>
    <cellStyle name="20% - Accent3 2 2 6 3" xfId="6178" xr:uid="{00000000-0005-0000-0000-000067010000}"/>
    <cellStyle name="20% - Accent3 2 2 6 3 2" xfId="14607" xr:uid="{088E795A-B5D2-4B00-8034-28B99959914D}"/>
    <cellStyle name="20% - Accent3 2 2 6 4" xfId="10389" xr:uid="{14F4E28B-E5FD-4F18-9B09-DDDBC079F59F}"/>
    <cellStyle name="20% - Accent3 2 2 7" xfId="2283" xr:uid="{00000000-0005-0000-0000-000068010000}"/>
    <cellStyle name="20% - Accent3 2 2 7 2" xfId="6591" xr:uid="{00000000-0005-0000-0000-000069010000}"/>
    <cellStyle name="20% - Accent3 2 2 7 2 2" xfId="15020" xr:uid="{1878D729-676F-4BDD-B020-5E577C273494}"/>
    <cellStyle name="20% - Accent3 2 2 7 3" xfId="10802" xr:uid="{D4567ABF-2E46-446A-B399-A1DF3D4EBDD7}"/>
    <cellStyle name="20% - Accent3 2 2 8" xfId="4525" xr:uid="{00000000-0005-0000-0000-00006A010000}"/>
    <cellStyle name="20% - Accent3 2 2 8 2" xfId="12954" xr:uid="{DA8D9EE4-1783-4CB6-A4D1-DBBE0B22717B}"/>
    <cellStyle name="20% - Accent3 2 2 9" xfId="8736" xr:uid="{1F38DC9A-E7B5-4FFC-9359-4A1FF1B783E5}"/>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2 2 2" xfId="15515" xr:uid="{057D468D-973E-451F-AFFC-86662DBAB678}"/>
    <cellStyle name="20% - Accent3 2 3 2 2 3" xfId="11297" xr:uid="{E6A3EBC5-19DC-4E45-9AEE-8288CB66823F}"/>
    <cellStyle name="20% - Accent3 2 3 2 3" xfId="4941" xr:uid="{00000000-0005-0000-0000-00006F010000}"/>
    <cellStyle name="20% - Accent3 2 3 2 3 2" xfId="13370" xr:uid="{01212FE6-D3BC-46A7-9971-2EBD1EC356E2}"/>
    <cellStyle name="20% - Accent3 2 3 2 4" xfId="9152" xr:uid="{0FDF70E1-0EBA-4605-960B-7301C81428E9}"/>
    <cellStyle name="20% - Accent3 2 3 3" xfId="1044" xr:uid="{00000000-0005-0000-0000-000070010000}"/>
    <cellStyle name="20% - Accent3 2 3 3 2" xfId="3275" xr:uid="{00000000-0005-0000-0000-000071010000}"/>
    <cellStyle name="20% - Accent3 2 3 3 2 2" xfId="7499" xr:uid="{00000000-0005-0000-0000-000072010000}"/>
    <cellStyle name="20% - Accent3 2 3 3 2 2 2" xfId="15928" xr:uid="{9B0175D1-3A5F-40D8-9B47-1C111EF3057F}"/>
    <cellStyle name="20% - Accent3 2 3 3 2 3" xfId="11710" xr:uid="{8510AF87-3C32-4120-97E1-D81077072587}"/>
    <cellStyle name="20% - Accent3 2 3 3 3" xfId="5354" xr:uid="{00000000-0005-0000-0000-000073010000}"/>
    <cellStyle name="20% - Accent3 2 3 3 3 2" xfId="13783" xr:uid="{E373B25A-3042-4348-B671-74AAAABE843A}"/>
    <cellStyle name="20% - Accent3 2 3 3 4" xfId="9565" xr:uid="{BD2FC825-3EE1-4F1D-8CEF-0147D1FDAA66}"/>
    <cellStyle name="20% - Accent3 2 3 4" xfId="1458" xr:uid="{00000000-0005-0000-0000-000074010000}"/>
    <cellStyle name="20% - Accent3 2 3 4 2" xfId="3688" xr:uid="{00000000-0005-0000-0000-000075010000}"/>
    <cellStyle name="20% - Accent3 2 3 4 2 2" xfId="7912" xr:uid="{00000000-0005-0000-0000-000076010000}"/>
    <cellStyle name="20% - Accent3 2 3 4 2 2 2" xfId="16341" xr:uid="{9B6E7DE9-AF2D-49F1-8512-6EFFA37DC4E0}"/>
    <cellStyle name="20% - Accent3 2 3 4 2 3" xfId="12123" xr:uid="{C9CC68E2-8839-488F-8C9E-37F50A8CE55C}"/>
    <cellStyle name="20% - Accent3 2 3 4 3" xfId="5767" xr:uid="{00000000-0005-0000-0000-000077010000}"/>
    <cellStyle name="20% - Accent3 2 3 4 3 2" xfId="14196" xr:uid="{260DACE8-AED1-4CD0-A3BB-F6796274F0E5}"/>
    <cellStyle name="20% - Accent3 2 3 4 4" xfId="9978" xr:uid="{E84AD67A-5020-45BE-B343-869076ABF011}"/>
    <cellStyle name="20% - Accent3 2 3 5" xfId="1872" xr:uid="{00000000-0005-0000-0000-000078010000}"/>
    <cellStyle name="20% - Accent3 2 3 5 2" xfId="4101" xr:uid="{00000000-0005-0000-0000-000079010000}"/>
    <cellStyle name="20% - Accent3 2 3 5 2 2" xfId="8325" xr:uid="{00000000-0005-0000-0000-00007A010000}"/>
    <cellStyle name="20% - Accent3 2 3 5 2 2 2" xfId="16754" xr:uid="{6DF1ECF2-84E1-4532-BC28-F465316BFCF9}"/>
    <cellStyle name="20% - Accent3 2 3 5 2 3" xfId="12536" xr:uid="{B3238328-7F80-46E9-9B44-48405818FF8D}"/>
    <cellStyle name="20% - Accent3 2 3 5 3" xfId="6180" xr:uid="{00000000-0005-0000-0000-00007B010000}"/>
    <cellStyle name="20% - Accent3 2 3 5 3 2" xfId="14609" xr:uid="{2181BFDA-09C8-412F-8FA4-5D7D496209B0}"/>
    <cellStyle name="20% - Accent3 2 3 5 4" xfId="10391" xr:uid="{29D67F8B-22B2-4FE9-B1C0-9C243C118C64}"/>
    <cellStyle name="20% - Accent3 2 3 6" xfId="2285" xr:uid="{00000000-0005-0000-0000-00007C010000}"/>
    <cellStyle name="20% - Accent3 2 3 6 2" xfId="6593" xr:uid="{00000000-0005-0000-0000-00007D010000}"/>
    <cellStyle name="20% - Accent3 2 3 6 2 2" xfId="15022" xr:uid="{F571F7F4-74E6-4CDD-BBC3-D7EB4E22786C}"/>
    <cellStyle name="20% - Accent3 2 3 6 3" xfId="10804" xr:uid="{30432E83-2EA0-4720-8E0E-55E348825FEC}"/>
    <cellStyle name="20% - Accent3 2 3 7" xfId="4527" xr:uid="{00000000-0005-0000-0000-00007E010000}"/>
    <cellStyle name="20% - Accent3 2 3 7 2" xfId="12956" xr:uid="{AC3304E6-B3CF-4444-A638-134E8B7DC9D2}"/>
    <cellStyle name="20% - Accent3 2 3 8" xfId="8738" xr:uid="{6F3DEFA2-2D04-472B-A0D9-E2AE1DD2EB34}"/>
    <cellStyle name="20% - Accent3 2 4" xfId="588" xr:uid="{00000000-0005-0000-0000-00007F010000}"/>
    <cellStyle name="20% - Accent3 2 4 2" xfId="2859" xr:uid="{00000000-0005-0000-0000-000080010000}"/>
    <cellStyle name="20% - Accent3 2 4 2 2" xfId="7083" xr:uid="{00000000-0005-0000-0000-000081010000}"/>
    <cellStyle name="20% - Accent3 2 4 2 2 2" xfId="15512" xr:uid="{4160648E-A3FA-472E-8E7D-78A46DDEF873}"/>
    <cellStyle name="20% - Accent3 2 4 2 3" xfId="11294" xr:uid="{F9794F91-5540-4921-9708-6AA6A6F22D3A}"/>
    <cellStyle name="20% - Accent3 2 4 3" xfId="4938" xr:uid="{00000000-0005-0000-0000-000082010000}"/>
    <cellStyle name="20% - Accent3 2 4 3 2" xfId="13367" xr:uid="{2D327049-68ED-41EC-BFC9-9A199C2A91A0}"/>
    <cellStyle name="20% - Accent3 2 4 4" xfId="9149" xr:uid="{16768C9E-009B-4C37-A2B9-32C14E4C5444}"/>
    <cellStyle name="20% - Accent3 2 5" xfId="1041" xr:uid="{00000000-0005-0000-0000-000083010000}"/>
    <cellStyle name="20% - Accent3 2 5 2" xfId="3272" xr:uid="{00000000-0005-0000-0000-000084010000}"/>
    <cellStyle name="20% - Accent3 2 5 2 2" xfId="7496" xr:uid="{00000000-0005-0000-0000-000085010000}"/>
    <cellStyle name="20% - Accent3 2 5 2 2 2" xfId="15925" xr:uid="{B429E5D5-4E96-4AC2-8180-16CCD1336867}"/>
    <cellStyle name="20% - Accent3 2 5 2 3" xfId="11707" xr:uid="{F1C3EFF8-8253-4F8E-8CD8-6B045AC0EA2D}"/>
    <cellStyle name="20% - Accent3 2 5 3" xfId="5351" xr:uid="{00000000-0005-0000-0000-000086010000}"/>
    <cellStyle name="20% - Accent3 2 5 3 2" xfId="13780" xr:uid="{54964CB5-4F16-4021-9B44-839DA7CD97AD}"/>
    <cellStyle name="20% - Accent3 2 5 4" xfId="9562" xr:uid="{1425D75E-F1C9-43FB-BACA-60E97254B804}"/>
    <cellStyle name="20% - Accent3 2 6" xfId="1455" xr:uid="{00000000-0005-0000-0000-000087010000}"/>
    <cellStyle name="20% - Accent3 2 6 2" xfId="3685" xr:uid="{00000000-0005-0000-0000-000088010000}"/>
    <cellStyle name="20% - Accent3 2 6 2 2" xfId="7909" xr:uid="{00000000-0005-0000-0000-000089010000}"/>
    <cellStyle name="20% - Accent3 2 6 2 2 2" xfId="16338" xr:uid="{28FF6F58-0A17-444C-A973-3FB96FB3645C}"/>
    <cellStyle name="20% - Accent3 2 6 2 3" xfId="12120" xr:uid="{9CC4BE98-8151-48D7-8377-C472F4A26153}"/>
    <cellStyle name="20% - Accent3 2 6 3" xfId="5764" xr:uid="{00000000-0005-0000-0000-00008A010000}"/>
    <cellStyle name="20% - Accent3 2 6 3 2" xfId="14193" xr:uid="{0AFA7AA7-083F-444F-AE8C-7293CB019FF9}"/>
    <cellStyle name="20% - Accent3 2 6 4" xfId="9975" xr:uid="{4F706676-5EFD-43E4-829D-4D8622B8E859}"/>
    <cellStyle name="20% - Accent3 2 7" xfId="1869" xr:uid="{00000000-0005-0000-0000-00008B010000}"/>
    <cellStyle name="20% - Accent3 2 7 2" xfId="4098" xr:uid="{00000000-0005-0000-0000-00008C010000}"/>
    <cellStyle name="20% - Accent3 2 7 2 2" xfId="8322" xr:uid="{00000000-0005-0000-0000-00008D010000}"/>
    <cellStyle name="20% - Accent3 2 7 2 2 2" xfId="16751" xr:uid="{8B7B2DED-8188-4D98-8326-6FE9462B0D71}"/>
    <cellStyle name="20% - Accent3 2 7 2 3" xfId="12533" xr:uid="{E687DD06-ABAE-4A0E-B4D0-B52DA04FBB89}"/>
    <cellStyle name="20% - Accent3 2 7 3" xfId="6177" xr:uid="{00000000-0005-0000-0000-00008E010000}"/>
    <cellStyle name="20% - Accent3 2 7 3 2" xfId="14606" xr:uid="{7EB58455-8F5A-466C-A7C7-116A9E62BF23}"/>
    <cellStyle name="20% - Accent3 2 7 4" xfId="10388" xr:uid="{E07BDF7C-5FE8-41FF-9FBA-F87DB75FFC7E}"/>
    <cellStyle name="20% - Accent3 2 8" xfId="2282" xr:uid="{00000000-0005-0000-0000-00008F010000}"/>
    <cellStyle name="20% - Accent3 2 8 2" xfId="6590" xr:uid="{00000000-0005-0000-0000-000090010000}"/>
    <cellStyle name="20% - Accent3 2 8 2 2" xfId="15019" xr:uid="{08BDCA5E-EBCE-4278-8890-465983657AF5}"/>
    <cellStyle name="20% - Accent3 2 8 3" xfId="10801" xr:uid="{AF65E3EB-C028-4783-82E9-BCD4A51A92A6}"/>
    <cellStyle name="20% - Accent3 2 9" xfId="4524" xr:uid="{00000000-0005-0000-0000-000091010000}"/>
    <cellStyle name="20% - Accent3 2 9 2" xfId="12953" xr:uid="{28256E37-8AD0-4808-933B-D07CBA5FD6B5}"/>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2 2 2" xfId="15517" xr:uid="{14099194-FDEA-4A6E-A91B-511D13A0974E}"/>
    <cellStyle name="20% - Accent3 3 2 2 2 3" xfId="11299" xr:uid="{39158D32-96B2-4453-8861-386BC9EE38EE}"/>
    <cellStyle name="20% - Accent3 3 2 2 3" xfId="4943" xr:uid="{00000000-0005-0000-0000-000097010000}"/>
    <cellStyle name="20% - Accent3 3 2 2 3 2" xfId="13372" xr:uid="{14AED477-EADC-4420-B174-FE8109F3A042}"/>
    <cellStyle name="20% - Accent3 3 2 2 4" xfId="9154" xr:uid="{2564C189-0015-4930-B9D5-D305BCC658C4}"/>
    <cellStyle name="20% - Accent3 3 2 3" xfId="1046" xr:uid="{00000000-0005-0000-0000-000098010000}"/>
    <cellStyle name="20% - Accent3 3 2 3 2" xfId="3277" xr:uid="{00000000-0005-0000-0000-000099010000}"/>
    <cellStyle name="20% - Accent3 3 2 3 2 2" xfId="7501" xr:uid="{00000000-0005-0000-0000-00009A010000}"/>
    <cellStyle name="20% - Accent3 3 2 3 2 2 2" xfId="15930" xr:uid="{A56923F5-B404-4245-833C-C13E34305704}"/>
    <cellStyle name="20% - Accent3 3 2 3 2 3" xfId="11712" xr:uid="{F50E14AF-78A1-4FD7-A5B6-31B5911B4856}"/>
    <cellStyle name="20% - Accent3 3 2 3 3" xfId="5356" xr:uid="{00000000-0005-0000-0000-00009B010000}"/>
    <cellStyle name="20% - Accent3 3 2 3 3 2" xfId="13785" xr:uid="{7B223A13-8FF1-4A44-97E5-6D5F51509EC5}"/>
    <cellStyle name="20% - Accent3 3 2 3 4" xfId="9567" xr:uid="{B34BCF14-8BF3-45B7-900B-95F6E67ED433}"/>
    <cellStyle name="20% - Accent3 3 2 4" xfId="1460" xr:uid="{00000000-0005-0000-0000-00009C010000}"/>
    <cellStyle name="20% - Accent3 3 2 4 2" xfId="3690" xr:uid="{00000000-0005-0000-0000-00009D010000}"/>
    <cellStyle name="20% - Accent3 3 2 4 2 2" xfId="7914" xr:uid="{00000000-0005-0000-0000-00009E010000}"/>
    <cellStyle name="20% - Accent3 3 2 4 2 2 2" xfId="16343" xr:uid="{7543EB4C-F023-4812-94DD-1FA7643323D8}"/>
    <cellStyle name="20% - Accent3 3 2 4 2 3" xfId="12125" xr:uid="{079C8EC1-BF9C-4BC9-9D29-EE367561712E}"/>
    <cellStyle name="20% - Accent3 3 2 4 3" xfId="5769" xr:uid="{00000000-0005-0000-0000-00009F010000}"/>
    <cellStyle name="20% - Accent3 3 2 4 3 2" xfId="14198" xr:uid="{17A09A34-74A1-4DFF-AACC-5292BEA2490C}"/>
    <cellStyle name="20% - Accent3 3 2 4 4" xfId="9980" xr:uid="{2558D47D-9CD0-4879-827F-5CC1ACC6CE11}"/>
    <cellStyle name="20% - Accent3 3 2 5" xfId="1874" xr:uid="{00000000-0005-0000-0000-0000A0010000}"/>
    <cellStyle name="20% - Accent3 3 2 5 2" xfId="4103" xr:uid="{00000000-0005-0000-0000-0000A1010000}"/>
    <cellStyle name="20% - Accent3 3 2 5 2 2" xfId="8327" xr:uid="{00000000-0005-0000-0000-0000A2010000}"/>
    <cellStyle name="20% - Accent3 3 2 5 2 2 2" xfId="16756" xr:uid="{A6C427D0-5F03-4327-8E89-660710694A4E}"/>
    <cellStyle name="20% - Accent3 3 2 5 2 3" xfId="12538" xr:uid="{551083A1-ED9B-4AE0-A147-5D4C48C81034}"/>
    <cellStyle name="20% - Accent3 3 2 5 3" xfId="6182" xr:uid="{00000000-0005-0000-0000-0000A3010000}"/>
    <cellStyle name="20% - Accent3 3 2 5 3 2" xfId="14611" xr:uid="{9D3CB8B9-1DE0-4E7A-A333-945607ABABEC}"/>
    <cellStyle name="20% - Accent3 3 2 5 4" xfId="10393" xr:uid="{1DD90C8A-E1F1-4B7F-9E9A-328121ACA926}"/>
    <cellStyle name="20% - Accent3 3 2 6" xfId="2287" xr:uid="{00000000-0005-0000-0000-0000A4010000}"/>
    <cellStyle name="20% - Accent3 3 2 6 2" xfId="6595" xr:uid="{00000000-0005-0000-0000-0000A5010000}"/>
    <cellStyle name="20% - Accent3 3 2 6 2 2" xfId="15024" xr:uid="{FFBE8BB7-557C-49A2-B826-C250F9CC63F2}"/>
    <cellStyle name="20% - Accent3 3 2 6 3" xfId="10806" xr:uid="{9D1FB03F-7AB8-4293-AA65-E9F27D773F16}"/>
    <cellStyle name="20% - Accent3 3 2 7" xfId="4529" xr:uid="{00000000-0005-0000-0000-0000A6010000}"/>
    <cellStyle name="20% - Accent3 3 2 7 2" xfId="12958" xr:uid="{498BF9F2-C9FD-437B-A546-49A2928011A7}"/>
    <cellStyle name="20% - Accent3 3 2 8" xfId="8740" xr:uid="{C9CC3163-6109-4B44-929E-0D9173A43D68}"/>
    <cellStyle name="20% - Accent3 3 3" xfId="592" xr:uid="{00000000-0005-0000-0000-0000A7010000}"/>
    <cellStyle name="20% - Accent3 3 3 2" xfId="2863" xr:uid="{00000000-0005-0000-0000-0000A8010000}"/>
    <cellStyle name="20% - Accent3 3 3 2 2" xfId="7087" xr:uid="{00000000-0005-0000-0000-0000A9010000}"/>
    <cellStyle name="20% - Accent3 3 3 2 2 2" xfId="15516" xr:uid="{C621C00A-9D8B-464E-9BF8-E73AB1F721F6}"/>
    <cellStyle name="20% - Accent3 3 3 2 3" xfId="11298" xr:uid="{F1704EA0-4944-474A-A0C5-7137954C785C}"/>
    <cellStyle name="20% - Accent3 3 3 3" xfId="4942" xr:uid="{00000000-0005-0000-0000-0000AA010000}"/>
    <cellStyle name="20% - Accent3 3 3 3 2" xfId="13371" xr:uid="{E36B0161-69CC-43AF-B59D-E5D9E07595E1}"/>
    <cellStyle name="20% - Accent3 3 3 4" xfId="9153" xr:uid="{0745F7FD-7744-4155-B9E1-5B9A23073E0C}"/>
    <cellStyle name="20% - Accent3 3 4" xfId="1045" xr:uid="{00000000-0005-0000-0000-0000AB010000}"/>
    <cellStyle name="20% - Accent3 3 4 2" xfId="3276" xr:uid="{00000000-0005-0000-0000-0000AC010000}"/>
    <cellStyle name="20% - Accent3 3 4 2 2" xfId="7500" xr:uid="{00000000-0005-0000-0000-0000AD010000}"/>
    <cellStyle name="20% - Accent3 3 4 2 2 2" xfId="15929" xr:uid="{DC287314-9A4A-44A9-ABE4-5F6EA656CA37}"/>
    <cellStyle name="20% - Accent3 3 4 2 3" xfId="11711" xr:uid="{6DEE178E-E3FD-4252-A6C6-80074279BE38}"/>
    <cellStyle name="20% - Accent3 3 4 3" xfId="5355" xr:uid="{00000000-0005-0000-0000-0000AE010000}"/>
    <cellStyle name="20% - Accent3 3 4 3 2" xfId="13784" xr:uid="{2C16B2AD-7BE3-4388-989B-1FC9C8554235}"/>
    <cellStyle name="20% - Accent3 3 4 4" xfId="9566" xr:uid="{4F5AC7C9-8657-4402-9DD9-F7C2A10B576A}"/>
    <cellStyle name="20% - Accent3 3 5" xfId="1459" xr:uid="{00000000-0005-0000-0000-0000AF010000}"/>
    <cellStyle name="20% - Accent3 3 5 2" xfId="3689" xr:uid="{00000000-0005-0000-0000-0000B0010000}"/>
    <cellStyle name="20% - Accent3 3 5 2 2" xfId="7913" xr:uid="{00000000-0005-0000-0000-0000B1010000}"/>
    <cellStyle name="20% - Accent3 3 5 2 2 2" xfId="16342" xr:uid="{8C382C71-1E29-48DB-A410-E7FDBE1C4193}"/>
    <cellStyle name="20% - Accent3 3 5 2 3" xfId="12124" xr:uid="{F7511DC1-E3FB-4B78-9D56-BD2D72D45E87}"/>
    <cellStyle name="20% - Accent3 3 5 3" xfId="5768" xr:uid="{00000000-0005-0000-0000-0000B2010000}"/>
    <cellStyle name="20% - Accent3 3 5 3 2" xfId="14197" xr:uid="{1B9C696D-D904-4437-9DA9-02F6EDB3626E}"/>
    <cellStyle name="20% - Accent3 3 5 4" xfId="9979" xr:uid="{02B6C7A2-2D25-44F4-A3DF-C1668BCB0739}"/>
    <cellStyle name="20% - Accent3 3 6" xfId="1873" xr:uid="{00000000-0005-0000-0000-0000B3010000}"/>
    <cellStyle name="20% - Accent3 3 6 2" xfId="4102" xr:uid="{00000000-0005-0000-0000-0000B4010000}"/>
    <cellStyle name="20% - Accent3 3 6 2 2" xfId="8326" xr:uid="{00000000-0005-0000-0000-0000B5010000}"/>
    <cellStyle name="20% - Accent3 3 6 2 2 2" xfId="16755" xr:uid="{3ED9DF22-5475-4587-883E-E963BA315CA5}"/>
    <cellStyle name="20% - Accent3 3 6 2 3" xfId="12537" xr:uid="{C7C1E3AF-AC86-4C42-A1B3-BECAFBF97582}"/>
    <cellStyle name="20% - Accent3 3 6 3" xfId="6181" xr:uid="{00000000-0005-0000-0000-0000B6010000}"/>
    <cellStyle name="20% - Accent3 3 6 3 2" xfId="14610" xr:uid="{E8037228-D583-42EA-9575-D1A3FC1DE4CC}"/>
    <cellStyle name="20% - Accent3 3 6 4" xfId="10392" xr:uid="{F0B5E60A-471E-4072-BF22-7553FFA69347}"/>
    <cellStyle name="20% - Accent3 3 7" xfId="2286" xr:uid="{00000000-0005-0000-0000-0000B7010000}"/>
    <cellStyle name="20% - Accent3 3 7 2" xfId="6594" xr:uid="{00000000-0005-0000-0000-0000B8010000}"/>
    <cellStyle name="20% - Accent3 3 7 2 2" xfId="15023" xr:uid="{EE8D851C-29FC-439B-BD02-3B8E9BA3F32C}"/>
    <cellStyle name="20% - Accent3 3 7 3" xfId="10805" xr:uid="{6C3DF98C-F95A-4A9C-B7F8-0256AAED9AE4}"/>
    <cellStyle name="20% - Accent3 3 8" xfId="4528" xr:uid="{00000000-0005-0000-0000-0000B9010000}"/>
    <cellStyle name="20% - Accent3 3 8 2" xfId="12957" xr:uid="{CDC1ECF5-55B3-4BBB-9153-1A21A2F5EE62}"/>
    <cellStyle name="20% - Accent3 3 9" xfId="8739" xr:uid="{1636105A-0D05-49AC-8F7E-883AD43ABD17}"/>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2 2 2" xfId="15518" xr:uid="{EECEA989-59D2-40F5-9121-0008B0A33D26}"/>
    <cellStyle name="20% - Accent3 4 2 2 3" xfId="11300" xr:uid="{E1B60696-4DD6-4F48-BB62-F73E1A8F2E2E}"/>
    <cellStyle name="20% - Accent3 4 2 3" xfId="4944" xr:uid="{00000000-0005-0000-0000-0000BE010000}"/>
    <cellStyle name="20% - Accent3 4 2 3 2" xfId="13373" xr:uid="{B4933E43-5453-4766-872E-896F9DF24FCA}"/>
    <cellStyle name="20% - Accent3 4 2 4" xfId="9155" xr:uid="{FCD72445-FB8A-4B68-A205-2DA845286A9D}"/>
    <cellStyle name="20% - Accent3 4 3" xfId="1047" xr:uid="{00000000-0005-0000-0000-0000BF010000}"/>
    <cellStyle name="20% - Accent3 4 3 2" xfId="3278" xr:uid="{00000000-0005-0000-0000-0000C0010000}"/>
    <cellStyle name="20% - Accent3 4 3 2 2" xfId="7502" xr:uid="{00000000-0005-0000-0000-0000C1010000}"/>
    <cellStyle name="20% - Accent3 4 3 2 2 2" xfId="15931" xr:uid="{EC7F1B81-2B62-45F2-80AD-13DA9DCDB614}"/>
    <cellStyle name="20% - Accent3 4 3 2 3" xfId="11713" xr:uid="{AF663A34-C672-48C3-87A2-A4F20411D100}"/>
    <cellStyle name="20% - Accent3 4 3 3" xfId="5357" xr:uid="{00000000-0005-0000-0000-0000C2010000}"/>
    <cellStyle name="20% - Accent3 4 3 3 2" xfId="13786" xr:uid="{92316781-D2C1-468D-B11A-8054DB9CD4D9}"/>
    <cellStyle name="20% - Accent3 4 3 4" xfId="9568" xr:uid="{BAEEDCAD-F850-4E6A-BF86-B463F90193CA}"/>
    <cellStyle name="20% - Accent3 4 4" xfId="1461" xr:uid="{00000000-0005-0000-0000-0000C3010000}"/>
    <cellStyle name="20% - Accent3 4 4 2" xfId="3691" xr:uid="{00000000-0005-0000-0000-0000C4010000}"/>
    <cellStyle name="20% - Accent3 4 4 2 2" xfId="7915" xr:uid="{00000000-0005-0000-0000-0000C5010000}"/>
    <cellStyle name="20% - Accent3 4 4 2 2 2" xfId="16344" xr:uid="{EB09FBA6-8D75-499A-8206-CA72AA0807C2}"/>
    <cellStyle name="20% - Accent3 4 4 2 3" xfId="12126" xr:uid="{DA1018B0-10A2-47C7-8C73-281E4E7C3AD0}"/>
    <cellStyle name="20% - Accent3 4 4 3" xfId="5770" xr:uid="{00000000-0005-0000-0000-0000C6010000}"/>
    <cellStyle name="20% - Accent3 4 4 3 2" xfId="14199" xr:uid="{A283B5F3-AABE-45C0-AB4C-13336CF41438}"/>
    <cellStyle name="20% - Accent3 4 4 4" xfId="9981" xr:uid="{18550D45-00A0-486D-A575-374A20CA8082}"/>
    <cellStyle name="20% - Accent3 4 5" xfId="1875" xr:uid="{00000000-0005-0000-0000-0000C7010000}"/>
    <cellStyle name="20% - Accent3 4 5 2" xfId="4104" xr:uid="{00000000-0005-0000-0000-0000C8010000}"/>
    <cellStyle name="20% - Accent3 4 5 2 2" xfId="8328" xr:uid="{00000000-0005-0000-0000-0000C9010000}"/>
    <cellStyle name="20% - Accent3 4 5 2 2 2" xfId="16757" xr:uid="{1CCAE437-192D-4739-AC87-BF47A9957AA7}"/>
    <cellStyle name="20% - Accent3 4 5 2 3" xfId="12539" xr:uid="{CF4379D4-E5A2-4CFB-9ED3-0B3191C3B025}"/>
    <cellStyle name="20% - Accent3 4 5 3" xfId="6183" xr:uid="{00000000-0005-0000-0000-0000CA010000}"/>
    <cellStyle name="20% - Accent3 4 5 3 2" xfId="14612" xr:uid="{CA7D7724-0E14-4BB9-B04F-8B3C6A993C93}"/>
    <cellStyle name="20% - Accent3 4 5 4" xfId="10394" xr:uid="{E4DCADDD-BBD2-4F96-8B13-8992A4815D4E}"/>
    <cellStyle name="20% - Accent3 4 6" xfId="2288" xr:uid="{00000000-0005-0000-0000-0000CB010000}"/>
    <cellStyle name="20% - Accent3 4 6 2" xfId="6596" xr:uid="{00000000-0005-0000-0000-0000CC010000}"/>
    <cellStyle name="20% - Accent3 4 6 2 2" xfId="15025" xr:uid="{9A507762-C655-4705-8A4A-C001F19992F8}"/>
    <cellStyle name="20% - Accent3 4 6 3" xfId="10807" xr:uid="{F9494251-6F7B-467D-B879-25FEC8D8A7CF}"/>
    <cellStyle name="20% - Accent3 4 7" xfId="4530" xr:uid="{00000000-0005-0000-0000-0000CD010000}"/>
    <cellStyle name="20% - Accent3 4 7 2" xfId="12959" xr:uid="{BB62C383-ED01-45B4-B405-362E7CE2D9EC}"/>
    <cellStyle name="20% - Accent3 4 8" xfId="8741" xr:uid="{9CA00AED-F7C3-4ECF-B738-749DBD16DCDA}"/>
    <cellStyle name="20% - Accent3 5" xfId="587" xr:uid="{00000000-0005-0000-0000-0000CE010000}"/>
    <cellStyle name="20% - Accent3 5 2" xfId="2858" xr:uid="{00000000-0005-0000-0000-0000CF010000}"/>
    <cellStyle name="20% - Accent3 5 2 2" xfId="7082" xr:uid="{00000000-0005-0000-0000-0000D0010000}"/>
    <cellStyle name="20% - Accent3 5 2 2 2" xfId="15511" xr:uid="{1162ADFA-E9DF-424C-B4DF-CCF34BF84289}"/>
    <cellStyle name="20% - Accent3 5 2 3" xfId="11293" xr:uid="{8B355921-7780-49C5-9C14-E975E82E5F88}"/>
    <cellStyle name="20% - Accent3 5 3" xfId="4937" xr:uid="{00000000-0005-0000-0000-0000D1010000}"/>
    <cellStyle name="20% - Accent3 5 3 2" xfId="13366" xr:uid="{98951703-9F28-4FD4-9D0A-B8AD9DC784D0}"/>
    <cellStyle name="20% - Accent3 5 4" xfId="9148" xr:uid="{DD980881-BC98-4D5A-B087-8177F7AD6857}"/>
    <cellStyle name="20% - Accent3 6" xfId="1040" xr:uid="{00000000-0005-0000-0000-0000D2010000}"/>
    <cellStyle name="20% - Accent3 6 2" xfId="3271" xr:uid="{00000000-0005-0000-0000-0000D3010000}"/>
    <cellStyle name="20% - Accent3 6 2 2" xfId="7495" xr:uid="{00000000-0005-0000-0000-0000D4010000}"/>
    <cellStyle name="20% - Accent3 6 2 2 2" xfId="15924" xr:uid="{0BE498A6-CB4B-402E-A17C-799B6FACD874}"/>
    <cellStyle name="20% - Accent3 6 2 3" xfId="11706" xr:uid="{3EFC1B63-F83F-497D-921A-D0608F7C7A31}"/>
    <cellStyle name="20% - Accent3 6 3" xfId="5350" xr:uid="{00000000-0005-0000-0000-0000D5010000}"/>
    <cellStyle name="20% - Accent3 6 3 2" xfId="13779" xr:uid="{8081931B-8F4A-41DB-98B1-6CB89C1EF4ED}"/>
    <cellStyle name="20% - Accent3 6 4" xfId="9561" xr:uid="{857046C2-30F1-4F5D-8C5A-77A4B882CBBB}"/>
    <cellStyle name="20% - Accent3 7" xfId="1454" xr:uid="{00000000-0005-0000-0000-0000D6010000}"/>
    <cellStyle name="20% - Accent3 7 2" xfId="3684" xr:uid="{00000000-0005-0000-0000-0000D7010000}"/>
    <cellStyle name="20% - Accent3 7 2 2" xfId="7908" xr:uid="{00000000-0005-0000-0000-0000D8010000}"/>
    <cellStyle name="20% - Accent3 7 2 2 2" xfId="16337" xr:uid="{CE6E527A-D818-40D9-A4BF-1B5A8A975D34}"/>
    <cellStyle name="20% - Accent3 7 2 3" xfId="12119" xr:uid="{65FB4235-0ED7-4D52-B611-853597FC3983}"/>
    <cellStyle name="20% - Accent3 7 3" xfId="5763" xr:uid="{00000000-0005-0000-0000-0000D9010000}"/>
    <cellStyle name="20% - Accent3 7 3 2" xfId="14192" xr:uid="{9C3BBEF5-1BF5-4274-B543-3771D2EED185}"/>
    <cellStyle name="20% - Accent3 7 4" xfId="9974" xr:uid="{A3301551-137D-4E2E-A725-7C2EF2D17645}"/>
    <cellStyle name="20% - Accent3 8" xfId="1868" xr:uid="{00000000-0005-0000-0000-0000DA010000}"/>
    <cellStyle name="20% - Accent3 8 2" xfId="4097" xr:uid="{00000000-0005-0000-0000-0000DB010000}"/>
    <cellStyle name="20% - Accent3 8 2 2" xfId="8321" xr:uid="{00000000-0005-0000-0000-0000DC010000}"/>
    <cellStyle name="20% - Accent3 8 2 2 2" xfId="16750" xr:uid="{EC015DAF-92D9-4D52-9A32-FF4D3C6D3A4D}"/>
    <cellStyle name="20% - Accent3 8 2 3" xfId="12532" xr:uid="{6C4EABB7-F577-402C-9DD3-8CC2A1D8F40A}"/>
    <cellStyle name="20% - Accent3 8 3" xfId="6176" xr:uid="{00000000-0005-0000-0000-0000DD010000}"/>
    <cellStyle name="20% - Accent3 8 3 2" xfId="14605" xr:uid="{1A6897E7-7C20-4076-A513-522836CCE98C}"/>
    <cellStyle name="20% - Accent3 8 4" xfId="10387" xr:uid="{E7C593D5-2A4F-4849-A795-89C2F2702D83}"/>
    <cellStyle name="20% - Accent3 9" xfId="2281" xr:uid="{00000000-0005-0000-0000-0000DE010000}"/>
    <cellStyle name="20% - Accent3 9 2" xfId="6589" xr:uid="{00000000-0005-0000-0000-0000DF010000}"/>
    <cellStyle name="20% - Accent3 9 2 2" xfId="15018" xr:uid="{DD208394-3301-47C3-B98A-F38BAC9A3375}"/>
    <cellStyle name="20% - Accent3 9 3" xfId="10800" xr:uid="{CF012CB3-5100-4659-A4E0-DF469D908D95}"/>
    <cellStyle name="20% - Accent4" xfId="25" builtinId="42" customBuiltin="1"/>
    <cellStyle name="20% - Accent4 10" xfId="4531" xr:uid="{00000000-0005-0000-0000-0000E1010000}"/>
    <cellStyle name="20% - Accent4 10 2" xfId="12960" xr:uid="{FC5C649A-A8FF-4E17-837B-6D315A293F13}"/>
    <cellStyle name="20% - Accent4 11" xfId="8742" xr:uid="{E918AE31-0FB3-4E28-8C33-B4C4E0E61AE7}"/>
    <cellStyle name="20% - Accent4 2" xfId="26" xr:uid="{00000000-0005-0000-0000-0000E2010000}"/>
    <cellStyle name="20% - Accent4 2 10" xfId="8743" xr:uid="{2F775AE9-DAEC-46D7-AB6A-DCDCDB0713D3}"/>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2 2 2" xfId="15522" xr:uid="{C5E29B9B-41CE-49FA-9177-01090F3F374F}"/>
    <cellStyle name="20% - Accent4 2 2 2 2 2 3" xfId="11304" xr:uid="{ACE26B13-40E2-4820-A4D1-B5899F79D60D}"/>
    <cellStyle name="20% - Accent4 2 2 2 2 3" xfId="4948" xr:uid="{00000000-0005-0000-0000-0000E8010000}"/>
    <cellStyle name="20% - Accent4 2 2 2 2 3 2" xfId="13377" xr:uid="{76B180FB-4853-40A5-91F5-0B1C44273256}"/>
    <cellStyle name="20% - Accent4 2 2 2 2 4" xfId="9159" xr:uid="{8918607B-494B-42C6-8BD7-261FA1519E9B}"/>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2 2 2" xfId="15935" xr:uid="{FCC5DE7E-556F-4A28-A2C3-7B5CBFC7F210}"/>
    <cellStyle name="20% - Accent4 2 2 2 3 2 3" xfId="11717" xr:uid="{F35A1E70-5204-4860-B8D3-8477978184BC}"/>
    <cellStyle name="20% - Accent4 2 2 2 3 3" xfId="5361" xr:uid="{00000000-0005-0000-0000-0000EC010000}"/>
    <cellStyle name="20% - Accent4 2 2 2 3 3 2" xfId="13790" xr:uid="{5C2EA657-0E8A-469D-B003-85608359F3A3}"/>
    <cellStyle name="20% - Accent4 2 2 2 3 4" xfId="9572" xr:uid="{CCCE9BD7-6A68-490E-A32A-B7FE7EED7C95}"/>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2 2 2" xfId="16348" xr:uid="{2A4DAC8F-11F5-44A5-BA9F-D163FADCD061}"/>
    <cellStyle name="20% - Accent4 2 2 2 4 2 3" xfId="12130" xr:uid="{85393AB7-2D8B-4039-A2D2-1ACC2B30D852}"/>
    <cellStyle name="20% - Accent4 2 2 2 4 3" xfId="5774" xr:uid="{00000000-0005-0000-0000-0000F0010000}"/>
    <cellStyle name="20% - Accent4 2 2 2 4 3 2" xfId="14203" xr:uid="{76A6DDFA-6B23-4FD7-B011-02656F5FC000}"/>
    <cellStyle name="20% - Accent4 2 2 2 4 4" xfId="9985" xr:uid="{A8684D0C-E1D3-4C46-9F3F-44B8B995C4EE}"/>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2 2 2" xfId="16761" xr:uid="{D754514B-A986-4639-8347-6CDF2BC3B720}"/>
    <cellStyle name="20% - Accent4 2 2 2 5 2 3" xfId="12543" xr:uid="{21BC8377-0C10-4BE4-A588-BC7DB28C7EDD}"/>
    <cellStyle name="20% - Accent4 2 2 2 5 3" xfId="6187" xr:uid="{00000000-0005-0000-0000-0000F4010000}"/>
    <cellStyle name="20% - Accent4 2 2 2 5 3 2" xfId="14616" xr:uid="{63DE0400-F13D-4E11-9C0F-84BE1CAD8C94}"/>
    <cellStyle name="20% - Accent4 2 2 2 5 4" xfId="10398" xr:uid="{DE5A506F-18DE-4356-A374-69C0C60693B7}"/>
    <cellStyle name="20% - Accent4 2 2 2 6" xfId="2292" xr:uid="{00000000-0005-0000-0000-0000F5010000}"/>
    <cellStyle name="20% - Accent4 2 2 2 6 2" xfId="6600" xr:uid="{00000000-0005-0000-0000-0000F6010000}"/>
    <cellStyle name="20% - Accent4 2 2 2 6 2 2" xfId="15029" xr:uid="{086E2F93-08E8-498B-B134-49A52FEE4AC3}"/>
    <cellStyle name="20% - Accent4 2 2 2 6 3" xfId="10811" xr:uid="{854CCA70-1951-48A1-AE25-48BF002AAB79}"/>
    <cellStyle name="20% - Accent4 2 2 2 7" xfId="4534" xr:uid="{00000000-0005-0000-0000-0000F7010000}"/>
    <cellStyle name="20% - Accent4 2 2 2 7 2" xfId="12963" xr:uid="{33E60B33-2B10-466E-8CA7-404298A53A74}"/>
    <cellStyle name="20% - Accent4 2 2 2 8" xfId="8745" xr:uid="{B497D864-D970-45FE-A4C0-813398A5B6E7}"/>
    <cellStyle name="20% - Accent4 2 2 3" xfId="597" xr:uid="{00000000-0005-0000-0000-0000F8010000}"/>
    <cellStyle name="20% - Accent4 2 2 3 2" xfId="2868" xr:uid="{00000000-0005-0000-0000-0000F9010000}"/>
    <cellStyle name="20% - Accent4 2 2 3 2 2" xfId="7092" xr:uid="{00000000-0005-0000-0000-0000FA010000}"/>
    <cellStyle name="20% - Accent4 2 2 3 2 2 2" xfId="15521" xr:uid="{DF9AC9C7-A971-401E-8A14-31F649DFC8F0}"/>
    <cellStyle name="20% - Accent4 2 2 3 2 3" xfId="11303" xr:uid="{1A60CC87-A1AB-4877-85CD-5DBB0D89563F}"/>
    <cellStyle name="20% - Accent4 2 2 3 3" xfId="4947" xr:uid="{00000000-0005-0000-0000-0000FB010000}"/>
    <cellStyle name="20% - Accent4 2 2 3 3 2" xfId="13376" xr:uid="{8FEA5450-FA0B-4E13-BA5F-4E25FE478274}"/>
    <cellStyle name="20% - Accent4 2 2 3 4" xfId="9158" xr:uid="{CC2BF5D9-A183-4F9A-BF13-7855A718996B}"/>
    <cellStyle name="20% - Accent4 2 2 4" xfId="1050" xr:uid="{00000000-0005-0000-0000-0000FC010000}"/>
    <cellStyle name="20% - Accent4 2 2 4 2" xfId="3281" xr:uid="{00000000-0005-0000-0000-0000FD010000}"/>
    <cellStyle name="20% - Accent4 2 2 4 2 2" xfId="7505" xr:uid="{00000000-0005-0000-0000-0000FE010000}"/>
    <cellStyle name="20% - Accent4 2 2 4 2 2 2" xfId="15934" xr:uid="{E04EE25C-50BD-476C-8563-7AE7F0690481}"/>
    <cellStyle name="20% - Accent4 2 2 4 2 3" xfId="11716" xr:uid="{CD50BDCC-C4A6-44B5-AAB7-747AACC06DE8}"/>
    <cellStyle name="20% - Accent4 2 2 4 3" xfId="5360" xr:uid="{00000000-0005-0000-0000-0000FF010000}"/>
    <cellStyle name="20% - Accent4 2 2 4 3 2" xfId="13789" xr:uid="{32BD7591-EF66-4B7B-BB94-AA3E4BC577B5}"/>
    <cellStyle name="20% - Accent4 2 2 4 4" xfId="9571" xr:uid="{37880ABC-F9A2-48FF-AB68-4ED2784E7333}"/>
    <cellStyle name="20% - Accent4 2 2 5" xfId="1464" xr:uid="{00000000-0005-0000-0000-000000020000}"/>
    <cellStyle name="20% - Accent4 2 2 5 2" xfId="3694" xr:uid="{00000000-0005-0000-0000-000001020000}"/>
    <cellStyle name="20% - Accent4 2 2 5 2 2" xfId="7918" xr:uid="{00000000-0005-0000-0000-000002020000}"/>
    <cellStyle name="20% - Accent4 2 2 5 2 2 2" xfId="16347" xr:uid="{6F2E8495-31C4-4BBF-873A-BF5B2A687666}"/>
    <cellStyle name="20% - Accent4 2 2 5 2 3" xfId="12129" xr:uid="{777B482C-E217-4041-B381-12D7FBBE803F}"/>
    <cellStyle name="20% - Accent4 2 2 5 3" xfId="5773" xr:uid="{00000000-0005-0000-0000-000003020000}"/>
    <cellStyle name="20% - Accent4 2 2 5 3 2" xfId="14202" xr:uid="{8E9DAD52-EEBA-4B05-967F-A93366B4AA0A}"/>
    <cellStyle name="20% - Accent4 2 2 5 4" xfId="9984" xr:uid="{1C9C3F1F-3FA0-448A-B6B1-3EF768048478}"/>
    <cellStyle name="20% - Accent4 2 2 6" xfId="1878" xr:uid="{00000000-0005-0000-0000-000004020000}"/>
    <cellStyle name="20% - Accent4 2 2 6 2" xfId="4107" xr:uid="{00000000-0005-0000-0000-000005020000}"/>
    <cellStyle name="20% - Accent4 2 2 6 2 2" xfId="8331" xr:uid="{00000000-0005-0000-0000-000006020000}"/>
    <cellStyle name="20% - Accent4 2 2 6 2 2 2" xfId="16760" xr:uid="{FF5061E1-27BE-4C93-972F-2C4B91E6BC87}"/>
    <cellStyle name="20% - Accent4 2 2 6 2 3" xfId="12542" xr:uid="{FDE58B32-7C98-4505-B7F0-1F7641751790}"/>
    <cellStyle name="20% - Accent4 2 2 6 3" xfId="6186" xr:uid="{00000000-0005-0000-0000-000007020000}"/>
    <cellStyle name="20% - Accent4 2 2 6 3 2" xfId="14615" xr:uid="{BF16C094-B0FA-4FCD-9BEF-420E13F7CB3C}"/>
    <cellStyle name="20% - Accent4 2 2 6 4" xfId="10397" xr:uid="{007125DD-46AD-4410-BE2E-765B3540A6FA}"/>
    <cellStyle name="20% - Accent4 2 2 7" xfId="2291" xr:uid="{00000000-0005-0000-0000-000008020000}"/>
    <cellStyle name="20% - Accent4 2 2 7 2" xfId="6599" xr:uid="{00000000-0005-0000-0000-000009020000}"/>
    <cellStyle name="20% - Accent4 2 2 7 2 2" xfId="15028" xr:uid="{EBE1F386-2A9F-49C6-82C4-A62B598D4F48}"/>
    <cellStyle name="20% - Accent4 2 2 7 3" xfId="10810" xr:uid="{020D351E-16BB-4188-8ABC-A8F35526504D}"/>
    <cellStyle name="20% - Accent4 2 2 8" xfId="4533" xr:uid="{00000000-0005-0000-0000-00000A020000}"/>
    <cellStyle name="20% - Accent4 2 2 8 2" xfId="12962" xr:uid="{603866C4-66FB-49B8-B597-F0B4D55D7ABA}"/>
    <cellStyle name="20% - Accent4 2 2 9" xfId="8744" xr:uid="{404DC17F-303C-4956-88E6-264E077F431F}"/>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2 2 2" xfId="15523" xr:uid="{998A7C2A-65DD-47F8-B1E9-8B797C2EA53F}"/>
    <cellStyle name="20% - Accent4 2 3 2 2 3" xfId="11305" xr:uid="{D62DD088-566A-4500-AEC4-9F526496FC72}"/>
    <cellStyle name="20% - Accent4 2 3 2 3" xfId="4949" xr:uid="{00000000-0005-0000-0000-00000F020000}"/>
    <cellStyle name="20% - Accent4 2 3 2 3 2" xfId="13378" xr:uid="{DAE3BEE6-4F63-4FFF-9EC4-A3581974C6C3}"/>
    <cellStyle name="20% - Accent4 2 3 2 4" xfId="9160" xr:uid="{09DDCF9F-84CD-4F6D-8A61-E129D5D3984F}"/>
    <cellStyle name="20% - Accent4 2 3 3" xfId="1052" xr:uid="{00000000-0005-0000-0000-000010020000}"/>
    <cellStyle name="20% - Accent4 2 3 3 2" xfId="3283" xr:uid="{00000000-0005-0000-0000-000011020000}"/>
    <cellStyle name="20% - Accent4 2 3 3 2 2" xfId="7507" xr:uid="{00000000-0005-0000-0000-000012020000}"/>
    <cellStyle name="20% - Accent4 2 3 3 2 2 2" xfId="15936" xr:uid="{075675FB-3615-4BF0-B255-60798599D292}"/>
    <cellStyle name="20% - Accent4 2 3 3 2 3" xfId="11718" xr:uid="{B001761D-5B84-4184-94AC-5F07C058F6A0}"/>
    <cellStyle name="20% - Accent4 2 3 3 3" xfId="5362" xr:uid="{00000000-0005-0000-0000-000013020000}"/>
    <cellStyle name="20% - Accent4 2 3 3 3 2" xfId="13791" xr:uid="{108BFC29-89F8-4DF7-B6C3-295944243C04}"/>
    <cellStyle name="20% - Accent4 2 3 3 4" xfId="9573" xr:uid="{2709BA1B-6171-4E8F-BAFD-A01016CDD422}"/>
    <cellStyle name="20% - Accent4 2 3 4" xfId="1466" xr:uid="{00000000-0005-0000-0000-000014020000}"/>
    <cellStyle name="20% - Accent4 2 3 4 2" xfId="3696" xr:uid="{00000000-0005-0000-0000-000015020000}"/>
    <cellStyle name="20% - Accent4 2 3 4 2 2" xfId="7920" xr:uid="{00000000-0005-0000-0000-000016020000}"/>
    <cellStyle name="20% - Accent4 2 3 4 2 2 2" xfId="16349" xr:uid="{C8E50F05-92DF-43A7-838E-03A4A22685E6}"/>
    <cellStyle name="20% - Accent4 2 3 4 2 3" xfId="12131" xr:uid="{A3D32173-8D6F-4F57-8BA6-E68F96BD5980}"/>
    <cellStyle name="20% - Accent4 2 3 4 3" xfId="5775" xr:uid="{00000000-0005-0000-0000-000017020000}"/>
    <cellStyle name="20% - Accent4 2 3 4 3 2" xfId="14204" xr:uid="{8EF1EEB2-7760-4699-BA54-0DBE07A3AB50}"/>
    <cellStyle name="20% - Accent4 2 3 4 4" xfId="9986" xr:uid="{1610C895-795E-403E-8606-E6B89DA80853}"/>
    <cellStyle name="20% - Accent4 2 3 5" xfId="1880" xr:uid="{00000000-0005-0000-0000-000018020000}"/>
    <cellStyle name="20% - Accent4 2 3 5 2" xfId="4109" xr:uid="{00000000-0005-0000-0000-000019020000}"/>
    <cellStyle name="20% - Accent4 2 3 5 2 2" xfId="8333" xr:uid="{00000000-0005-0000-0000-00001A020000}"/>
    <cellStyle name="20% - Accent4 2 3 5 2 2 2" xfId="16762" xr:uid="{1C4AAA5F-3A85-43F3-86F7-D483FAB4D141}"/>
    <cellStyle name="20% - Accent4 2 3 5 2 3" xfId="12544" xr:uid="{839FA27D-3AA5-49BF-AD3A-458CE66086ED}"/>
    <cellStyle name="20% - Accent4 2 3 5 3" xfId="6188" xr:uid="{00000000-0005-0000-0000-00001B020000}"/>
    <cellStyle name="20% - Accent4 2 3 5 3 2" xfId="14617" xr:uid="{22958247-DF86-4CA9-9C5F-0F3C8BEE3520}"/>
    <cellStyle name="20% - Accent4 2 3 5 4" xfId="10399" xr:uid="{0828120E-C50E-45A4-9A66-94ABF4696BD1}"/>
    <cellStyle name="20% - Accent4 2 3 6" xfId="2293" xr:uid="{00000000-0005-0000-0000-00001C020000}"/>
    <cellStyle name="20% - Accent4 2 3 6 2" xfId="6601" xr:uid="{00000000-0005-0000-0000-00001D020000}"/>
    <cellStyle name="20% - Accent4 2 3 6 2 2" xfId="15030" xr:uid="{F3D05B0E-F5F1-4CB1-B8AE-E0A436496D85}"/>
    <cellStyle name="20% - Accent4 2 3 6 3" xfId="10812" xr:uid="{72EE4E85-5826-46C8-AC6D-4BC3FC35925B}"/>
    <cellStyle name="20% - Accent4 2 3 7" xfId="4535" xr:uid="{00000000-0005-0000-0000-00001E020000}"/>
    <cellStyle name="20% - Accent4 2 3 7 2" xfId="12964" xr:uid="{7C521F98-A357-4369-9DB5-5ACA73D4687B}"/>
    <cellStyle name="20% - Accent4 2 3 8" xfId="8746" xr:uid="{6C4CEA9C-6793-4393-A094-4B90A4F9DCA4}"/>
    <cellStyle name="20% - Accent4 2 4" xfId="596" xr:uid="{00000000-0005-0000-0000-00001F020000}"/>
    <cellStyle name="20% - Accent4 2 4 2" xfId="2867" xr:uid="{00000000-0005-0000-0000-000020020000}"/>
    <cellStyle name="20% - Accent4 2 4 2 2" xfId="7091" xr:uid="{00000000-0005-0000-0000-000021020000}"/>
    <cellStyle name="20% - Accent4 2 4 2 2 2" xfId="15520" xr:uid="{72D530DC-FCD0-4DBB-A50E-C938AC17D149}"/>
    <cellStyle name="20% - Accent4 2 4 2 3" xfId="11302" xr:uid="{5BDFC036-C758-475F-873A-6BB23E9E1959}"/>
    <cellStyle name="20% - Accent4 2 4 3" xfId="4946" xr:uid="{00000000-0005-0000-0000-000022020000}"/>
    <cellStyle name="20% - Accent4 2 4 3 2" xfId="13375" xr:uid="{F11AC918-D117-49B7-9D70-42A035791D49}"/>
    <cellStyle name="20% - Accent4 2 4 4" xfId="9157" xr:uid="{3EF5DCBF-0D13-4D16-9D51-ABBFB9F0EBF3}"/>
    <cellStyle name="20% - Accent4 2 5" xfId="1049" xr:uid="{00000000-0005-0000-0000-000023020000}"/>
    <cellStyle name="20% - Accent4 2 5 2" xfId="3280" xr:uid="{00000000-0005-0000-0000-000024020000}"/>
    <cellStyle name="20% - Accent4 2 5 2 2" xfId="7504" xr:uid="{00000000-0005-0000-0000-000025020000}"/>
    <cellStyle name="20% - Accent4 2 5 2 2 2" xfId="15933" xr:uid="{34BB3ACC-D4E9-4403-B54B-4B50D243D667}"/>
    <cellStyle name="20% - Accent4 2 5 2 3" xfId="11715" xr:uid="{C8985B0D-EE92-46E5-95DE-E170366038A6}"/>
    <cellStyle name="20% - Accent4 2 5 3" xfId="5359" xr:uid="{00000000-0005-0000-0000-000026020000}"/>
    <cellStyle name="20% - Accent4 2 5 3 2" xfId="13788" xr:uid="{72CD5BE9-5D82-4933-A7A8-4545EEC69439}"/>
    <cellStyle name="20% - Accent4 2 5 4" xfId="9570" xr:uid="{21464111-9701-4299-9BE3-CB074262754C}"/>
    <cellStyle name="20% - Accent4 2 6" xfId="1463" xr:uid="{00000000-0005-0000-0000-000027020000}"/>
    <cellStyle name="20% - Accent4 2 6 2" xfId="3693" xr:uid="{00000000-0005-0000-0000-000028020000}"/>
    <cellStyle name="20% - Accent4 2 6 2 2" xfId="7917" xr:uid="{00000000-0005-0000-0000-000029020000}"/>
    <cellStyle name="20% - Accent4 2 6 2 2 2" xfId="16346" xr:uid="{2369ADF0-1214-40E3-8317-9BD903A04772}"/>
    <cellStyle name="20% - Accent4 2 6 2 3" xfId="12128" xr:uid="{A6405DF4-7CEF-4FDC-8FEE-AF2AEBD21055}"/>
    <cellStyle name="20% - Accent4 2 6 3" xfId="5772" xr:uid="{00000000-0005-0000-0000-00002A020000}"/>
    <cellStyle name="20% - Accent4 2 6 3 2" xfId="14201" xr:uid="{C6BF8D16-7692-4477-B35A-216E2F81DF34}"/>
    <cellStyle name="20% - Accent4 2 6 4" xfId="9983" xr:uid="{8489A692-5E2E-4AAC-A473-D26D77686B86}"/>
    <cellStyle name="20% - Accent4 2 7" xfId="1877" xr:uid="{00000000-0005-0000-0000-00002B020000}"/>
    <cellStyle name="20% - Accent4 2 7 2" xfId="4106" xr:uid="{00000000-0005-0000-0000-00002C020000}"/>
    <cellStyle name="20% - Accent4 2 7 2 2" xfId="8330" xr:uid="{00000000-0005-0000-0000-00002D020000}"/>
    <cellStyle name="20% - Accent4 2 7 2 2 2" xfId="16759" xr:uid="{0C8E2B1B-1161-4872-8E3B-E2AB521D8FE1}"/>
    <cellStyle name="20% - Accent4 2 7 2 3" xfId="12541" xr:uid="{18CFF956-1FD9-424F-A306-774ED1A4CA9B}"/>
    <cellStyle name="20% - Accent4 2 7 3" xfId="6185" xr:uid="{00000000-0005-0000-0000-00002E020000}"/>
    <cellStyle name="20% - Accent4 2 7 3 2" xfId="14614" xr:uid="{0CDD6C06-E422-426C-89C7-6960A97D2FD8}"/>
    <cellStyle name="20% - Accent4 2 7 4" xfId="10396" xr:uid="{864E5C14-8E0A-4C98-86A2-07E2663B415F}"/>
    <cellStyle name="20% - Accent4 2 8" xfId="2290" xr:uid="{00000000-0005-0000-0000-00002F020000}"/>
    <cellStyle name="20% - Accent4 2 8 2" xfId="6598" xr:uid="{00000000-0005-0000-0000-000030020000}"/>
    <cellStyle name="20% - Accent4 2 8 2 2" xfId="15027" xr:uid="{259AC545-9D9C-4157-861A-65F5FAF60C17}"/>
    <cellStyle name="20% - Accent4 2 8 3" xfId="10809" xr:uid="{5B21CC55-3B00-486A-9424-BAAA5ED6B4B0}"/>
    <cellStyle name="20% - Accent4 2 9" xfId="4532" xr:uid="{00000000-0005-0000-0000-000031020000}"/>
    <cellStyle name="20% - Accent4 2 9 2" xfId="12961" xr:uid="{2B322794-DE9F-4512-A98B-88919C36531C}"/>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2 2 2" xfId="15525" xr:uid="{46FB8AEF-34E7-4711-BCE0-102DA9D6D157}"/>
    <cellStyle name="20% - Accent4 3 2 2 2 3" xfId="11307" xr:uid="{EC03BA80-4240-4479-8B03-BB1B32472A43}"/>
    <cellStyle name="20% - Accent4 3 2 2 3" xfId="4951" xr:uid="{00000000-0005-0000-0000-000037020000}"/>
    <cellStyle name="20% - Accent4 3 2 2 3 2" xfId="13380" xr:uid="{67A09E59-A9D4-4CBB-A773-725F0392A331}"/>
    <cellStyle name="20% - Accent4 3 2 2 4" xfId="9162" xr:uid="{366841B2-2B51-46CF-9AD7-4F954078E791}"/>
    <cellStyle name="20% - Accent4 3 2 3" xfId="1054" xr:uid="{00000000-0005-0000-0000-000038020000}"/>
    <cellStyle name="20% - Accent4 3 2 3 2" xfId="3285" xr:uid="{00000000-0005-0000-0000-000039020000}"/>
    <cellStyle name="20% - Accent4 3 2 3 2 2" xfId="7509" xr:uid="{00000000-0005-0000-0000-00003A020000}"/>
    <cellStyle name="20% - Accent4 3 2 3 2 2 2" xfId="15938" xr:uid="{DDA542C3-2423-43D5-9FCE-9A39B6C0355F}"/>
    <cellStyle name="20% - Accent4 3 2 3 2 3" xfId="11720" xr:uid="{3CD01A4F-A9DD-4D3E-8C18-BAB104ADB025}"/>
    <cellStyle name="20% - Accent4 3 2 3 3" xfId="5364" xr:uid="{00000000-0005-0000-0000-00003B020000}"/>
    <cellStyle name="20% - Accent4 3 2 3 3 2" xfId="13793" xr:uid="{FF6E8865-B387-40FB-A3FC-12C4B6A7B96E}"/>
    <cellStyle name="20% - Accent4 3 2 3 4" xfId="9575" xr:uid="{A591DE30-0E47-4566-ACC9-8F791B979A63}"/>
    <cellStyle name="20% - Accent4 3 2 4" xfId="1468" xr:uid="{00000000-0005-0000-0000-00003C020000}"/>
    <cellStyle name="20% - Accent4 3 2 4 2" xfId="3698" xr:uid="{00000000-0005-0000-0000-00003D020000}"/>
    <cellStyle name="20% - Accent4 3 2 4 2 2" xfId="7922" xr:uid="{00000000-0005-0000-0000-00003E020000}"/>
    <cellStyle name="20% - Accent4 3 2 4 2 2 2" xfId="16351" xr:uid="{E5B8FBA0-1C8D-4C09-8CAA-536E8DD2B26A}"/>
    <cellStyle name="20% - Accent4 3 2 4 2 3" xfId="12133" xr:uid="{CA090F6B-AF3B-403A-BEB2-FFAA5F800D4B}"/>
    <cellStyle name="20% - Accent4 3 2 4 3" xfId="5777" xr:uid="{00000000-0005-0000-0000-00003F020000}"/>
    <cellStyle name="20% - Accent4 3 2 4 3 2" xfId="14206" xr:uid="{46198A7C-681D-47FF-B6B4-1B7336D7959E}"/>
    <cellStyle name="20% - Accent4 3 2 4 4" xfId="9988" xr:uid="{34A29654-1373-4581-8BFF-DA5C2AD5F062}"/>
    <cellStyle name="20% - Accent4 3 2 5" xfId="1882" xr:uid="{00000000-0005-0000-0000-000040020000}"/>
    <cellStyle name="20% - Accent4 3 2 5 2" xfId="4111" xr:uid="{00000000-0005-0000-0000-000041020000}"/>
    <cellStyle name="20% - Accent4 3 2 5 2 2" xfId="8335" xr:uid="{00000000-0005-0000-0000-000042020000}"/>
    <cellStyle name="20% - Accent4 3 2 5 2 2 2" xfId="16764" xr:uid="{02405B5B-E3D0-4B6F-9425-961134C5D4B4}"/>
    <cellStyle name="20% - Accent4 3 2 5 2 3" xfId="12546" xr:uid="{BE991757-17C9-4DA6-9897-A496BFDA4F26}"/>
    <cellStyle name="20% - Accent4 3 2 5 3" xfId="6190" xr:uid="{00000000-0005-0000-0000-000043020000}"/>
    <cellStyle name="20% - Accent4 3 2 5 3 2" xfId="14619" xr:uid="{8FAFB9D1-6046-41AA-960D-5B601ED68A95}"/>
    <cellStyle name="20% - Accent4 3 2 5 4" xfId="10401" xr:uid="{F16070FE-B6BE-451C-A719-23FF608CD6ED}"/>
    <cellStyle name="20% - Accent4 3 2 6" xfId="2295" xr:uid="{00000000-0005-0000-0000-000044020000}"/>
    <cellStyle name="20% - Accent4 3 2 6 2" xfId="6603" xr:uid="{00000000-0005-0000-0000-000045020000}"/>
    <cellStyle name="20% - Accent4 3 2 6 2 2" xfId="15032" xr:uid="{C361C1DF-3A15-48D8-B509-ED1465480642}"/>
    <cellStyle name="20% - Accent4 3 2 6 3" xfId="10814" xr:uid="{2476EC07-8AC7-4292-946F-EF72E687DF19}"/>
    <cellStyle name="20% - Accent4 3 2 7" xfId="4537" xr:uid="{00000000-0005-0000-0000-000046020000}"/>
    <cellStyle name="20% - Accent4 3 2 7 2" xfId="12966" xr:uid="{14886114-541E-412B-B47A-73A9B24E9A96}"/>
    <cellStyle name="20% - Accent4 3 2 8" xfId="8748" xr:uid="{9AE3BFC2-3FC2-4A34-89D1-C49077EFBB6B}"/>
    <cellStyle name="20% - Accent4 3 3" xfId="600" xr:uid="{00000000-0005-0000-0000-000047020000}"/>
    <cellStyle name="20% - Accent4 3 3 2" xfId="2871" xr:uid="{00000000-0005-0000-0000-000048020000}"/>
    <cellStyle name="20% - Accent4 3 3 2 2" xfId="7095" xr:uid="{00000000-0005-0000-0000-000049020000}"/>
    <cellStyle name="20% - Accent4 3 3 2 2 2" xfId="15524" xr:uid="{F5B066C5-528B-415C-A5A8-4434260EFFE3}"/>
    <cellStyle name="20% - Accent4 3 3 2 3" xfId="11306" xr:uid="{CD8EBEA9-5541-4571-9092-4B4C284201C2}"/>
    <cellStyle name="20% - Accent4 3 3 3" xfId="4950" xr:uid="{00000000-0005-0000-0000-00004A020000}"/>
    <cellStyle name="20% - Accent4 3 3 3 2" xfId="13379" xr:uid="{F4D1B6F1-3E10-465A-ACC3-418C180F8DDE}"/>
    <cellStyle name="20% - Accent4 3 3 4" xfId="9161" xr:uid="{1C5F9EFB-3734-45FB-8261-F63EB428175B}"/>
    <cellStyle name="20% - Accent4 3 4" xfId="1053" xr:uid="{00000000-0005-0000-0000-00004B020000}"/>
    <cellStyle name="20% - Accent4 3 4 2" xfId="3284" xr:uid="{00000000-0005-0000-0000-00004C020000}"/>
    <cellStyle name="20% - Accent4 3 4 2 2" xfId="7508" xr:uid="{00000000-0005-0000-0000-00004D020000}"/>
    <cellStyle name="20% - Accent4 3 4 2 2 2" xfId="15937" xr:uid="{33FC91B5-2EF1-41E5-B9A2-D670266801C3}"/>
    <cellStyle name="20% - Accent4 3 4 2 3" xfId="11719" xr:uid="{AC7E0811-9CDB-44A3-9C3E-A44E7A78D242}"/>
    <cellStyle name="20% - Accent4 3 4 3" xfId="5363" xr:uid="{00000000-0005-0000-0000-00004E020000}"/>
    <cellStyle name="20% - Accent4 3 4 3 2" xfId="13792" xr:uid="{B1D05F23-5D63-4C2A-896F-62FBE6917804}"/>
    <cellStyle name="20% - Accent4 3 4 4" xfId="9574" xr:uid="{9D1E87CD-3E26-4FBE-B823-DE5ADDF5906E}"/>
    <cellStyle name="20% - Accent4 3 5" xfId="1467" xr:uid="{00000000-0005-0000-0000-00004F020000}"/>
    <cellStyle name="20% - Accent4 3 5 2" xfId="3697" xr:uid="{00000000-0005-0000-0000-000050020000}"/>
    <cellStyle name="20% - Accent4 3 5 2 2" xfId="7921" xr:uid="{00000000-0005-0000-0000-000051020000}"/>
    <cellStyle name="20% - Accent4 3 5 2 2 2" xfId="16350" xr:uid="{1BE59B92-F314-4840-9BD9-2504A72BA413}"/>
    <cellStyle name="20% - Accent4 3 5 2 3" xfId="12132" xr:uid="{DEAFF65B-E4BC-4DDF-8C2C-CEEFDBD4188B}"/>
    <cellStyle name="20% - Accent4 3 5 3" xfId="5776" xr:uid="{00000000-0005-0000-0000-000052020000}"/>
    <cellStyle name="20% - Accent4 3 5 3 2" xfId="14205" xr:uid="{E9566A35-8636-452F-9768-4344835CA2B7}"/>
    <cellStyle name="20% - Accent4 3 5 4" xfId="9987" xr:uid="{959A0833-3A5D-4433-BD71-28F07B52B5BD}"/>
    <cellStyle name="20% - Accent4 3 6" xfId="1881" xr:uid="{00000000-0005-0000-0000-000053020000}"/>
    <cellStyle name="20% - Accent4 3 6 2" xfId="4110" xr:uid="{00000000-0005-0000-0000-000054020000}"/>
    <cellStyle name="20% - Accent4 3 6 2 2" xfId="8334" xr:uid="{00000000-0005-0000-0000-000055020000}"/>
    <cellStyle name="20% - Accent4 3 6 2 2 2" xfId="16763" xr:uid="{556BFA74-E9ED-4812-A048-DD5A2A6F1D6E}"/>
    <cellStyle name="20% - Accent4 3 6 2 3" xfId="12545" xr:uid="{493C35A2-BD97-4988-8AF9-50E0D502A553}"/>
    <cellStyle name="20% - Accent4 3 6 3" xfId="6189" xr:uid="{00000000-0005-0000-0000-000056020000}"/>
    <cellStyle name="20% - Accent4 3 6 3 2" xfId="14618" xr:uid="{282DDABB-7304-4844-A2A5-BF035E675533}"/>
    <cellStyle name="20% - Accent4 3 6 4" xfId="10400" xr:uid="{62B4061F-D628-4624-8A25-158AD01FB2DD}"/>
    <cellStyle name="20% - Accent4 3 7" xfId="2294" xr:uid="{00000000-0005-0000-0000-000057020000}"/>
    <cellStyle name="20% - Accent4 3 7 2" xfId="6602" xr:uid="{00000000-0005-0000-0000-000058020000}"/>
    <cellStyle name="20% - Accent4 3 7 2 2" xfId="15031" xr:uid="{378C53A3-9FBD-4C9B-8306-86FE3983C66F}"/>
    <cellStyle name="20% - Accent4 3 7 3" xfId="10813" xr:uid="{F881BA16-7919-4F54-9D37-42B040E07234}"/>
    <cellStyle name="20% - Accent4 3 8" xfId="4536" xr:uid="{00000000-0005-0000-0000-000059020000}"/>
    <cellStyle name="20% - Accent4 3 8 2" xfId="12965" xr:uid="{2F5EA9AF-3286-4C6D-8569-4B791076F955}"/>
    <cellStyle name="20% - Accent4 3 9" xfId="8747" xr:uid="{4F26CD5B-7D81-463C-9DB9-0936462C5449}"/>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2 2 2" xfId="15526" xr:uid="{E63BA557-5A3B-46AC-B74E-9EC8F17CE933}"/>
    <cellStyle name="20% - Accent4 4 2 2 3" xfId="11308" xr:uid="{D87D96E9-C93F-4F17-A04D-0698F975F3D4}"/>
    <cellStyle name="20% - Accent4 4 2 3" xfId="4952" xr:uid="{00000000-0005-0000-0000-00005E020000}"/>
    <cellStyle name="20% - Accent4 4 2 3 2" xfId="13381" xr:uid="{FFB437CE-4B6B-46F6-BF68-BC6E179A1AA5}"/>
    <cellStyle name="20% - Accent4 4 2 4" xfId="9163" xr:uid="{3A09DDBB-5A43-4F5C-8818-D7BF29F27C84}"/>
    <cellStyle name="20% - Accent4 4 3" xfId="1055" xr:uid="{00000000-0005-0000-0000-00005F020000}"/>
    <cellStyle name="20% - Accent4 4 3 2" xfId="3286" xr:uid="{00000000-0005-0000-0000-000060020000}"/>
    <cellStyle name="20% - Accent4 4 3 2 2" xfId="7510" xr:uid="{00000000-0005-0000-0000-000061020000}"/>
    <cellStyle name="20% - Accent4 4 3 2 2 2" xfId="15939" xr:uid="{DE2F3370-C98F-419C-9AE1-7D6FE63D0782}"/>
    <cellStyle name="20% - Accent4 4 3 2 3" xfId="11721" xr:uid="{F5454382-7DBD-4C05-97F0-06AE19DC87A6}"/>
    <cellStyle name="20% - Accent4 4 3 3" xfId="5365" xr:uid="{00000000-0005-0000-0000-000062020000}"/>
    <cellStyle name="20% - Accent4 4 3 3 2" xfId="13794" xr:uid="{74CDAE41-945A-40E6-9A7E-9A4DE73857B0}"/>
    <cellStyle name="20% - Accent4 4 3 4" xfId="9576" xr:uid="{A7E1F547-4275-4B73-BECF-28F1FB68967C}"/>
    <cellStyle name="20% - Accent4 4 4" xfId="1469" xr:uid="{00000000-0005-0000-0000-000063020000}"/>
    <cellStyle name="20% - Accent4 4 4 2" xfId="3699" xr:uid="{00000000-0005-0000-0000-000064020000}"/>
    <cellStyle name="20% - Accent4 4 4 2 2" xfId="7923" xr:uid="{00000000-0005-0000-0000-000065020000}"/>
    <cellStyle name="20% - Accent4 4 4 2 2 2" xfId="16352" xr:uid="{DB8077AA-E242-45B6-9114-19B14E1F033C}"/>
    <cellStyle name="20% - Accent4 4 4 2 3" xfId="12134" xr:uid="{CB611586-7D4A-4801-BC47-136E2D97E1E4}"/>
    <cellStyle name="20% - Accent4 4 4 3" xfId="5778" xr:uid="{00000000-0005-0000-0000-000066020000}"/>
    <cellStyle name="20% - Accent4 4 4 3 2" xfId="14207" xr:uid="{0CA0429A-62E3-478F-8951-18919ADCB709}"/>
    <cellStyle name="20% - Accent4 4 4 4" xfId="9989" xr:uid="{8588A5F1-B158-4A66-91AC-BC2D1870CE23}"/>
    <cellStyle name="20% - Accent4 4 5" xfId="1883" xr:uid="{00000000-0005-0000-0000-000067020000}"/>
    <cellStyle name="20% - Accent4 4 5 2" xfId="4112" xr:uid="{00000000-0005-0000-0000-000068020000}"/>
    <cellStyle name="20% - Accent4 4 5 2 2" xfId="8336" xr:uid="{00000000-0005-0000-0000-000069020000}"/>
    <cellStyle name="20% - Accent4 4 5 2 2 2" xfId="16765" xr:uid="{249C0F2E-512A-448B-812C-1E6A0C21E7D2}"/>
    <cellStyle name="20% - Accent4 4 5 2 3" xfId="12547" xr:uid="{8BBB103D-D04C-4F29-9183-44B063EC2433}"/>
    <cellStyle name="20% - Accent4 4 5 3" xfId="6191" xr:uid="{00000000-0005-0000-0000-00006A020000}"/>
    <cellStyle name="20% - Accent4 4 5 3 2" xfId="14620" xr:uid="{C295F2A6-B768-455E-9DCB-5D6FABE225DA}"/>
    <cellStyle name="20% - Accent4 4 5 4" xfId="10402" xr:uid="{A33D0C10-F1E5-4B07-87FE-67F6085C8E50}"/>
    <cellStyle name="20% - Accent4 4 6" xfId="2296" xr:uid="{00000000-0005-0000-0000-00006B020000}"/>
    <cellStyle name="20% - Accent4 4 6 2" xfId="6604" xr:uid="{00000000-0005-0000-0000-00006C020000}"/>
    <cellStyle name="20% - Accent4 4 6 2 2" xfId="15033" xr:uid="{F01413C0-9BF7-44B8-B699-72729BC99354}"/>
    <cellStyle name="20% - Accent4 4 6 3" xfId="10815" xr:uid="{EC3BE890-F043-4EA6-AC48-069689FBF1D9}"/>
    <cellStyle name="20% - Accent4 4 7" xfId="4538" xr:uid="{00000000-0005-0000-0000-00006D020000}"/>
    <cellStyle name="20% - Accent4 4 7 2" xfId="12967" xr:uid="{4C452CBA-175A-4586-AA98-58B4553E7663}"/>
    <cellStyle name="20% - Accent4 4 8" xfId="8749" xr:uid="{A56B11B0-2992-4B7B-9686-E914141D61F9}"/>
    <cellStyle name="20% - Accent4 5" xfId="595" xr:uid="{00000000-0005-0000-0000-00006E020000}"/>
    <cellStyle name="20% - Accent4 5 2" xfId="2866" xr:uid="{00000000-0005-0000-0000-00006F020000}"/>
    <cellStyle name="20% - Accent4 5 2 2" xfId="7090" xr:uid="{00000000-0005-0000-0000-000070020000}"/>
    <cellStyle name="20% - Accent4 5 2 2 2" xfId="15519" xr:uid="{DE575235-8100-4733-B0AD-345810431DC3}"/>
    <cellStyle name="20% - Accent4 5 2 3" xfId="11301" xr:uid="{9FF2CD74-2EB9-4395-8147-B5EC4AB07A1C}"/>
    <cellStyle name="20% - Accent4 5 3" xfId="4945" xr:uid="{00000000-0005-0000-0000-000071020000}"/>
    <cellStyle name="20% - Accent4 5 3 2" xfId="13374" xr:uid="{9F9A7A03-6A3C-4161-88E0-8771A5FA0AEE}"/>
    <cellStyle name="20% - Accent4 5 4" xfId="9156" xr:uid="{E8D19E62-7292-4B20-B4D1-EFE7F8406E2A}"/>
    <cellStyle name="20% - Accent4 6" xfId="1048" xr:uid="{00000000-0005-0000-0000-000072020000}"/>
    <cellStyle name="20% - Accent4 6 2" xfId="3279" xr:uid="{00000000-0005-0000-0000-000073020000}"/>
    <cellStyle name="20% - Accent4 6 2 2" xfId="7503" xr:uid="{00000000-0005-0000-0000-000074020000}"/>
    <cellStyle name="20% - Accent4 6 2 2 2" xfId="15932" xr:uid="{0C418B6A-1134-4611-B19B-C72AC208759D}"/>
    <cellStyle name="20% - Accent4 6 2 3" xfId="11714" xr:uid="{6A517863-D298-4D3E-8B7C-77F6BBF48953}"/>
    <cellStyle name="20% - Accent4 6 3" xfId="5358" xr:uid="{00000000-0005-0000-0000-000075020000}"/>
    <cellStyle name="20% - Accent4 6 3 2" xfId="13787" xr:uid="{343376A9-27E5-412B-8547-0A6E40E6A81F}"/>
    <cellStyle name="20% - Accent4 6 4" xfId="9569" xr:uid="{9B91C971-1BDC-4AF4-B640-6B58D6B39DA7}"/>
    <cellStyle name="20% - Accent4 7" xfId="1462" xr:uid="{00000000-0005-0000-0000-000076020000}"/>
    <cellStyle name="20% - Accent4 7 2" xfId="3692" xr:uid="{00000000-0005-0000-0000-000077020000}"/>
    <cellStyle name="20% - Accent4 7 2 2" xfId="7916" xr:uid="{00000000-0005-0000-0000-000078020000}"/>
    <cellStyle name="20% - Accent4 7 2 2 2" xfId="16345" xr:uid="{2D83DBA9-00DE-4F94-B7CF-6289F1951D61}"/>
    <cellStyle name="20% - Accent4 7 2 3" xfId="12127" xr:uid="{BD0092FA-DE64-40C0-AB41-E71068BD862C}"/>
    <cellStyle name="20% - Accent4 7 3" xfId="5771" xr:uid="{00000000-0005-0000-0000-000079020000}"/>
    <cellStyle name="20% - Accent4 7 3 2" xfId="14200" xr:uid="{D5D1DE10-1E64-4431-B456-8564F9680DA8}"/>
    <cellStyle name="20% - Accent4 7 4" xfId="9982" xr:uid="{7C13E699-7AF8-4C35-B394-CEB4C418049D}"/>
    <cellStyle name="20% - Accent4 8" xfId="1876" xr:uid="{00000000-0005-0000-0000-00007A020000}"/>
    <cellStyle name="20% - Accent4 8 2" xfId="4105" xr:uid="{00000000-0005-0000-0000-00007B020000}"/>
    <cellStyle name="20% - Accent4 8 2 2" xfId="8329" xr:uid="{00000000-0005-0000-0000-00007C020000}"/>
    <cellStyle name="20% - Accent4 8 2 2 2" xfId="16758" xr:uid="{FF0F45C4-8EB1-41A7-904A-C0AA219315D5}"/>
    <cellStyle name="20% - Accent4 8 2 3" xfId="12540" xr:uid="{399CB1BF-ABB2-40B0-A611-77A79B820CC7}"/>
    <cellStyle name="20% - Accent4 8 3" xfId="6184" xr:uid="{00000000-0005-0000-0000-00007D020000}"/>
    <cellStyle name="20% - Accent4 8 3 2" xfId="14613" xr:uid="{BB67A798-BD44-44F9-9A91-445CDA7726BE}"/>
    <cellStyle name="20% - Accent4 8 4" xfId="10395" xr:uid="{8528835E-B6EC-49E5-870A-FD645C1C80B0}"/>
    <cellStyle name="20% - Accent4 9" xfId="2289" xr:uid="{00000000-0005-0000-0000-00007E020000}"/>
    <cellStyle name="20% - Accent4 9 2" xfId="6597" xr:uid="{00000000-0005-0000-0000-00007F020000}"/>
    <cellStyle name="20% - Accent4 9 2 2" xfId="15026" xr:uid="{C9F3A98C-2B48-48D6-83E5-99523AC1BE09}"/>
    <cellStyle name="20% - Accent4 9 3" xfId="10808" xr:uid="{B76AAD5A-D52B-4B39-B8DE-9D5E192247C4}"/>
    <cellStyle name="20% - Accent5" xfId="33" builtinId="46" customBuiltin="1"/>
    <cellStyle name="20% - Accent5 10" xfId="4539" xr:uid="{00000000-0005-0000-0000-000081020000}"/>
    <cellStyle name="20% - Accent5 10 2" xfId="12968" xr:uid="{683DF4F9-7B58-420A-8801-D9A4FC4C4DD5}"/>
    <cellStyle name="20% - Accent5 11" xfId="8750" xr:uid="{3F938347-F806-48EC-9DCD-70E10901AFE6}"/>
    <cellStyle name="20% - Accent5 2" xfId="34" xr:uid="{00000000-0005-0000-0000-000082020000}"/>
    <cellStyle name="20% - Accent5 2 10" xfId="8751" xr:uid="{93F2DB14-B764-4606-8F20-504075F8DC75}"/>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2 2 2" xfId="15530" xr:uid="{7764A652-158C-4765-AA48-BA1B1CA5B417}"/>
    <cellStyle name="20% - Accent5 2 2 2 2 2 3" xfId="11312" xr:uid="{1E6BE7F9-E4C9-4C13-8487-CB28B6301D35}"/>
    <cellStyle name="20% - Accent5 2 2 2 2 3" xfId="4956" xr:uid="{00000000-0005-0000-0000-000088020000}"/>
    <cellStyle name="20% - Accent5 2 2 2 2 3 2" xfId="13385" xr:uid="{E679C6F5-6148-406B-8264-52E57ED2373E}"/>
    <cellStyle name="20% - Accent5 2 2 2 2 4" xfId="9167" xr:uid="{A76F4B63-B0CD-48C6-83A0-6344B2E71AA1}"/>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2 2 2" xfId="15943" xr:uid="{74C04B59-B6CC-45A8-AD76-09705D56B9D1}"/>
    <cellStyle name="20% - Accent5 2 2 2 3 2 3" xfId="11725" xr:uid="{BF7EB8FF-FB22-452F-B7F6-DCC8E39522AD}"/>
    <cellStyle name="20% - Accent5 2 2 2 3 3" xfId="5369" xr:uid="{00000000-0005-0000-0000-00008C020000}"/>
    <cellStyle name="20% - Accent5 2 2 2 3 3 2" xfId="13798" xr:uid="{3E883AD3-8860-4150-9DD9-489150F23FCE}"/>
    <cellStyle name="20% - Accent5 2 2 2 3 4" xfId="9580" xr:uid="{032C5F79-86F7-4C33-8F4E-E781486039DC}"/>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2 2 2" xfId="16356" xr:uid="{B02C685E-EB4A-4163-98A4-71A71569BCDE}"/>
    <cellStyle name="20% - Accent5 2 2 2 4 2 3" xfId="12138" xr:uid="{0290DD99-8A6F-4396-8D2F-F6F254EBA7AC}"/>
    <cellStyle name="20% - Accent5 2 2 2 4 3" xfId="5782" xr:uid="{00000000-0005-0000-0000-000090020000}"/>
    <cellStyle name="20% - Accent5 2 2 2 4 3 2" xfId="14211" xr:uid="{92F83764-1702-4828-B96C-90EA76012964}"/>
    <cellStyle name="20% - Accent5 2 2 2 4 4" xfId="9993" xr:uid="{33720281-4024-4BEB-95B3-B20A3CA8B4E1}"/>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2 2 2" xfId="16769" xr:uid="{4BEB055D-45B0-4D15-83B3-7D1E08AE3538}"/>
    <cellStyle name="20% - Accent5 2 2 2 5 2 3" xfId="12551" xr:uid="{D5F0F5CC-76AB-42E9-AC96-C174A45F950F}"/>
    <cellStyle name="20% - Accent5 2 2 2 5 3" xfId="6195" xr:uid="{00000000-0005-0000-0000-000094020000}"/>
    <cellStyle name="20% - Accent5 2 2 2 5 3 2" xfId="14624" xr:uid="{4EF51098-0C4E-4DCE-BAFF-D26BE8D57B3B}"/>
    <cellStyle name="20% - Accent5 2 2 2 5 4" xfId="10406" xr:uid="{AECFE310-0970-4CC5-9D89-FBD355A0B367}"/>
    <cellStyle name="20% - Accent5 2 2 2 6" xfId="2300" xr:uid="{00000000-0005-0000-0000-000095020000}"/>
    <cellStyle name="20% - Accent5 2 2 2 6 2" xfId="6608" xr:uid="{00000000-0005-0000-0000-000096020000}"/>
    <cellStyle name="20% - Accent5 2 2 2 6 2 2" xfId="15037" xr:uid="{42B60702-826F-4A59-B42F-56C36FAB71F9}"/>
    <cellStyle name="20% - Accent5 2 2 2 6 3" xfId="10819" xr:uid="{CE064242-3D65-4835-8F57-A763019E2005}"/>
    <cellStyle name="20% - Accent5 2 2 2 7" xfId="4542" xr:uid="{00000000-0005-0000-0000-000097020000}"/>
    <cellStyle name="20% - Accent5 2 2 2 7 2" xfId="12971" xr:uid="{9DBC54CF-8DB9-4CEE-A232-98B7A06FC864}"/>
    <cellStyle name="20% - Accent5 2 2 2 8" xfId="8753" xr:uid="{C57BBF47-6526-49C3-A9D9-B2E49D4C601E}"/>
    <cellStyle name="20% - Accent5 2 2 3" xfId="605" xr:uid="{00000000-0005-0000-0000-000098020000}"/>
    <cellStyle name="20% - Accent5 2 2 3 2" xfId="2876" xr:uid="{00000000-0005-0000-0000-000099020000}"/>
    <cellStyle name="20% - Accent5 2 2 3 2 2" xfId="7100" xr:uid="{00000000-0005-0000-0000-00009A020000}"/>
    <cellStyle name="20% - Accent5 2 2 3 2 2 2" xfId="15529" xr:uid="{00D6F43B-DF37-4F84-BA44-7FB9A8238C24}"/>
    <cellStyle name="20% - Accent5 2 2 3 2 3" xfId="11311" xr:uid="{81982FAE-CDB8-4803-896C-5880E2FC9D72}"/>
    <cellStyle name="20% - Accent5 2 2 3 3" xfId="4955" xr:uid="{00000000-0005-0000-0000-00009B020000}"/>
    <cellStyle name="20% - Accent5 2 2 3 3 2" xfId="13384" xr:uid="{B9C66F7C-5B48-40C1-AEB3-8A0F1849CF77}"/>
    <cellStyle name="20% - Accent5 2 2 3 4" xfId="9166" xr:uid="{E5A01D1E-25C6-4990-961E-1971977E0A65}"/>
    <cellStyle name="20% - Accent5 2 2 4" xfId="1058" xr:uid="{00000000-0005-0000-0000-00009C020000}"/>
    <cellStyle name="20% - Accent5 2 2 4 2" xfId="3289" xr:uid="{00000000-0005-0000-0000-00009D020000}"/>
    <cellStyle name="20% - Accent5 2 2 4 2 2" xfId="7513" xr:uid="{00000000-0005-0000-0000-00009E020000}"/>
    <cellStyle name="20% - Accent5 2 2 4 2 2 2" xfId="15942" xr:uid="{EA43A3D9-7C7A-48B3-B1D4-834946D69C65}"/>
    <cellStyle name="20% - Accent5 2 2 4 2 3" xfId="11724" xr:uid="{C7D857BF-CB6C-4D00-99A6-64B5420C030A}"/>
    <cellStyle name="20% - Accent5 2 2 4 3" xfId="5368" xr:uid="{00000000-0005-0000-0000-00009F020000}"/>
    <cellStyle name="20% - Accent5 2 2 4 3 2" xfId="13797" xr:uid="{31C4B07F-3805-4114-98EE-52B4BD63EFFA}"/>
    <cellStyle name="20% - Accent5 2 2 4 4" xfId="9579" xr:uid="{93003272-8C86-4D33-9E02-7BD358204736}"/>
    <cellStyle name="20% - Accent5 2 2 5" xfId="1472" xr:uid="{00000000-0005-0000-0000-0000A0020000}"/>
    <cellStyle name="20% - Accent5 2 2 5 2" xfId="3702" xr:uid="{00000000-0005-0000-0000-0000A1020000}"/>
    <cellStyle name="20% - Accent5 2 2 5 2 2" xfId="7926" xr:uid="{00000000-0005-0000-0000-0000A2020000}"/>
    <cellStyle name="20% - Accent5 2 2 5 2 2 2" xfId="16355" xr:uid="{CE8C8C12-8BAE-4237-8916-1FD1C91BEB6F}"/>
    <cellStyle name="20% - Accent5 2 2 5 2 3" xfId="12137" xr:uid="{4F49F665-F824-4E56-A8AC-5E6BA744BF52}"/>
    <cellStyle name="20% - Accent5 2 2 5 3" xfId="5781" xr:uid="{00000000-0005-0000-0000-0000A3020000}"/>
    <cellStyle name="20% - Accent5 2 2 5 3 2" xfId="14210" xr:uid="{525E84D4-5149-483E-86BE-023760A4A76C}"/>
    <cellStyle name="20% - Accent5 2 2 5 4" xfId="9992" xr:uid="{CB33DF06-E9BF-4A49-9F6F-39CB5B9177DE}"/>
    <cellStyle name="20% - Accent5 2 2 6" xfId="1886" xr:uid="{00000000-0005-0000-0000-0000A4020000}"/>
    <cellStyle name="20% - Accent5 2 2 6 2" xfId="4115" xr:uid="{00000000-0005-0000-0000-0000A5020000}"/>
    <cellStyle name="20% - Accent5 2 2 6 2 2" xfId="8339" xr:uid="{00000000-0005-0000-0000-0000A6020000}"/>
    <cellStyle name="20% - Accent5 2 2 6 2 2 2" xfId="16768" xr:uid="{554EFC40-A824-485D-A5EC-E6C6B2A48F09}"/>
    <cellStyle name="20% - Accent5 2 2 6 2 3" xfId="12550" xr:uid="{E52984C4-179A-4BF3-9AB1-30AFB9D719EF}"/>
    <cellStyle name="20% - Accent5 2 2 6 3" xfId="6194" xr:uid="{00000000-0005-0000-0000-0000A7020000}"/>
    <cellStyle name="20% - Accent5 2 2 6 3 2" xfId="14623" xr:uid="{94A9D0B7-57B8-41DB-B51E-0064C8E33444}"/>
    <cellStyle name="20% - Accent5 2 2 6 4" xfId="10405" xr:uid="{18F92FEF-5CAA-4141-8414-55F12AD787A3}"/>
    <cellStyle name="20% - Accent5 2 2 7" xfId="2299" xr:uid="{00000000-0005-0000-0000-0000A8020000}"/>
    <cellStyle name="20% - Accent5 2 2 7 2" xfId="6607" xr:uid="{00000000-0005-0000-0000-0000A9020000}"/>
    <cellStyle name="20% - Accent5 2 2 7 2 2" xfId="15036" xr:uid="{92351C0F-2D4A-47DB-ADC2-21834DA251E4}"/>
    <cellStyle name="20% - Accent5 2 2 7 3" xfId="10818" xr:uid="{A41BB8DD-715D-4809-8776-D45F751C08EF}"/>
    <cellStyle name="20% - Accent5 2 2 8" xfId="4541" xr:uid="{00000000-0005-0000-0000-0000AA020000}"/>
    <cellStyle name="20% - Accent5 2 2 8 2" xfId="12970" xr:uid="{A7B5DEFC-34FC-481B-93E2-7EF86B5A1DFA}"/>
    <cellStyle name="20% - Accent5 2 2 9" xfId="8752" xr:uid="{5614D985-7660-4DAD-8971-4AECC2A502F1}"/>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2 2 2" xfId="15531" xr:uid="{38DD42F5-23B9-4594-A161-182E9C80B04F}"/>
    <cellStyle name="20% - Accent5 2 3 2 2 3" xfId="11313" xr:uid="{6838E076-1C48-47BB-B935-D789D573A557}"/>
    <cellStyle name="20% - Accent5 2 3 2 3" xfId="4957" xr:uid="{00000000-0005-0000-0000-0000AF020000}"/>
    <cellStyle name="20% - Accent5 2 3 2 3 2" xfId="13386" xr:uid="{4C7FA03A-B5FB-464F-90CB-63F0B0ED3E3B}"/>
    <cellStyle name="20% - Accent5 2 3 2 4" xfId="9168" xr:uid="{2BCE0742-65DA-4373-9B52-6255109EBE53}"/>
    <cellStyle name="20% - Accent5 2 3 3" xfId="1060" xr:uid="{00000000-0005-0000-0000-0000B0020000}"/>
    <cellStyle name="20% - Accent5 2 3 3 2" xfId="3291" xr:uid="{00000000-0005-0000-0000-0000B1020000}"/>
    <cellStyle name="20% - Accent5 2 3 3 2 2" xfId="7515" xr:uid="{00000000-0005-0000-0000-0000B2020000}"/>
    <cellStyle name="20% - Accent5 2 3 3 2 2 2" xfId="15944" xr:uid="{6C5C856E-A59D-4D8A-99A3-4D6CD4855462}"/>
    <cellStyle name="20% - Accent5 2 3 3 2 3" xfId="11726" xr:uid="{6353B95C-E4AF-4669-9DCC-F964342D75F6}"/>
    <cellStyle name="20% - Accent5 2 3 3 3" xfId="5370" xr:uid="{00000000-0005-0000-0000-0000B3020000}"/>
    <cellStyle name="20% - Accent5 2 3 3 3 2" xfId="13799" xr:uid="{4ECD63E2-D4E9-48A1-9828-E72DE952AA3A}"/>
    <cellStyle name="20% - Accent5 2 3 3 4" xfId="9581" xr:uid="{964AE779-33B8-4B82-86E9-00A7A4848D3A}"/>
    <cellStyle name="20% - Accent5 2 3 4" xfId="1474" xr:uid="{00000000-0005-0000-0000-0000B4020000}"/>
    <cellStyle name="20% - Accent5 2 3 4 2" xfId="3704" xr:uid="{00000000-0005-0000-0000-0000B5020000}"/>
    <cellStyle name="20% - Accent5 2 3 4 2 2" xfId="7928" xr:uid="{00000000-0005-0000-0000-0000B6020000}"/>
    <cellStyle name="20% - Accent5 2 3 4 2 2 2" xfId="16357" xr:uid="{8C202BB7-CC9E-4918-92BB-C03D2C869DA6}"/>
    <cellStyle name="20% - Accent5 2 3 4 2 3" xfId="12139" xr:uid="{E147A8E8-D094-4EEA-A4CF-F822F43FB3A3}"/>
    <cellStyle name="20% - Accent5 2 3 4 3" xfId="5783" xr:uid="{00000000-0005-0000-0000-0000B7020000}"/>
    <cellStyle name="20% - Accent5 2 3 4 3 2" xfId="14212" xr:uid="{74E61487-A0F1-492D-81A0-3255EFC0CF4F}"/>
    <cellStyle name="20% - Accent5 2 3 4 4" xfId="9994" xr:uid="{BF962C70-3FE0-41F7-9D70-C7309794EDFA}"/>
    <cellStyle name="20% - Accent5 2 3 5" xfId="1888" xr:uid="{00000000-0005-0000-0000-0000B8020000}"/>
    <cellStyle name="20% - Accent5 2 3 5 2" xfId="4117" xr:uid="{00000000-0005-0000-0000-0000B9020000}"/>
    <cellStyle name="20% - Accent5 2 3 5 2 2" xfId="8341" xr:uid="{00000000-0005-0000-0000-0000BA020000}"/>
    <cellStyle name="20% - Accent5 2 3 5 2 2 2" xfId="16770" xr:uid="{2046E899-8DF6-455E-8406-729B80C2EF98}"/>
    <cellStyle name="20% - Accent5 2 3 5 2 3" xfId="12552" xr:uid="{56F812D1-3532-4DC9-A8B5-B3A0C7C25FAA}"/>
    <cellStyle name="20% - Accent5 2 3 5 3" xfId="6196" xr:uid="{00000000-0005-0000-0000-0000BB020000}"/>
    <cellStyle name="20% - Accent5 2 3 5 3 2" xfId="14625" xr:uid="{FFE8AF8F-CA8D-485E-A284-79DD00037490}"/>
    <cellStyle name="20% - Accent5 2 3 5 4" xfId="10407" xr:uid="{7EABC640-6E9E-425E-929F-7AE7E84B8A79}"/>
    <cellStyle name="20% - Accent5 2 3 6" xfId="2301" xr:uid="{00000000-0005-0000-0000-0000BC020000}"/>
    <cellStyle name="20% - Accent5 2 3 6 2" xfId="6609" xr:uid="{00000000-0005-0000-0000-0000BD020000}"/>
    <cellStyle name="20% - Accent5 2 3 6 2 2" xfId="15038" xr:uid="{6430A3F4-B31E-4D17-BB26-39EB708E9922}"/>
    <cellStyle name="20% - Accent5 2 3 6 3" xfId="10820" xr:uid="{AA83995F-18BA-443E-954C-8B0F8C0ECC55}"/>
    <cellStyle name="20% - Accent5 2 3 7" xfId="4543" xr:uid="{00000000-0005-0000-0000-0000BE020000}"/>
    <cellStyle name="20% - Accent5 2 3 7 2" xfId="12972" xr:uid="{D8BA4129-5848-4981-9255-3E3A428FDA07}"/>
    <cellStyle name="20% - Accent5 2 3 8" xfId="8754" xr:uid="{5A55E9EF-A9A1-4BA0-9364-5594D9EAF43F}"/>
    <cellStyle name="20% - Accent5 2 4" xfId="604" xr:uid="{00000000-0005-0000-0000-0000BF020000}"/>
    <cellStyle name="20% - Accent5 2 4 2" xfId="2875" xr:uid="{00000000-0005-0000-0000-0000C0020000}"/>
    <cellStyle name="20% - Accent5 2 4 2 2" xfId="7099" xr:uid="{00000000-0005-0000-0000-0000C1020000}"/>
    <cellStyle name="20% - Accent5 2 4 2 2 2" xfId="15528" xr:uid="{D81D9AAC-A151-4241-9CAF-89629D0F2876}"/>
    <cellStyle name="20% - Accent5 2 4 2 3" xfId="11310" xr:uid="{7FB8F1DF-B495-46D0-BEF1-55674B2B21C7}"/>
    <cellStyle name="20% - Accent5 2 4 3" xfId="4954" xr:uid="{00000000-0005-0000-0000-0000C2020000}"/>
    <cellStyle name="20% - Accent5 2 4 3 2" xfId="13383" xr:uid="{A447BB93-EEB1-4871-959A-A66D23FD2E6A}"/>
    <cellStyle name="20% - Accent5 2 4 4" xfId="9165" xr:uid="{F6322108-54A2-4974-8FDB-F5F9F6B95558}"/>
    <cellStyle name="20% - Accent5 2 5" xfId="1057" xr:uid="{00000000-0005-0000-0000-0000C3020000}"/>
    <cellStyle name="20% - Accent5 2 5 2" xfId="3288" xr:uid="{00000000-0005-0000-0000-0000C4020000}"/>
    <cellStyle name="20% - Accent5 2 5 2 2" xfId="7512" xr:uid="{00000000-0005-0000-0000-0000C5020000}"/>
    <cellStyle name="20% - Accent5 2 5 2 2 2" xfId="15941" xr:uid="{EA9452BC-DA76-416B-9B5D-18F229F30A57}"/>
    <cellStyle name="20% - Accent5 2 5 2 3" xfId="11723" xr:uid="{9DE88C05-B453-4EA6-84F8-D511F64A923C}"/>
    <cellStyle name="20% - Accent5 2 5 3" xfId="5367" xr:uid="{00000000-0005-0000-0000-0000C6020000}"/>
    <cellStyle name="20% - Accent5 2 5 3 2" xfId="13796" xr:uid="{3732196E-022F-4A71-B2CE-E2A30A628803}"/>
    <cellStyle name="20% - Accent5 2 5 4" xfId="9578" xr:uid="{F077DB10-0C02-4CFE-A4CA-C4B0DE61E8F7}"/>
    <cellStyle name="20% - Accent5 2 6" xfId="1471" xr:uid="{00000000-0005-0000-0000-0000C7020000}"/>
    <cellStyle name="20% - Accent5 2 6 2" xfId="3701" xr:uid="{00000000-0005-0000-0000-0000C8020000}"/>
    <cellStyle name="20% - Accent5 2 6 2 2" xfId="7925" xr:uid="{00000000-0005-0000-0000-0000C9020000}"/>
    <cellStyle name="20% - Accent5 2 6 2 2 2" xfId="16354" xr:uid="{F35ABE11-8282-4ED3-87B5-62CFF4A836B5}"/>
    <cellStyle name="20% - Accent5 2 6 2 3" xfId="12136" xr:uid="{78443AF5-AB98-4220-8779-69D0D62BF3AB}"/>
    <cellStyle name="20% - Accent5 2 6 3" xfId="5780" xr:uid="{00000000-0005-0000-0000-0000CA020000}"/>
    <cellStyle name="20% - Accent5 2 6 3 2" xfId="14209" xr:uid="{CECB6BB1-18CE-4A77-AE78-E2A947EBDDA4}"/>
    <cellStyle name="20% - Accent5 2 6 4" xfId="9991" xr:uid="{6993FAB8-6274-4D3E-BF63-DE07CFE6B6BD}"/>
    <cellStyle name="20% - Accent5 2 7" xfId="1885" xr:uid="{00000000-0005-0000-0000-0000CB020000}"/>
    <cellStyle name="20% - Accent5 2 7 2" xfId="4114" xr:uid="{00000000-0005-0000-0000-0000CC020000}"/>
    <cellStyle name="20% - Accent5 2 7 2 2" xfId="8338" xr:uid="{00000000-0005-0000-0000-0000CD020000}"/>
    <cellStyle name="20% - Accent5 2 7 2 2 2" xfId="16767" xr:uid="{4AC3A02C-FF4E-4469-BA49-D1DB135B3CAF}"/>
    <cellStyle name="20% - Accent5 2 7 2 3" xfId="12549" xr:uid="{6A3EE760-1599-46AE-8903-D9A3707E3102}"/>
    <cellStyle name="20% - Accent5 2 7 3" xfId="6193" xr:uid="{00000000-0005-0000-0000-0000CE020000}"/>
    <cellStyle name="20% - Accent5 2 7 3 2" xfId="14622" xr:uid="{26DEB9B3-3AFF-4CAF-953E-DB03246BDFC5}"/>
    <cellStyle name="20% - Accent5 2 7 4" xfId="10404" xr:uid="{8B912D7C-5867-4DED-B9CB-F01604B3C99F}"/>
    <cellStyle name="20% - Accent5 2 8" xfId="2298" xr:uid="{00000000-0005-0000-0000-0000CF020000}"/>
    <cellStyle name="20% - Accent5 2 8 2" xfId="6606" xr:uid="{00000000-0005-0000-0000-0000D0020000}"/>
    <cellStyle name="20% - Accent5 2 8 2 2" xfId="15035" xr:uid="{22883A10-BF3E-46F4-A186-393151C1E7F2}"/>
    <cellStyle name="20% - Accent5 2 8 3" xfId="10817" xr:uid="{6B31ECD6-C29A-49D4-A043-9CDAFA35F67B}"/>
    <cellStyle name="20% - Accent5 2 9" xfId="4540" xr:uid="{00000000-0005-0000-0000-0000D1020000}"/>
    <cellStyle name="20% - Accent5 2 9 2" xfId="12969" xr:uid="{33028109-7D56-465E-A977-0137C477210D}"/>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2 2 2" xfId="15533" xr:uid="{6CD471EE-C117-468C-B05D-0E2F70B7C5C4}"/>
    <cellStyle name="20% - Accent5 3 2 2 2 3" xfId="11315" xr:uid="{CDC2B01D-7AB9-41DA-B376-337573E482B8}"/>
    <cellStyle name="20% - Accent5 3 2 2 3" xfId="4959" xr:uid="{00000000-0005-0000-0000-0000D7020000}"/>
    <cellStyle name="20% - Accent5 3 2 2 3 2" xfId="13388" xr:uid="{C52874C2-5E7F-4752-BD0F-1400AE5968B3}"/>
    <cellStyle name="20% - Accent5 3 2 2 4" xfId="9170" xr:uid="{C205BADF-D0F5-4E60-A85A-624965CAA4D6}"/>
    <cellStyle name="20% - Accent5 3 2 3" xfId="1062" xr:uid="{00000000-0005-0000-0000-0000D8020000}"/>
    <cellStyle name="20% - Accent5 3 2 3 2" xfId="3293" xr:uid="{00000000-0005-0000-0000-0000D9020000}"/>
    <cellStyle name="20% - Accent5 3 2 3 2 2" xfId="7517" xr:uid="{00000000-0005-0000-0000-0000DA020000}"/>
    <cellStyle name="20% - Accent5 3 2 3 2 2 2" xfId="15946" xr:uid="{088A7A12-D299-480F-A861-030A157119B3}"/>
    <cellStyle name="20% - Accent5 3 2 3 2 3" xfId="11728" xr:uid="{D24A5DC5-DDA0-40F3-96C6-53C6D6A06202}"/>
    <cellStyle name="20% - Accent5 3 2 3 3" xfId="5372" xr:uid="{00000000-0005-0000-0000-0000DB020000}"/>
    <cellStyle name="20% - Accent5 3 2 3 3 2" xfId="13801" xr:uid="{2DEEBE3C-20A0-4C7A-B7A1-BCD2117DE892}"/>
    <cellStyle name="20% - Accent5 3 2 3 4" xfId="9583" xr:uid="{4476EA89-FF0A-4C47-809F-F60CFE1839E4}"/>
    <cellStyle name="20% - Accent5 3 2 4" xfId="1476" xr:uid="{00000000-0005-0000-0000-0000DC020000}"/>
    <cellStyle name="20% - Accent5 3 2 4 2" xfId="3706" xr:uid="{00000000-0005-0000-0000-0000DD020000}"/>
    <cellStyle name="20% - Accent5 3 2 4 2 2" xfId="7930" xr:uid="{00000000-0005-0000-0000-0000DE020000}"/>
    <cellStyle name="20% - Accent5 3 2 4 2 2 2" xfId="16359" xr:uid="{3509B98C-47DB-40D3-AABF-DC389ECA7DA6}"/>
    <cellStyle name="20% - Accent5 3 2 4 2 3" xfId="12141" xr:uid="{2BA09A81-3FFA-49F6-8AD1-174BD20CEE8A}"/>
    <cellStyle name="20% - Accent5 3 2 4 3" xfId="5785" xr:uid="{00000000-0005-0000-0000-0000DF020000}"/>
    <cellStyle name="20% - Accent5 3 2 4 3 2" xfId="14214" xr:uid="{E564527B-6693-439F-BF7C-5D200FCE9311}"/>
    <cellStyle name="20% - Accent5 3 2 4 4" xfId="9996" xr:uid="{D4DB6A55-BB83-41F4-99A0-B535E25A19ED}"/>
    <cellStyle name="20% - Accent5 3 2 5" xfId="1890" xr:uid="{00000000-0005-0000-0000-0000E0020000}"/>
    <cellStyle name="20% - Accent5 3 2 5 2" xfId="4119" xr:uid="{00000000-0005-0000-0000-0000E1020000}"/>
    <cellStyle name="20% - Accent5 3 2 5 2 2" xfId="8343" xr:uid="{00000000-0005-0000-0000-0000E2020000}"/>
    <cellStyle name="20% - Accent5 3 2 5 2 2 2" xfId="16772" xr:uid="{D5CECE32-5C6D-4527-9FFB-59F451785381}"/>
    <cellStyle name="20% - Accent5 3 2 5 2 3" xfId="12554" xr:uid="{FED5F3A9-A561-4371-B260-7267EB84327A}"/>
    <cellStyle name="20% - Accent5 3 2 5 3" xfId="6198" xr:uid="{00000000-0005-0000-0000-0000E3020000}"/>
    <cellStyle name="20% - Accent5 3 2 5 3 2" xfId="14627" xr:uid="{F23E7973-B441-4FCA-9B2C-12821244A0DC}"/>
    <cellStyle name="20% - Accent5 3 2 5 4" xfId="10409" xr:uid="{2E5820D3-5464-458C-86C4-35D50ABA3559}"/>
    <cellStyle name="20% - Accent5 3 2 6" xfId="2303" xr:uid="{00000000-0005-0000-0000-0000E4020000}"/>
    <cellStyle name="20% - Accent5 3 2 6 2" xfId="6611" xr:uid="{00000000-0005-0000-0000-0000E5020000}"/>
    <cellStyle name="20% - Accent5 3 2 6 2 2" xfId="15040" xr:uid="{930737FE-48F3-4EDE-B151-A735AF07E340}"/>
    <cellStyle name="20% - Accent5 3 2 6 3" xfId="10822" xr:uid="{8FF584A1-199C-43C7-8654-92690A9D9FBF}"/>
    <cellStyle name="20% - Accent5 3 2 7" xfId="4545" xr:uid="{00000000-0005-0000-0000-0000E6020000}"/>
    <cellStyle name="20% - Accent5 3 2 7 2" xfId="12974" xr:uid="{42A86234-4311-4218-9074-BB2D0EE9A65C}"/>
    <cellStyle name="20% - Accent5 3 2 8" xfId="8756" xr:uid="{C4052468-D767-483B-BA17-CE19590ECCFA}"/>
    <cellStyle name="20% - Accent5 3 3" xfId="608" xr:uid="{00000000-0005-0000-0000-0000E7020000}"/>
    <cellStyle name="20% - Accent5 3 3 2" xfId="2879" xr:uid="{00000000-0005-0000-0000-0000E8020000}"/>
    <cellStyle name="20% - Accent5 3 3 2 2" xfId="7103" xr:uid="{00000000-0005-0000-0000-0000E9020000}"/>
    <cellStyle name="20% - Accent5 3 3 2 2 2" xfId="15532" xr:uid="{79D245FA-80DB-4A4E-BCFD-7485800A3173}"/>
    <cellStyle name="20% - Accent5 3 3 2 3" xfId="11314" xr:uid="{B2750BE2-C2A9-445C-8B24-6FC48F740422}"/>
    <cellStyle name="20% - Accent5 3 3 3" xfId="4958" xr:uid="{00000000-0005-0000-0000-0000EA020000}"/>
    <cellStyle name="20% - Accent5 3 3 3 2" xfId="13387" xr:uid="{F690865E-F70E-4EC9-8962-91CA148B66C0}"/>
    <cellStyle name="20% - Accent5 3 3 4" xfId="9169" xr:uid="{31E6D670-488A-482B-A04B-D647E248CE8D}"/>
    <cellStyle name="20% - Accent5 3 4" xfId="1061" xr:uid="{00000000-0005-0000-0000-0000EB020000}"/>
    <cellStyle name="20% - Accent5 3 4 2" xfId="3292" xr:uid="{00000000-0005-0000-0000-0000EC020000}"/>
    <cellStyle name="20% - Accent5 3 4 2 2" xfId="7516" xr:uid="{00000000-0005-0000-0000-0000ED020000}"/>
    <cellStyle name="20% - Accent5 3 4 2 2 2" xfId="15945" xr:uid="{33DABB30-2306-4DA6-92D5-B438154B4654}"/>
    <cellStyle name="20% - Accent5 3 4 2 3" xfId="11727" xr:uid="{26054C30-524A-4F4A-A05F-76286CE7BAF9}"/>
    <cellStyle name="20% - Accent5 3 4 3" xfId="5371" xr:uid="{00000000-0005-0000-0000-0000EE020000}"/>
    <cellStyle name="20% - Accent5 3 4 3 2" xfId="13800" xr:uid="{B8DB0CE8-BBDE-48D1-B985-BB356FE5F97F}"/>
    <cellStyle name="20% - Accent5 3 4 4" xfId="9582" xr:uid="{E451B069-E35A-4043-A92C-FD774D0C775E}"/>
    <cellStyle name="20% - Accent5 3 5" xfId="1475" xr:uid="{00000000-0005-0000-0000-0000EF020000}"/>
    <cellStyle name="20% - Accent5 3 5 2" xfId="3705" xr:uid="{00000000-0005-0000-0000-0000F0020000}"/>
    <cellStyle name="20% - Accent5 3 5 2 2" xfId="7929" xr:uid="{00000000-0005-0000-0000-0000F1020000}"/>
    <cellStyle name="20% - Accent5 3 5 2 2 2" xfId="16358" xr:uid="{92758584-7F70-4EF8-95D3-6BC7295C879A}"/>
    <cellStyle name="20% - Accent5 3 5 2 3" xfId="12140" xr:uid="{62E7A7C0-FA6E-43A1-AF20-58991E3F04FB}"/>
    <cellStyle name="20% - Accent5 3 5 3" xfId="5784" xr:uid="{00000000-0005-0000-0000-0000F2020000}"/>
    <cellStyle name="20% - Accent5 3 5 3 2" xfId="14213" xr:uid="{67064E93-FA75-439E-9374-33B9606E5547}"/>
    <cellStyle name="20% - Accent5 3 5 4" xfId="9995" xr:uid="{22FB556A-B35B-4C70-BA63-AD0A624CD3F5}"/>
    <cellStyle name="20% - Accent5 3 6" xfId="1889" xr:uid="{00000000-0005-0000-0000-0000F3020000}"/>
    <cellStyle name="20% - Accent5 3 6 2" xfId="4118" xr:uid="{00000000-0005-0000-0000-0000F4020000}"/>
    <cellStyle name="20% - Accent5 3 6 2 2" xfId="8342" xr:uid="{00000000-0005-0000-0000-0000F5020000}"/>
    <cellStyle name="20% - Accent5 3 6 2 2 2" xfId="16771" xr:uid="{6B0A52CB-3B89-47A3-B2B1-D22655367994}"/>
    <cellStyle name="20% - Accent5 3 6 2 3" xfId="12553" xr:uid="{BDD5488D-3A0F-4C1D-9D3B-1D8FDBA7B965}"/>
    <cellStyle name="20% - Accent5 3 6 3" xfId="6197" xr:uid="{00000000-0005-0000-0000-0000F6020000}"/>
    <cellStyle name="20% - Accent5 3 6 3 2" xfId="14626" xr:uid="{038FCEE6-4B0B-4B53-A61E-C11709637A00}"/>
    <cellStyle name="20% - Accent5 3 6 4" xfId="10408" xr:uid="{526DF54A-951D-464F-A133-EB66CC6B7882}"/>
    <cellStyle name="20% - Accent5 3 7" xfId="2302" xr:uid="{00000000-0005-0000-0000-0000F7020000}"/>
    <cellStyle name="20% - Accent5 3 7 2" xfId="6610" xr:uid="{00000000-0005-0000-0000-0000F8020000}"/>
    <cellStyle name="20% - Accent5 3 7 2 2" xfId="15039" xr:uid="{503638EA-4BCA-473D-B2F4-67FC6A848565}"/>
    <cellStyle name="20% - Accent5 3 7 3" xfId="10821" xr:uid="{AF0F97E2-8261-4D7F-9962-5B6ADF32D40E}"/>
    <cellStyle name="20% - Accent5 3 8" xfId="4544" xr:uid="{00000000-0005-0000-0000-0000F9020000}"/>
    <cellStyle name="20% - Accent5 3 8 2" xfId="12973" xr:uid="{6E8BD4CA-97AF-4D88-97A7-FE9CFCA10B27}"/>
    <cellStyle name="20% - Accent5 3 9" xfId="8755" xr:uid="{DE7B12A2-BB40-4AA3-BA3C-8291E36C8751}"/>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2 2 2" xfId="15534" xr:uid="{6B49BE92-3CB3-490C-90EF-E83334D62EE6}"/>
    <cellStyle name="20% - Accent5 4 2 2 3" xfId="11316" xr:uid="{90BC81CC-912D-42BB-B7F0-8C0264419F83}"/>
    <cellStyle name="20% - Accent5 4 2 3" xfId="4960" xr:uid="{00000000-0005-0000-0000-0000FE020000}"/>
    <cellStyle name="20% - Accent5 4 2 3 2" xfId="13389" xr:uid="{67EAC845-DE74-4EA8-BCFB-5AEF6B776153}"/>
    <cellStyle name="20% - Accent5 4 2 4" xfId="9171" xr:uid="{34EEF130-EED2-4043-8AC2-ED3B25198047}"/>
    <cellStyle name="20% - Accent5 4 3" xfId="1063" xr:uid="{00000000-0005-0000-0000-0000FF020000}"/>
    <cellStyle name="20% - Accent5 4 3 2" xfId="3294" xr:uid="{00000000-0005-0000-0000-000000030000}"/>
    <cellStyle name="20% - Accent5 4 3 2 2" xfId="7518" xr:uid="{00000000-0005-0000-0000-000001030000}"/>
    <cellStyle name="20% - Accent5 4 3 2 2 2" xfId="15947" xr:uid="{6FF13E2F-A919-49F9-89C4-5247169AFC40}"/>
    <cellStyle name="20% - Accent5 4 3 2 3" xfId="11729" xr:uid="{EF8C7D49-71F5-4B7F-AFA7-5DA79A60DEFB}"/>
    <cellStyle name="20% - Accent5 4 3 3" xfId="5373" xr:uid="{00000000-0005-0000-0000-000002030000}"/>
    <cellStyle name="20% - Accent5 4 3 3 2" xfId="13802" xr:uid="{050F2D0C-BA06-4F97-A858-7E8391BCEC85}"/>
    <cellStyle name="20% - Accent5 4 3 4" xfId="9584" xr:uid="{A441038A-BB02-4AF0-B63E-FDE41997540E}"/>
    <cellStyle name="20% - Accent5 4 4" xfId="1477" xr:uid="{00000000-0005-0000-0000-000003030000}"/>
    <cellStyle name="20% - Accent5 4 4 2" xfId="3707" xr:uid="{00000000-0005-0000-0000-000004030000}"/>
    <cellStyle name="20% - Accent5 4 4 2 2" xfId="7931" xr:uid="{00000000-0005-0000-0000-000005030000}"/>
    <cellStyle name="20% - Accent5 4 4 2 2 2" xfId="16360" xr:uid="{8187C4DA-9F73-42FB-8EC7-5116651632BD}"/>
    <cellStyle name="20% - Accent5 4 4 2 3" xfId="12142" xr:uid="{F0B4CE17-7091-48EC-8A58-B6B66B2748DB}"/>
    <cellStyle name="20% - Accent5 4 4 3" xfId="5786" xr:uid="{00000000-0005-0000-0000-000006030000}"/>
    <cellStyle name="20% - Accent5 4 4 3 2" xfId="14215" xr:uid="{F4ADF42B-DFEE-4898-8488-1A7442F81C1D}"/>
    <cellStyle name="20% - Accent5 4 4 4" xfId="9997" xr:uid="{78F21DAD-91F5-4627-BBE5-75B9015C6B49}"/>
    <cellStyle name="20% - Accent5 4 5" xfId="1891" xr:uid="{00000000-0005-0000-0000-000007030000}"/>
    <cellStyle name="20% - Accent5 4 5 2" xfId="4120" xr:uid="{00000000-0005-0000-0000-000008030000}"/>
    <cellStyle name="20% - Accent5 4 5 2 2" xfId="8344" xr:uid="{00000000-0005-0000-0000-000009030000}"/>
    <cellStyle name="20% - Accent5 4 5 2 2 2" xfId="16773" xr:uid="{D9CB349F-427D-4DAB-9CD0-11A5A6BB8623}"/>
    <cellStyle name="20% - Accent5 4 5 2 3" xfId="12555" xr:uid="{CFFD33CC-326B-4831-9204-3D4899FA0219}"/>
    <cellStyle name="20% - Accent5 4 5 3" xfId="6199" xr:uid="{00000000-0005-0000-0000-00000A030000}"/>
    <cellStyle name="20% - Accent5 4 5 3 2" xfId="14628" xr:uid="{C64C0FDD-4B29-42E3-9150-58D9E1360159}"/>
    <cellStyle name="20% - Accent5 4 5 4" xfId="10410" xr:uid="{57EB1D67-C168-41DC-B9F1-690E4BDDEBBF}"/>
    <cellStyle name="20% - Accent5 4 6" xfId="2304" xr:uid="{00000000-0005-0000-0000-00000B030000}"/>
    <cellStyle name="20% - Accent5 4 6 2" xfId="6612" xr:uid="{00000000-0005-0000-0000-00000C030000}"/>
    <cellStyle name="20% - Accent5 4 6 2 2" xfId="15041" xr:uid="{DE707FA4-6869-4A10-B0B6-876995D37AA4}"/>
    <cellStyle name="20% - Accent5 4 6 3" xfId="10823" xr:uid="{30FB6ABF-E495-4D5A-8B08-8C7345C66BC1}"/>
    <cellStyle name="20% - Accent5 4 7" xfId="4546" xr:uid="{00000000-0005-0000-0000-00000D030000}"/>
    <cellStyle name="20% - Accent5 4 7 2" xfId="12975" xr:uid="{77A0ED1C-5CFB-4D07-8CF8-BFED543BA294}"/>
    <cellStyle name="20% - Accent5 4 8" xfId="8757" xr:uid="{C520DCE4-6E30-4D0C-9D7B-ED0CCF752E60}"/>
    <cellStyle name="20% - Accent5 5" xfId="603" xr:uid="{00000000-0005-0000-0000-00000E030000}"/>
    <cellStyle name="20% - Accent5 5 2" xfId="2874" xr:uid="{00000000-0005-0000-0000-00000F030000}"/>
    <cellStyle name="20% - Accent5 5 2 2" xfId="7098" xr:uid="{00000000-0005-0000-0000-000010030000}"/>
    <cellStyle name="20% - Accent5 5 2 2 2" xfId="15527" xr:uid="{5FD81A0B-B1BF-4492-82EF-D8B918C07D41}"/>
    <cellStyle name="20% - Accent5 5 2 3" xfId="11309" xr:uid="{A150652B-13C3-463F-ACEA-137D341BC34D}"/>
    <cellStyle name="20% - Accent5 5 3" xfId="4953" xr:uid="{00000000-0005-0000-0000-000011030000}"/>
    <cellStyle name="20% - Accent5 5 3 2" xfId="13382" xr:uid="{01B589E5-9C3D-45B6-831F-93693905CAC4}"/>
    <cellStyle name="20% - Accent5 5 4" xfId="9164" xr:uid="{FEB4C1E4-79F4-4670-AB47-FD5DB1777638}"/>
    <cellStyle name="20% - Accent5 6" xfId="1056" xr:uid="{00000000-0005-0000-0000-000012030000}"/>
    <cellStyle name="20% - Accent5 6 2" xfId="3287" xr:uid="{00000000-0005-0000-0000-000013030000}"/>
    <cellStyle name="20% - Accent5 6 2 2" xfId="7511" xr:uid="{00000000-0005-0000-0000-000014030000}"/>
    <cellStyle name="20% - Accent5 6 2 2 2" xfId="15940" xr:uid="{C4663AF5-F866-4AE3-BD08-E5F39FA007C8}"/>
    <cellStyle name="20% - Accent5 6 2 3" xfId="11722" xr:uid="{263855C5-5D2C-4086-97BE-9E95998569E3}"/>
    <cellStyle name="20% - Accent5 6 3" xfId="5366" xr:uid="{00000000-0005-0000-0000-000015030000}"/>
    <cellStyle name="20% - Accent5 6 3 2" xfId="13795" xr:uid="{577CA10B-9D90-4CBE-9385-1898839E40C7}"/>
    <cellStyle name="20% - Accent5 6 4" xfId="9577" xr:uid="{A58037D9-82A6-4884-AFE1-564D8930772C}"/>
    <cellStyle name="20% - Accent5 7" xfId="1470" xr:uid="{00000000-0005-0000-0000-000016030000}"/>
    <cellStyle name="20% - Accent5 7 2" xfId="3700" xr:uid="{00000000-0005-0000-0000-000017030000}"/>
    <cellStyle name="20% - Accent5 7 2 2" xfId="7924" xr:uid="{00000000-0005-0000-0000-000018030000}"/>
    <cellStyle name="20% - Accent5 7 2 2 2" xfId="16353" xr:uid="{78482C94-E3DE-40CB-AFD0-21E1B1CF3442}"/>
    <cellStyle name="20% - Accent5 7 2 3" xfId="12135" xr:uid="{B2A29435-A830-4CF0-B6C2-8E82D5FB59A6}"/>
    <cellStyle name="20% - Accent5 7 3" xfId="5779" xr:uid="{00000000-0005-0000-0000-000019030000}"/>
    <cellStyle name="20% - Accent5 7 3 2" xfId="14208" xr:uid="{CA85F75C-C81D-468A-A4F5-8843F9992030}"/>
    <cellStyle name="20% - Accent5 7 4" xfId="9990" xr:uid="{778D30D0-79D5-423E-9028-3E3448ED35F7}"/>
    <cellStyle name="20% - Accent5 8" xfId="1884" xr:uid="{00000000-0005-0000-0000-00001A030000}"/>
    <cellStyle name="20% - Accent5 8 2" xfId="4113" xr:uid="{00000000-0005-0000-0000-00001B030000}"/>
    <cellStyle name="20% - Accent5 8 2 2" xfId="8337" xr:uid="{00000000-0005-0000-0000-00001C030000}"/>
    <cellStyle name="20% - Accent5 8 2 2 2" xfId="16766" xr:uid="{20FA1B36-CEE2-4511-964F-484CBE397233}"/>
    <cellStyle name="20% - Accent5 8 2 3" xfId="12548" xr:uid="{75AC0D72-C53C-4762-8135-9CCE9C12618D}"/>
    <cellStyle name="20% - Accent5 8 3" xfId="6192" xr:uid="{00000000-0005-0000-0000-00001D030000}"/>
    <cellStyle name="20% - Accent5 8 3 2" xfId="14621" xr:uid="{6886BD2F-D7DB-4885-A213-E06E0BAEF39E}"/>
    <cellStyle name="20% - Accent5 8 4" xfId="10403" xr:uid="{C7386EDE-FE79-4451-A99C-0EB51F30ECD0}"/>
    <cellStyle name="20% - Accent5 9" xfId="2297" xr:uid="{00000000-0005-0000-0000-00001E030000}"/>
    <cellStyle name="20% - Accent5 9 2" xfId="6605" xr:uid="{00000000-0005-0000-0000-00001F030000}"/>
    <cellStyle name="20% - Accent5 9 2 2" xfId="15034" xr:uid="{056D5E5F-AE86-4C89-AE3C-CFB0E2A8199A}"/>
    <cellStyle name="20% - Accent5 9 3" xfId="10816" xr:uid="{798F34B0-39A9-413F-B321-EDB3010554B8}"/>
    <cellStyle name="20% - Accent6" xfId="41" builtinId="50" customBuiltin="1"/>
    <cellStyle name="20% - Accent6 10" xfId="4547" xr:uid="{00000000-0005-0000-0000-000021030000}"/>
    <cellStyle name="20% - Accent6 10 2" xfId="12976" xr:uid="{138F0E66-6C14-41D4-8F07-2B5F5F7390D1}"/>
    <cellStyle name="20% - Accent6 11" xfId="8758" xr:uid="{4C4FDF7E-C03A-4880-B7A0-531AD8ACCFDF}"/>
    <cellStyle name="20% - Accent6 2" xfId="42" xr:uid="{00000000-0005-0000-0000-000022030000}"/>
    <cellStyle name="20% - Accent6 2 10" xfId="8759" xr:uid="{69CDA477-20B7-4AA1-BD7C-68E860A7167E}"/>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2 2 2" xfId="15538" xr:uid="{43EAA319-E857-4232-AA07-D2A13224A59D}"/>
    <cellStyle name="20% - Accent6 2 2 2 2 2 3" xfId="11320" xr:uid="{B6C75A78-D071-4912-88AB-DF63B86AAD12}"/>
    <cellStyle name="20% - Accent6 2 2 2 2 3" xfId="4964" xr:uid="{00000000-0005-0000-0000-000028030000}"/>
    <cellStyle name="20% - Accent6 2 2 2 2 3 2" xfId="13393" xr:uid="{FD105A04-ABEE-47F5-ABE1-2CFBAF5990DF}"/>
    <cellStyle name="20% - Accent6 2 2 2 2 4" xfId="9175" xr:uid="{1993418A-2531-4903-9F30-91601A442C88}"/>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2 2 2" xfId="15951" xr:uid="{9308326D-0B0F-4B22-A6A8-6BB931596327}"/>
    <cellStyle name="20% - Accent6 2 2 2 3 2 3" xfId="11733" xr:uid="{C399846B-A810-4EF2-94A2-ADBA9578E859}"/>
    <cellStyle name="20% - Accent6 2 2 2 3 3" xfId="5377" xr:uid="{00000000-0005-0000-0000-00002C030000}"/>
    <cellStyle name="20% - Accent6 2 2 2 3 3 2" xfId="13806" xr:uid="{B9619A20-7B91-4EB5-8703-1C06360EE9BC}"/>
    <cellStyle name="20% - Accent6 2 2 2 3 4" xfId="9588" xr:uid="{6CE7E89E-A046-4A98-8D7C-7E15E9F4B90A}"/>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2 2 2" xfId="16364" xr:uid="{BCF70C3B-4AEB-44CE-B7DA-09D116F4ABF9}"/>
    <cellStyle name="20% - Accent6 2 2 2 4 2 3" xfId="12146" xr:uid="{F31E62FC-8FD5-46DE-AF67-C4AF5F66512C}"/>
    <cellStyle name="20% - Accent6 2 2 2 4 3" xfId="5790" xr:uid="{00000000-0005-0000-0000-000030030000}"/>
    <cellStyle name="20% - Accent6 2 2 2 4 3 2" xfId="14219" xr:uid="{51B217B9-17B1-428A-9D44-86BCF7BE11CE}"/>
    <cellStyle name="20% - Accent6 2 2 2 4 4" xfId="10001" xr:uid="{307F19F6-69BB-4AEC-9080-E5EA636552D7}"/>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2 2 2" xfId="16777" xr:uid="{8F5DED27-4408-464E-83DE-52BCE0362F99}"/>
    <cellStyle name="20% - Accent6 2 2 2 5 2 3" xfId="12559" xr:uid="{A678B9E3-8ED8-4C14-8CB6-FC50C698168A}"/>
    <cellStyle name="20% - Accent6 2 2 2 5 3" xfId="6203" xr:uid="{00000000-0005-0000-0000-000034030000}"/>
    <cellStyle name="20% - Accent6 2 2 2 5 3 2" xfId="14632" xr:uid="{9953F57D-B9D1-4FEA-A452-FD1F557FB14C}"/>
    <cellStyle name="20% - Accent6 2 2 2 5 4" xfId="10414" xr:uid="{B2C0DDBE-78B8-475E-9069-3308BB9BE963}"/>
    <cellStyle name="20% - Accent6 2 2 2 6" xfId="2308" xr:uid="{00000000-0005-0000-0000-000035030000}"/>
    <cellStyle name="20% - Accent6 2 2 2 6 2" xfId="6616" xr:uid="{00000000-0005-0000-0000-000036030000}"/>
    <cellStyle name="20% - Accent6 2 2 2 6 2 2" xfId="15045" xr:uid="{948078BC-3BDC-4105-8C8E-67D65AEF9CA1}"/>
    <cellStyle name="20% - Accent6 2 2 2 6 3" xfId="10827" xr:uid="{F106CFD2-FB6D-4D2E-B83F-767513B56602}"/>
    <cellStyle name="20% - Accent6 2 2 2 7" xfId="4550" xr:uid="{00000000-0005-0000-0000-000037030000}"/>
    <cellStyle name="20% - Accent6 2 2 2 7 2" xfId="12979" xr:uid="{77EC8CBE-C52E-4348-B1A1-87F271B8E45F}"/>
    <cellStyle name="20% - Accent6 2 2 2 8" xfId="8761" xr:uid="{831E316D-C9F2-4C29-A038-A757CDA88D29}"/>
    <cellStyle name="20% - Accent6 2 2 3" xfId="613" xr:uid="{00000000-0005-0000-0000-000038030000}"/>
    <cellStyle name="20% - Accent6 2 2 3 2" xfId="2884" xr:uid="{00000000-0005-0000-0000-000039030000}"/>
    <cellStyle name="20% - Accent6 2 2 3 2 2" xfId="7108" xr:uid="{00000000-0005-0000-0000-00003A030000}"/>
    <cellStyle name="20% - Accent6 2 2 3 2 2 2" xfId="15537" xr:uid="{8A13C9EA-F313-4244-A56A-7676C5868767}"/>
    <cellStyle name="20% - Accent6 2 2 3 2 3" xfId="11319" xr:uid="{A1F7D707-69DA-4456-B76B-401A19A3C18C}"/>
    <cellStyle name="20% - Accent6 2 2 3 3" xfId="4963" xr:uid="{00000000-0005-0000-0000-00003B030000}"/>
    <cellStyle name="20% - Accent6 2 2 3 3 2" xfId="13392" xr:uid="{68AE0C2D-D4A2-4423-AC3E-7620D5E5C352}"/>
    <cellStyle name="20% - Accent6 2 2 3 4" xfId="9174" xr:uid="{128EF603-C914-47AD-A53C-2FDEB8B1AD95}"/>
    <cellStyle name="20% - Accent6 2 2 4" xfId="1066" xr:uid="{00000000-0005-0000-0000-00003C030000}"/>
    <cellStyle name="20% - Accent6 2 2 4 2" xfId="3297" xr:uid="{00000000-0005-0000-0000-00003D030000}"/>
    <cellStyle name="20% - Accent6 2 2 4 2 2" xfId="7521" xr:uid="{00000000-0005-0000-0000-00003E030000}"/>
    <cellStyle name="20% - Accent6 2 2 4 2 2 2" xfId="15950" xr:uid="{C2EDCDDA-C0AD-4A9C-B197-5320895CBA13}"/>
    <cellStyle name="20% - Accent6 2 2 4 2 3" xfId="11732" xr:uid="{36F5A9EC-3E4C-4AF2-86C4-1201303139DA}"/>
    <cellStyle name="20% - Accent6 2 2 4 3" xfId="5376" xr:uid="{00000000-0005-0000-0000-00003F030000}"/>
    <cellStyle name="20% - Accent6 2 2 4 3 2" xfId="13805" xr:uid="{FCC97DB5-0199-4095-9E82-51FA99762005}"/>
    <cellStyle name="20% - Accent6 2 2 4 4" xfId="9587" xr:uid="{A8EA56A4-89C8-4D85-AADA-0949A9BBBC13}"/>
    <cellStyle name="20% - Accent6 2 2 5" xfId="1480" xr:uid="{00000000-0005-0000-0000-000040030000}"/>
    <cellStyle name="20% - Accent6 2 2 5 2" xfId="3710" xr:uid="{00000000-0005-0000-0000-000041030000}"/>
    <cellStyle name="20% - Accent6 2 2 5 2 2" xfId="7934" xr:uid="{00000000-0005-0000-0000-000042030000}"/>
    <cellStyle name="20% - Accent6 2 2 5 2 2 2" xfId="16363" xr:uid="{1B8D2ADC-AAFC-4C46-9AF8-9124FB4D4DD8}"/>
    <cellStyle name="20% - Accent6 2 2 5 2 3" xfId="12145" xr:uid="{BAF65376-3774-4F44-AEE0-89279CE69398}"/>
    <cellStyle name="20% - Accent6 2 2 5 3" xfId="5789" xr:uid="{00000000-0005-0000-0000-000043030000}"/>
    <cellStyle name="20% - Accent6 2 2 5 3 2" xfId="14218" xr:uid="{45351817-7110-4855-AE0D-89F3456472F1}"/>
    <cellStyle name="20% - Accent6 2 2 5 4" xfId="10000" xr:uid="{4E769D69-6ABF-4ABA-89AD-5DB19E98B3AE}"/>
    <cellStyle name="20% - Accent6 2 2 6" xfId="1894" xr:uid="{00000000-0005-0000-0000-000044030000}"/>
    <cellStyle name="20% - Accent6 2 2 6 2" xfId="4123" xr:uid="{00000000-0005-0000-0000-000045030000}"/>
    <cellStyle name="20% - Accent6 2 2 6 2 2" xfId="8347" xr:uid="{00000000-0005-0000-0000-000046030000}"/>
    <cellStyle name="20% - Accent6 2 2 6 2 2 2" xfId="16776" xr:uid="{46375103-F629-4C59-BD29-97F8FB861FFC}"/>
    <cellStyle name="20% - Accent6 2 2 6 2 3" xfId="12558" xr:uid="{0C628AD8-A9E2-45CC-8F3D-AB0FED9363B4}"/>
    <cellStyle name="20% - Accent6 2 2 6 3" xfId="6202" xr:uid="{00000000-0005-0000-0000-000047030000}"/>
    <cellStyle name="20% - Accent6 2 2 6 3 2" xfId="14631" xr:uid="{E33E67EB-83EA-4785-B728-6C2118CC3B1F}"/>
    <cellStyle name="20% - Accent6 2 2 6 4" xfId="10413" xr:uid="{AAC5D80A-BC9F-4769-BB60-8053F164F03C}"/>
    <cellStyle name="20% - Accent6 2 2 7" xfId="2307" xr:uid="{00000000-0005-0000-0000-000048030000}"/>
    <cellStyle name="20% - Accent6 2 2 7 2" xfId="6615" xr:uid="{00000000-0005-0000-0000-000049030000}"/>
    <cellStyle name="20% - Accent6 2 2 7 2 2" xfId="15044" xr:uid="{16EA9E0C-D2C1-4026-B473-2423DF430A54}"/>
    <cellStyle name="20% - Accent6 2 2 7 3" xfId="10826" xr:uid="{2B88722F-4844-4BDD-BB81-B39C6CE98B9A}"/>
    <cellStyle name="20% - Accent6 2 2 8" xfId="4549" xr:uid="{00000000-0005-0000-0000-00004A030000}"/>
    <cellStyle name="20% - Accent6 2 2 8 2" xfId="12978" xr:uid="{8A0A8EE4-FF85-49F5-84F2-4A7EC4834794}"/>
    <cellStyle name="20% - Accent6 2 2 9" xfId="8760" xr:uid="{42D68DDB-0B4B-4B23-92F9-746C7ADF87BE}"/>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2 2 2" xfId="15539" xr:uid="{A5B4178B-490D-4CBD-8E24-E234477E2266}"/>
    <cellStyle name="20% - Accent6 2 3 2 2 3" xfId="11321" xr:uid="{232316EC-2974-4025-877B-DA887FD46CB5}"/>
    <cellStyle name="20% - Accent6 2 3 2 3" xfId="4965" xr:uid="{00000000-0005-0000-0000-00004F030000}"/>
    <cellStyle name="20% - Accent6 2 3 2 3 2" xfId="13394" xr:uid="{3D7FFA6F-1C50-4B2A-BF86-1A567480C769}"/>
    <cellStyle name="20% - Accent6 2 3 2 4" xfId="9176" xr:uid="{D62E58C9-DE08-45F7-8C17-EFC536D8CFC5}"/>
    <cellStyle name="20% - Accent6 2 3 3" xfId="1068" xr:uid="{00000000-0005-0000-0000-000050030000}"/>
    <cellStyle name="20% - Accent6 2 3 3 2" xfId="3299" xr:uid="{00000000-0005-0000-0000-000051030000}"/>
    <cellStyle name="20% - Accent6 2 3 3 2 2" xfId="7523" xr:uid="{00000000-0005-0000-0000-000052030000}"/>
    <cellStyle name="20% - Accent6 2 3 3 2 2 2" xfId="15952" xr:uid="{5D7DC1D7-DAC1-4F12-B21D-3CC770B0530F}"/>
    <cellStyle name="20% - Accent6 2 3 3 2 3" xfId="11734" xr:uid="{9551E187-27F0-4BF0-8E34-576985A8FF89}"/>
    <cellStyle name="20% - Accent6 2 3 3 3" xfId="5378" xr:uid="{00000000-0005-0000-0000-000053030000}"/>
    <cellStyle name="20% - Accent6 2 3 3 3 2" xfId="13807" xr:uid="{39C265C9-B084-47B2-8C94-2FA8C7282F6E}"/>
    <cellStyle name="20% - Accent6 2 3 3 4" xfId="9589" xr:uid="{24DEDDC0-C4B9-41D7-9DCD-186A879E5523}"/>
    <cellStyle name="20% - Accent6 2 3 4" xfId="1482" xr:uid="{00000000-0005-0000-0000-000054030000}"/>
    <cellStyle name="20% - Accent6 2 3 4 2" xfId="3712" xr:uid="{00000000-0005-0000-0000-000055030000}"/>
    <cellStyle name="20% - Accent6 2 3 4 2 2" xfId="7936" xr:uid="{00000000-0005-0000-0000-000056030000}"/>
    <cellStyle name="20% - Accent6 2 3 4 2 2 2" xfId="16365" xr:uid="{F2AC05E1-E09D-4645-9965-8BDE8B49E49E}"/>
    <cellStyle name="20% - Accent6 2 3 4 2 3" xfId="12147" xr:uid="{81AE59CE-C672-43A6-8054-49809BE1B947}"/>
    <cellStyle name="20% - Accent6 2 3 4 3" xfId="5791" xr:uid="{00000000-0005-0000-0000-000057030000}"/>
    <cellStyle name="20% - Accent6 2 3 4 3 2" xfId="14220" xr:uid="{067C2C4D-45F4-4E68-B409-9EE084859152}"/>
    <cellStyle name="20% - Accent6 2 3 4 4" xfId="10002" xr:uid="{1038AA14-175E-4B72-B75C-5D41E65427B6}"/>
    <cellStyle name="20% - Accent6 2 3 5" xfId="1896" xr:uid="{00000000-0005-0000-0000-000058030000}"/>
    <cellStyle name="20% - Accent6 2 3 5 2" xfId="4125" xr:uid="{00000000-0005-0000-0000-000059030000}"/>
    <cellStyle name="20% - Accent6 2 3 5 2 2" xfId="8349" xr:uid="{00000000-0005-0000-0000-00005A030000}"/>
    <cellStyle name="20% - Accent6 2 3 5 2 2 2" xfId="16778" xr:uid="{D727019D-DBBD-49CD-98D8-55AACB1B2F76}"/>
    <cellStyle name="20% - Accent6 2 3 5 2 3" xfId="12560" xr:uid="{232FAF0C-9DE3-4386-B8A7-3C377FCDBC2D}"/>
    <cellStyle name="20% - Accent6 2 3 5 3" xfId="6204" xr:uid="{00000000-0005-0000-0000-00005B030000}"/>
    <cellStyle name="20% - Accent6 2 3 5 3 2" xfId="14633" xr:uid="{6123C794-E731-42D3-8DEC-7596EC6908C4}"/>
    <cellStyle name="20% - Accent6 2 3 5 4" xfId="10415" xr:uid="{99009958-6449-48FA-BE0A-5A33FA8EDE84}"/>
    <cellStyle name="20% - Accent6 2 3 6" xfId="2309" xr:uid="{00000000-0005-0000-0000-00005C030000}"/>
    <cellStyle name="20% - Accent6 2 3 6 2" xfId="6617" xr:uid="{00000000-0005-0000-0000-00005D030000}"/>
    <cellStyle name="20% - Accent6 2 3 6 2 2" xfId="15046" xr:uid="{154D5C14-D588-4282-90C3-215325D10B88}"/>
    <cellStyle name="20% - Accent6 2 3 6 3" xfId="10828" xr:uid="{09B8354D-7B9D-4A17-B054-6A5BA6924351}"/>
    <cellStyle name="20% - Accent6 2 3 7" xfId="4551" xr:uid="{00000000-0005-0000-0000-00005E030000}"/>
    <cellStyle name="20% - Accent6 2 3 7 2" xfId="12980" xr:uid="{6F8C7E0A-A2EB-487E-A6EF-D15346BE5408}"/>
    <cellStyle name="20% - Accent6 2 3 8" xfId="8762" xr:uid="{A20531CF-74BD-47A9-94C1-A755D72C8689}"/>
    <cellStyle name="20% - Accent6 2 4" xfId="612" xr:uid="{00000000-0005-0000-0000-00005F030000}"/>
    <cellStyle name="20% - Accent6 2 4 2" xfId="2883" xr:uid="{00000000-0005-0000-0000-000060030000}"/>
    <cellStyle name="20% - Accent6 2 4 2 2" xfId="7107" xr:uid="{00000000-0005-0000-0000-000061030000}"/>
    <cellStyle name="20% - Accent6 2 4 2 2 2" xfId="15536" xr:uid="{E2A5D59D-F3E3-4685-96BA-82F0490160B7}"/>
    <cellStyle name="20% - Accent6 2 4 2 3" xfId="11318" xr:uid="{1C83B52D-701B-41EC-9255-31763B14F78A}"/>
    <cellStyle name="20% - Accent6 2 4 3" xfId="4962" xr:uid="{00000000-0005-0000-0000-000062030000}"/>
    <cellStyle name="20% - Accent6 2 4 3 2" xfId="13391" xr:uid="{9533943C-3C8E-4317-9B72-C5E1F524CBF8}"/>
    <cellStyle name="20% - Accent6 2 4 4" xfId="9173" xr:uid="{43323023-698E-4DB3-A9AC-4C78F136B1E7}"/>
    <cellStyle name="20% - Accent6 2 5" xfId="1065" xr:uid="{00000000-0005-0000-0000-000063030000}"/>
    <cellStyle name="20% - Accent6 2 5 2" xfId="3296" xr:uid="{00000000-0005-0000-0000-000064030000}"/>
    <cellStyle name="20% - Accent6 2 5 2 2" xfId="7520" xr:uid="{00000000-0005-0000-0000-000065030000}"/>
    <cellStyle name="20% - Accent6 2 5 2 2 2" xfId="15949" xr:uid="{53F11C3A-816C-48B5-B1B4-D741FC015B24}"/>
    <cellStyle name="20% - Accent6 2 5 2 3" xfId="11731" xr:uid="{69A8F652-5EB9-4BE7-9BF1-6BB128BF1461}"/>
    <cellStyle name="20% - Accent6 2 5 3" xfId="5375" xr:uid="{00000000-0005-0000-0000-000066030000}"/>
    <cellStyle name="20% - Accent6 2 5 3 2" xfId="13804" xr:uid="{490892E8-CAB6-4223-89D8-D4EB0360591D}"/>
    <cellStyle name="20% - Accent6 2 5 4" xfId="9586" xr:uid="{15DBA5DD-EF38-4F7F-8F14-B5E81EEFAF6D}"/>
    <cellStyle name="20% - Accent6 2 6" xfId="1479" xr:uid="{00000000-0005-0000-0000-000067030000}"/>
    <cellStyle name="20% - Accent6 2 6 2" xfId="3709" xr:uid="{00000000-0005-0000-0000-000068030000}"/>
    <cellStyle name="20% - Accent6 2 6 2 2" xfId="7933" xr:uid="{00000000-0005-0000-0000-000069030000}"/>
    <cellStyle name="20% - Accent6 2 6 2 2 2" xfId="16362" xr:uid="{91017AA1-2B1A-4693-85D5-9C06B6172251}"/>
    <cellStyle name="20% - Accent6 2 6 2 3" xfId="12144" xr:uid="{97B58700-15CB-4F5A-83E4-41B6B63D62A4}"/>
    <cellStyle name="20% - Accent6 2 6 3" xfId="5788" xr:uid="{00000000-0005-0000-0000-00006A030000}"/>
    <cellStyle name="20% - Accent6 2 6 3 2" xfId="14217" xr:uid="{701910C1-92DE-4F63-9F00-AA49D6909B29}"/>
    <cellStyle name="20% - Accent6 2 6 4" xfId="9999" xr:uid="{5B3BF8BF-9BF1-4565-B99E-DFF50ACE6F1A}"/>
    <cellStyle name="20% - Accent6 2 7" xfId="1893" xr:uid="{00000000-0005-0000-0000-00006B030000}"/>
    <cellStyle name="20% - Accent6 2 7 2" xfId="4122" xr:uid="{00000000-0005-0000-0000-00006C030000}"/>
    <cellStyle name="20% - Accent6 2 7 2 2" xfId="8346" xr:uid="{00000000-0005-0000-0000-00006D030000}"/>
    <cellStyle name="20% - Accent6 2 7 2 2 2" xfId="16775" xr:uid="{2DD08D43-6087-46A9-A02B-B09464C506CC}"/>
    <cellStyle name="20% - Accent6 2 7 2 3" xfId="12557" xr:uid="{1D0C0E83-31FF-42AA-9659-50BA0176B81F}"/>
    <cellStyle name="20% - Accent6 2 7 3" xfId="6201" xr:uid="{00000000-0005-0000-0000-00006E030000}"/>
    <cellStyle name="20% - Accent6 2 7 3 2" xfId="14630" xr:uid="{B7B791B5-1B4E-43E2-8621-483F59DA6C8B}"/>
    <cellStyle name="20% - Accent6 2 7 4" xfId="10412" xr:uid="{B17AF4B6-DF3C-4B3E-BCF7-3CB12823128C}"/>
    <cellStyle name="20% - Accent6 2 8" xfId="2306" xr:uid="{00000000-0005-0000-0000-00006F030000}"/>
    <cellStyle name="20% - Accent6 2 8 2" xfId="6614" xr:uid="{00000000-0005-0000-0000-000070030000}"/>
    <cellStyle name="20% - Accent6 2 8 2 2" xfId="15043" xr:uid="{FD414E5F-03C3-434A-81EF-EC40D2694B6D}"/>
    <cellStyle name="20% - Accent6 2 8 3" xfId="10825" xr:uid="{F1F12056-90C9-465E-A6F3-6B258037EB1F}"/>
    <cellStyle name="20% - Accent6 2 9" xfId="4548" xr:uid="{00000000-0005-0000-0000-000071030000}"/>
    <cellStyle name="20% - Accent6 2 9 2" xfId="12977" xr:uid="{BBFCDDE8-BF01-4A28-87C6-C8097ED7CEF6}"/>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2 2 2" xfId="15541" xr:uid="{D01D01B0-99B4-45D4-85A6-994EB3B7BC04}"/>
    <cellStyle name="20% - Accent6 3 2 2 2 3" xfId="11323" xr:uid="{62630DB6-9FC7-41C4-9CE0-A53EC0F25CE3}"/>
    <cellStyle name="20% - Accent6 3 2 2 3" xfId="4967" xr:uid="{00000000-0005-0000-0000-000077030000}"/>
    <cellStyle name="20% - Accent6 3 2 2 3 2" xfId="13396" xr:uid="{ADA2887C-7CC6-4D18-BF52-DF7B739D82DA}"/>
    <cellStyle name="20% - Accent6 3 2 2 4" xfId="9178" xr:uid="{EAC04238-8CED-481A-9407-A81ABDD83C8A}"/>
    <cellStyle name="20% - Accent6 3 2 3" xfId="1070" xr:uid="{00000000-0005-0000-0000-000078030000}"/>
    <cellStyle name="20% - Accent6 3 2 3 2" xfId="3301" xr:uid="{00000000-0005-0000-0000-000079030000}"/>
    <cellStyle name="20% - Accent6 3 2 3 2 2" xfId="7525" xr:uid="{00000000-0005-0000-0000-00007A030000}"/>
    <cellStyle name="20% - Accent6 3 2 3 2 2 2" xfId="15954" xr:uid="{D32AE3F4-E57F-4E15-9EEC-59B5418FB829}"/>
    <cellStyle name="20% - Accent6 3 2 3 2 3" xfId="11736" xr:uid="{DD273165-E0B6-49A4-BD00-BB2CD36179ED}"/>
    <cellStyle name="20% - Accent6 3 2 3 3" xfId="5380" xr:uid="{00000000-0005-0000-0000-00007B030000}"/>
    <cellStyle name="20% - Accent6 3 2 3 3 2" xfId="13809" xr:uid="{BEC7D2DF-7929-429E-87C7-933FFA2FA3ED}"/>
    <cellStyle name="20% - Accent6 3 2 3 4" xfId="9591" xr:uid="{2790B93A-4EAD-4C85-90BB-3F062CD4E3C2}"/>
    <cellStyle name="20% - Accent6 3 2 4" xfId="1484" xr:uid="{00000000-0005-0000-0000-00007C030000}"/>
    <cellStyle name="20% - Accent6 3 2 4 2" xfId="3714" xr:uid="{00000000-0005-0000-0000-00007D030000}"/>
    <cellStyle name="20% - Accent6 3 2 4 2 2" xfId="7938" xr:uid="{00000000-0005-0000-0000-00007E030000}"/>
    <cellStyle name="20% - Accent6 3 2 4 2 2 2" xfId="16367" xr:uid="{6D5D8135-9111-4FEF-9F9A-F948B35C3859}"/>
    <cellStyle name="20% - Accent6 3 2 4 2 3" xfId="12149" xr:uid="{0E2FDEC5-2F45-4055-BD32-5A8142103BFC}"/>
    <cellStyle name="20% - Accent6 3 2 4 3" xfId="5793" xr:uid="{00000000-0005-0000-0000-00007F030000}"/>
    <cellStyle name="20% - Accent6 3 2 4 3 2" xfId="14222" xr:uid="{C725ED56-87D7-4380-BB0A-3E237A78B6D2}"/>
    <cellStyle name="20% - Accent6 3 2 4 4" xfId="10004" xr:uid="{A79CCC61-C560-4B5F-BDC8-72670C3EC111}"/>
    <cellStyle name="20% - Accent6 3 2 5" xfId="1898" xr:uid="{00000000-0005-0000-0000-000080030000}"/>
    <cellStyle name="20% - Accent6 3 2 5 2" xfId="4127" xr:uid="{00000000-0005-0000-0000-000081030000}"/>
    <cellStyle name="20% - Accent6 3 2 5 2 2" xfId="8351" xr:uid="{00000000-0005-0000-0000-000082030000}"/>
    <cellStyle name="20% - Accent6 3 2 5 2 2 2" xfId="16780" xr:uid="{B8F70B10-EA36-410B-8996-1B039283B4F2}"/>
    <cellStyle name="20% - Accent6 3 2 5 2 3" xfId="12562" xr:uid="{80E00B7A-5283-4794-8C2D-507C51FE7DF4}"/>
    <cellStyle name="20% - Accent6 3 2 5 3" xfId="6206" xr:uid="{00000000-0005-0000-0000-000083030000}"/>
    <cellStyle name="20% - Accent6 3 2 5 3 2" xfId="14635" xr:uid="{1D264049-13EE-4FB1-8A51-7D287FA8782E}"/>
    <cellStyle name="20% - Accent6 3 2 5 4" xfId="10417" xr:uid="{409DB7E0-9A48-4039-BE14-8DAA1BDCC64A}"/>
    <cellStyle name="20% - Accent6 3 2 6" xfId="2311" xr:uid="{00000000-0005-0000-0000-000084030000}"/>
    <cellStyle name="20% - Accent6 3 2 6 2" xfId="6619" xr:uid="{00000000-0005-0000-0000-000085030000}"/>
    <cellStyle name="20% - Accent6 3 2 6 2 2" xfId="15048" xr:uid="{E139C555-E7FA-4C3B-8E44-F0826D04119A}"/>
    <cellStyle name="20% - Accent6 3 2 6 3" xfId="10830" xr:uid="{4627A683-574F-4BD9-AC9C-BB1804AAECA6}"/>
    <cellStyle name="20% - Accent6 3 2 7" xfId="4553" xr:uid="{00000000-0005-0000-0000-000086030000}"/>
    <cellStyle name="20% - Accent6 3 2 7 2" xfId="12982" xr:uid="{CCABD6FE-775A-4040-93FF-0AC973E7BF38}"/>
    <cellStyle name="20% - Accent6 3 2 8" xfId="8764" xr:uid="{7DB56B54-D284-4F1B-8FE6-0ADE46A6F095}"/>
    <cellStyle name="20% - Accent6 3 3" xfId="616" xr:uid="{00000000-0005-0000-0000-000087030000}"/>
    <cellStyle name="20% - Accent6 3 3 2" xfId="2887" xr:uid="{00000000-0005-0000-0000-000088030000}"/>
    <cellStyle name="20% - Accent6 3 3 2 2" xfId="7111" xr:uid="{00000000-0005-0000-0000-000089030000}"/>
    <cellStyle name="20% - Accent6 3 3 2 2 2" xfId="15540" xr:uid="{42A39A95-3C84-4257-AE55-C78DD4C949EC}"/>
    <cellStyle name="20% - Accent6 3 3 2 3" xfId="11322" xr:uid="{DFFBAD96-4F3A-49CC-AC0E-325391A4DBF9}"/>
    <cellStyle name="20% - Accent6 3 3 3" xfId="4966" xr:uid="{00000000-0005-0000-0000-00008A030000}"/>
    <cellStyle name="20% - Accent6 3 3 3 2" xfId="13395" xr:uid="{471BCE1E-7EE2-4D19-BB3B-5AD5CF23C6E5}"/>
    <cellStyle name="20% - Accent6 3 3 4" xfId="9177" xr:uid="{F07954A6-CA50-42EB-BB49-A85F82C9D013}"/>
    <cellStyle name="20% - Accent6 3 4" xfId="1069" xr:uid="{00000000-0005-0000-0000-00008B030000}"/>
    <cellStyle name="20% - Accent6 3 4 2" xfId="3300" xr:uid="{00000000-0005-0000-0000-00008C030000}"/>
    <cellStyle name="20% - Accent6 3 4 2 2" xfId="7524" xr:uid="{00000000-0005-0000-0000-00008D030000}"/>
    <cellStyle name="20% - Accent6 3 4 2 2 2" xfId="15953" xr:uid="{68AF042E-A6CB-471B-9D03-B2A83A36BB18}"/>
    <cellStyle name="20% - Accent6 3 4 2 3" xfId="11735" xr:uid="{A1862767-B52D-4C9B-893A-243984BCA1E3}"/>
    <cellStyle name="20% - Accent6 3 4 3" xfId="5379" xr:uid="{00000000-0005-0000-0000-00008E030000}"/>
    <cellStyle name="20% - Accent6 3 4 3 2" xfId="13808" xr:uid="{75A3E88D-12B9-468B-9223-07C4267CBBD0}"/>
    <cellStyle name="20% - Accent6 3 4 4" xfId="9590" xr:uid="{DF61FDFD-6DB4-4AA2-883A-5B25F4BA799B}"/>
    <cellStyle name="20% - Accent6 3 5" xfId="1483" xr:uid="{00000000-0005-0000-0000-00008F030000}"/>
    <cellStyle name="20% - Accent6 3 5 2" xfId="3713" xr:uid="{00000000-0005-0000-0000-000090030000}"/>
    <cellStyle name="20% - Accent6 3 5 2 2" xfId="7937" xr:uid="{00000000-0005-0000-0000-000091030000}"/>
    <cellStyle name="20% - Accent6 3 5 2 2 2" xfId="16366" xr:uid="{6D177090-3A9D-4797-A81F-E5FFF2BC9C60}"/>
    <cellStyle name="20% - Accent6 3 5 2 3" xfId="12148" xr:uid="{85A97897-C2C6-45CA-9813-E6EA81C7882D}"/>
    <cellStyle name="20% - Accent6 3 5 3" xfId="5792" xr:uid="{00000000-0005-0000-0000-000092030000}"/>
    <cellStyle name="20% - Accent6 3 5 3 2" xfId="14221" xr:uid="{95713FDC-66FC-455E-B702-3A3CA6F8EB95}"/>
    <cellStyle name="20% - Accent6 3 5 4" xfId="10003" xr:uid="{04AB540F-3344-46FF-987B-366EB3B3E78D}"/>
    <cellStyle name="20% - Accent6 3 6" xfId="1897" xr:uid="{00000000-0005-0000-0000-000093030000}"/>
    <cellStyle name="20% - Accent6 3 6 2" xfId="4126" xr:uid="{00000000-0005-0000-0000-000094030000}"/>
    <cellStyle name="20% - Accent6 3 6 2 2" xfId="8350" xr:uid="{00000000-0005-0000-0000-000095030000}"/>
    <cellStyle name="20% - Accent6 3 6 2 2 2" xfId="16779" xr:uid="{969BC7A8-66B6-44B2-8554-DF898BC39963}"/>
    <cellStyle name="20% - Accent6 3 6 2 3" xfId="12561" xr:uid="{415DABE6-185F-4423-A1A8-FCD25B03AD83}"/>
    <cellStyle name="20% - Accent6 3 6 3" xfId="6205" xr:uid="{00000000-0005-0000-0000-000096030000}"/>
    <cellStyle name="20% - Accent6 3 6 3 2" xfId="14634" xr:uid="{6818B049-C343-4146-ACC1-1590B31EE08B}"/>
    <cellStyle name="20% - Accent6 3 6 4" xfId="10416" xr:uid="{97E0A77C-199A-4D0E-9108-529C1855B302}"/>
    <cellStyle name="20% - Accent6 3 7" xfId="2310" xr:uid="{00000000-0005-0000-0000-000097030000}"/>
    <cellStyle name="20% - Accent6 3 7 2" xfId="6618" xr:uid="{00000000-0005-0000-0000-000098030000}"/>
    <cellStyle name="20% - Accent6 3 7 2 2" xfId="15047" xr:uid="{6FC74D76-052E-4B90-960A-974BA3155252}"/>
    <cellStyle name="20% - Accent6 3 7 3" xfId="10829" xr:uid="{07DD85EF-9FD4-4819-BA17-B7BFED9DEAC7}"/>
    <cellStyle name="20% - Accent6 3 8" xfId="4552" xr:uid="{00000000-0005-0000-0000-000099030000}"/>
    <cellStyle name="20% - Accent6 3 8 2" xfId="12981" xr:uid="{EC7AF84B-4901-4A62-8C06-C2BDECA8869B}"/>
    <cellStyle name="20% - Accent6 3 9" xfId="8763" xr:uid="{59F75272-C6B2-4ED9-9F57-D7721203FDC1}"/>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2 2 2" xfId="15542" xr:uid="{1C594790-355A-409E-8AFD-FF23B1F4E712}"/>
    <cellStyle name="20% - Accent6 4 2 2 3" xfId="11324" xr:uid="{A5509623-92BF-425C-BE80-41238B6E51B6}"/>
    <cellStyle name="20% - Accent6 4 2 3" xfId="4968" xr:uid="{00000000-0005-0000-0000-00009E030000}"/>
    <cellStyle name="20% - Accent6 4 2 3 2" xfId="13397" xr:uid="{F482F64A-E3EA-444D-ADE0-8210556A45FF}"/>
    <cellStyle name="20% - Accent6 4 2 4" xfId="9179" xr:uid="{50E5186C-BF46-44D3-B531-F2AAD80C0D3F}"/>
    <cellStyle name="20% - Accent6 4 3" xfId="1071" xr:uid="{00000000-0005-0000-0000-00009F030000}"/>
    <cellStyle name="20% - Accent6 4 3 2" xfId="3302" xr:uid="{00000000-0005-0000-0000-0000A0030000}"/>
    <cellStyle name="20% - Accent6 4 3 2 2" xfId="7526" xr:uid="{00000000-0005-0000-0000-0000A1030000}"/>
    <cellStyle name="20% - Accent6 4 3 2 2 2" xfId="15955" xr:uid="{A190B585-CE97-467B-9C68-CD836DA41A9F}"/>
    <cellStyle name="20% - Accent6 4 3 2 3" xfId="11737" xr:uid="{C01F2D6D-CBB5-44AA-AC10-A08BFF49B8FF}"/>
    <cellStyle name="20% - Accent6 4 3 3" xfId="5381" xr:uid="{00000000-0005-0000-0000-0000A2030000}"/>
    <cellStyle name="20% - Accent6 4 3 3 2" xfId="13810" xr:uid="{2E1C60DA-DC8E-4FBD-A75C-1B616486C32A}"/>
    <cellStyle name="20% - Accent6 4 3 4" xfId="9592" xr:uid="{01B186E6-6ED7-4AC9-83CF-23EA13D26E81}"/>
    <cellStyle name="20% - Accent6 4 4" xfId="1485" xr:uid="{00000000-0005-0000-0000-0000A3030000}"/>
    <cellStyle name="20% - Accent6 4 4 2" xfId="3715" xr:uid="{00000000-0005-0000-0000-0000A4030000}"/>
    <cellStyle name="20% - Accent6 4 4 2 2" xfId="7939" xr:uid="{00000000-0005-0000-0000-0000A5030000}"/>
    <cellStyle name="20% - Accent6 4 4 2 2 2" xfId="16368" xr:uid="{6FF60B80-EE0C-4409-86F6-D7992E2D3B43}"/>
    <cellStyle name="20% - Accent6 4 4 2 3" xfId="12150" xr:uid="{2E61A6E5-11A3-4851-83D4-C26685C823B0}"/>
    <cellStyle name="20% - Accent6 4 4 3" xfId="5794" xr:uid="{00000000-0005-0000-0000-0000A6030000}"/>
    <cellStyle name="20% - Accent6 4 4 3 2" xfId="14223" xr:uid="{96A8CD3C-5CBE-493B-9C03-7FDC64CB2E17}"/>
    <cellStyle name="20% - Accent6 4 4 4" xfId="10005" xr:uid="{BB7F05CE-84B1-4932-B9A3-F70F00F13722}"/>
    <cellStyle name="20% - Accent6 4 5" xfId="1899" xr:uid="{00000000-0005-0000-0000-0000A7030000}"/>
    <cellStyle name="20% - Accent6 4 5 2" xfId="4128" xr:uid="{00000000-0005-0000-0000-0000A8030000}"/>
    <cellStyle name="20% - Accent6 4 5 2 2" xfId="8352" xr:uid="{00000000-0005-0000-0000-0000A9030000}"/>
    <cellStyle name="20% - Accent6 4 5 2 2 2" xfId="16781" xr:uid="{B23FC280-72E5-49B7-845C-5D479F682FC8}"/>
    <cellStyle name="20% - Accent6 4 5 2 3" xfId="12563" xr:uid="{5D386358-C34F-4611-A9A2-2BFE78A6D6A9}"/>
    <cellStyle name="20% - Accent6 4 5 3" xfId="6207" xr:uid="{00000000-0005-0000-0000-0000AA030000}"/>
    <cellStyle name="20% - Accent6 4 5 3 2" xfId="14636" xr:uid="{E0FE0291-4ADB-4C64-AC02-B10613AB9FB4}"/>
    <cellStyle name="20% - Accent6 4 5 4" xfId="10418" xr:uid="{B83C2214-397E-4D01-80CE-731775E966C5}"/>
    <cellStyle name="20% - Accent6 4 6" xfId="2312" xr:uid="{00000000-0005-0000-0000-0000AB030000}"/>
    <cellStyle name="20% - Accent6 4 6 2" xfId="6620" xr:uid="{00000000-0005-0000-0000-0000AC030000}"/>
    <cellStyle name="20% - Accent6 4 6 2 2" xfId="15049" xr:uid="{6BB45F1A-CDC0-422B-B4B6-891833138C52}"/>
    <cellStyle name="20% - Accent6 4 6 3" xfId="10831" xr:uid="{C4D46DC3-6FC0-4992-B396-3144316CD711}"/>
    <cellStyle name="20% - Accent6 4 7" xfId="4554" xr:uid="{00000000-0005-0000-0000-0000AD030000}"/>
    <cellStyle name="20% - Accent6 4 7 2" xfId="12983" xr:uid="{58E6B766-AAA1-49DA-95C5-E9F158E36A0D}"/>
    <cellStyle name="20% - Accent6 4 8" xfId="8765" xr:uid="{ECF6FE83-06FC-4333-8266-AFF15F4C66FF}"/>
    <cellStyle name="20% - Accent6 5" xfId="611" xr:uid="{00000000-0005-0000-0000-0000AE030000}"/>
    <cellStyle name="20% - Accent6 5 2" xfId="2882" xr:uid="{00000000-0005-0000-0000-0000AF030000}"/>
    <cellStyle name="20% - Accent6 5 2 2" xfId="7106" xr:uid="{00000000-0005-0000-0000-0000B0030000}"/>
    <cellStyle name="20% - Accent6 5 2 2 2" xfId="15535" xr:uid="{C8D6A317-262E-4BA2-90A0-F435CF2FCFE9}"/>
    <cellStyle name="20% - Accent6 5 2 3" xfId="11317" xr:uid="{DB0AD61F-252A-4F8E-AC22-F002D66A6A6A}"/>
    <cellStyle name="20% - Accent6 5 3" xfId="4961" xr:uid="{00000000-0005-0000-0000-0000B1030000}"/>
    <cellStyle name="20% - Accent6 5 3 2" xfId="13390" xr:uid="{9AA1AD82-CEEC-401E-9B21-9C70E595CDCD}"/>
    <cellStyle name="20% - Accent6 5 4" xfId="9172" xr:uid="{C3455848-33F2-4426-B08A-5A53767425AD}"/>
    <cellStyle name="20% - Accent6 6" xfId="1064" xr:uid="{00000000-0005-0000-0000-0000B2030000}"/>
    <cellStyle name="20% - Accent6 6 2" xfId="3295" xr:uid="{00000000-0005-0000-0000-0000B3030000}"/>
    <cellStyle name="20% - Accent6 6 2 2" xfId="7519" xr:uid="{00000000-0005-0000-0000-0000B4030000}"/>
    <cellStyle name="20% - Accent6 6 2 2 2" xfId="15948" xr:uid="{92098947-1A44-4B49-BA91-6E2F272CAEF0}"/>
    <cellStyle name="20% - Accent6 6 2 3" xfId="11730" xr:uid="{63D9083C-DFBD-4811-AB7B-55059084FC45}"/>
    <cellStyle name="20% - Accent6 6 3" xfId="5374" xr:uid="{00000000-0005-0000-0000-0000B5030000}"/>
    <cellStyle name="20% - Accent6 6 3 2" xfId="13803" xr:uid="{321D494D-DD09-46A8-A25A-F0CACB31462E}"/>
    <cellStyle name="20% - Accent6 6 4" xfId="9585" xr:uid="{F916F00E-A219-4AC5-BF98-6CD0A28423F6}"/>
    <cellStyle name="20% - Accent6 7" xfId="1478" xr:uid="{00000000-0005-0000-0000-0000B6030000}"/>
    <cellStyle name="20% - Accent6 7 2" xfId="3708" xr:uid="{00000000-0005-0000-0000-0000B7030000}"/>
    <cellStyle name="20% - Accent6 7 2 2" xfId="7932" xr:uid="{00000000-0005-0000-0000-0000B8030000}"/>
    <cellStyle name="20% - Accent6 7 2 2 2" xfId="16361" xr:uid="{7A4CF046-0C0D-4E4C-A6D7-3B29E0AA04D7}"/>
    <cellStyle name="20% - Accent6 7 2 3" xfId="12143" xr:uid="{566CB8E4-871C-43A4-9FB8-609C0174F54F}"/>
    <cellStyle name="20% - Accent6 7 3" xfId="5787" xr:uid="{00000000-0005-0000-0000-0000B9030000}"/>
    <cellStyle name="20% - Accent6 7 3 2" xfId="14216" xr:uid="{C69ABEC1-0A71-425A-B8A2-475033577553}"/>
    <cellStyle name="20% - Accent6 7 4" xfId="9998" xr:uid="{E6E19193-3650-4845-B821-04F2EE746C31}"/>
    <cellStyle name="20% - Accent6 8" xfId="1892" xr:uid="{00000000-0005-0000-0000-0000BA030000}"/>
    <cellStyle name="20% - Accent6 8 2" xfId="4121" xr:uid="{00000000-0005-0000-0000-0000BB030000}"/>
    <cellStyle name="20% - Accent6 8 2 2" xfId="8345" xr:uid="{00000000-0005-0000-0000-0000BC030000}"/>
    <cellStyle name="20% - Accent6 8 2 2 2" xfId="16774" xr:uid="{240E47F0-93F0-434F-A799-D37ED43EC196}"/>
    <cellStyle name="20% - Accent6 8 2 3" xfId="12556" xr:uid="{9E55D3BE-0227-4E0C-A680-10CE72F7B8DF}"/>
    <cellStyle name="20% - Accent6 8 3" xfId="6200" xr:uid="{00000000-0005-0000-0000-0000BD030000}"/>
    <cellStyle name="20% - Accent6 8 3 2" xfId="14629" xr:uid="{06348483-97EF-4306-84CB-21D8D3D8718F}"/>
    <cellStyle name="20% - Accent6 8 4" xfId="10411" xr:uid="{D1E9A97B-2D98-40EB-98FF-F0AE135785BE}"/>
    <cellStyle name="20% - Accent6 9" xfId="2305" xr:uid="{00000000-0005-0000-0000-0000BE030000}"/>
    <cellStyle name="20% - Accent6 9 2" xfId="6613" xr:uid="{00000000-0005-0000-0000-0000BF030000}"/>
    <cellStyle name="20% - Accent6 9 2 2" xfId="15042" xr:uid="{D6DB2B7F-5412-4CE9-8384-D043F06E8428}"/>
    <cellStyle name="20% - Accent6 9 3" xfId="10824" xr:uid="{9531BA62-F77D-437E-9E13-C41E4092A543}"/>
    <cellStyle name="40% - Accent1" xfId="49" builtinId="31" customBuiltin="1"/>
    <cellStyle name="40% - Accent1 10" xfId="4555" xr:uid="{00000000-0005-0000-0000-0000C1030000}"/>
    <cellStyle name="40% - Accent1 10 2" xfId="12984" xr:uid="{F980F5A6-5624-4EE2-9650-82C0D56BBCA6}"/>
    <cellStyle name="40% - Accent1 11" xfId="8766" xr:uid="{51DFFA1D-485C-4FA9-8605-2969CD12B32D}"/>
    <cellStyle name="40% - Accent1 2" xfId="50" xr:uid="{00000000-0005-0000-0000-0000C2030000}"/>
    <cellStyle name="40% - Accent1 2 10" xfId="8767" xr:uid="{CB0378F2-361F-4C7D-9899-46A4E0F642AC}"/>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2 2 2" xfId="15546" xr:uid="{0BD450FB-DD9C-41B0-9D6F-AC1598320F2E}"/>
    <cellStyle name="40% - Accent1 2 2 2 2 2 3" xfId="11328" xr:uid="{79AA9D1D-FCEE-4FE4-B1CB-64C1EC5A7006}"/>
    <cellStyle name="40% - Accent1 2 2 2 2 3" xfId="4972" xr:uid="{00000000-0005-0000-0000-0000C8030000}"/>
    <cellStyle name="40% - Accent1 2 2 2 2 3 2" xfId="13401" xr:uid="{9E7CDD55-02B9-4A85-B566-2B51E265392B}"/>
    <cellStyle name="40% - Accent1 2 2 2 2 4" xfId="9183" xr:uid="{A76C0D1C-7A0F-4FE4-9FB1-D2FCEAE0DF31}"/>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2 2 2" xfId="15959" xr:uid="{578EF181-1B88-483C-A15A-A9CF4B0F9C54}"/>
    <cellStyle name="40% - Accent1 2 2 2 3 2 3" xfId="11741" xr:uid="{0CF7F3F9-7519-440C-A77B-CF931025344B}"/>
    <cellStyle name="40% - Accent1 2 2 2 3 3" xfId="5385" xr:uid="{00000000-0005-0000-0000-0000CC030000}"/>
    <cellStyle name="40% - Accent1 2 2 2 3 3 2" xfId="13814" xr:uid="{DB6F1AF2-0013-4F92-AA8F-EDD7534C4F7E}"/>
    <cellStyle name="40% - Accent1 2 2 2 3 4" xfId="9596" xr:uid="{94132251-2D17-40F4-8CD2-89FF2624D2C9}"/>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2 2 2" xfId="16372" xr:uid="{9016186D-1D18-4E55-BBC4-002C0A4D33ED}"/>
    <cellStyle name="40% - Accent1 2 2 2 4 2 3" xfId="12154" xr:uid="{792CDAE9-B723-43BF-8C2D-14D4DFC92B43}"/>
    <cellStyle name="40% - Accent1 2 2 2 4 3" xfId="5798" xr:uid="{00000000-0005-0000-0000-0000D0030000}"/>
    <cellStyle name="40% - Accent1 2 2 2 4 3 2" xfId="14227" xr:uid="{987A7847-17C5-4865-BC11-EAE27FD856E8}"/>
    <cellStyle name="40% - Accent1 2 2 2 4 4" xfId="10009" xr:uid="{F8D91FFF-D5DA-4A7F-9E69-E5031B9B2FC4}"/>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2 2 2" xfId="16785" xr:uid="{A87AB55B-179C-43EE-8181-47CC3FA3A66B}"/>
    <cellStyle name="40% - Accent1 2 2 2 5 2 3" xfId="12567" xr:uid="{705B2D7A-9F9B-4D22-95A9-1A66B44AF532}"/>
    <cellStyle name="40% - Accent1 2 2 2 5 3" xfId="6211" xr:uid="{00000000-0005-0000-0000-0000D4030000}"/>
    <cellStyle name="40% - Accent1 2 2 2 5 3 2" xfId="14640" xr:uid="{D21A480D-5101-4438-957F-4D710A732F98}"/>
    <cellStyle name="40% - Accent1 2 2 2 5 4" xfId="10422" xr:uid="{1C28377A-4C37-47F8-BA77-61280F375FB5}"/>
    <cellStyle name="40% - Accent1 2 2 2 6" xfId="2316" xr:uid="{00000000-0005-0000-0000-0000D5030000}"/>
    <cellStyle name="40% - Accent1 2 2 2 6 2" xfId="6624" xr:uid="{00000000-0005-0000-0000-0000D6030000}"/>
    <cellStyle name="40% - Accent1 2 2 2 6 2 2" xfId="15053" xr:uid="{2105A5BA-1F92-4370-B6DE-F9C831C1A126}"/>
    <cellStyle name="40% - Accent1 2 2 2 6 3" xfId="10835" xr:uid="{85F53641-D6A5-4A22-A28C-42AD229D48A2}"/>
    <cellStyle name="40% - Accent1 2 2 2 7" xfId="4558" xr:uid="{00000000-0005-0000-0000-0000D7030000}"/>
    <cellStyle name="40% - Accent1 2 2 2 7 2" xfId="12987" xr:uid="{69FFB9FF-2F37-451F-99D4-CFC048CE9BB7}"/>
    <cellStyle name="40% - Accent1 2 2 2 8" xfId="8769" xr:uid="{0BBDF7D5-BD8E-4FF5-896B-86823E87B119}"/>
    <cellStyle name="40% - Accent1 2 2 3" xfId="621" xr:uid="{00000000-0005-0000-0000-0000D8030000}"/>
    <cellStyle name="40% - Accent1 2 2 3 2" xfId="2892" xr:uid="{00000000-0005-0000-0000-0000D9030000}"/>
    <cellStyle name="40% - Accent1 2 2 3 2 2" xfId="7116" xr:uid="{00000000-0005-0000-0000-0000DA030000}"/>
    <cellStyle name="40% - Accent1 2 2 3 2 2 2" xfId="15545" xr:uid="{3A40DA70-8B5B-4379-A29E-EC9C41FC198E}"/>
    <cellStyle name="40% - Accent1 2 2 3 2 3" xfId="11327" xr:uid="{17C609F7-C62C-4877-8BB0-F27F00437243}"/>
    <cellStyle name="40% - Accent1 2 2 3 3" xfId="4971" xr:uid="{00000000-0005-0000-0000-0000DB030000}"/>
    <cellStyle name="40% - Accent1 2 2 3 3 2" xfId="13400" xr:uid="{3309E62F-9948-4D11-822C-3CCBA535F998}"/>
    <cellStyle name="40% - Accent1 2 2 3 4" xfId="9182" xr:uid="{E8847D49-7C90-4C18-8C45-6401D04883E9}"/>
    <cellStyle name="40% - Accent1 2 2 4" xfId="1074" xr:uid="{00000000-0005-0000-0000-0000DC030000}"/>
    <cellStyle name="40% - Accent1 2 2 4 2" xfId="3305" xr:uid="{00000000-0005-0000-0000-0000DD030000}"/>
    <cellStyle name="40% - Accent1 2 2 4 2 2" xfId="7529" xr:uid="{00000000-0005-0000-0000-0000DE030000}"/>
    <cellStyle name="40% - Accent1 2 2 4 2 2 2" xfId="15958" xr:uid="{B4702A73-0D73-4E89-83BC-75B6C20D601C}"/>
    <cellStyle name="40% - Accent1 2 2 4 2 3" xfId="11740" xr:uid="{235C8DD5-3D6E-4DA3-B2F0-5C196A92016A}"/>
    <cellStyle name="40% - Accent1 2 2 4 3" xfId="5384" xr:uid="{00000000-0005-0000-0000-0000DF030000}"/>
    <cellStyle name="40% - Accent1 2 2 4 3 2" xfId="13813" xr:uid="{2A12CBAF-794A-437F-A812-A6C55E40EE16}"/>
    <cellStyle name="40% - Accent1 2 2 4 4" xfId="9595" xr:uid="{6FD01E49-3283-4543-AC5D-18FB108DC89E}"/>
    <cellStyle name="40% - Accent1 2 2 5" xfId="1488" xr:uid="{00000000-0005-0000-0000-0000E0030000}"/>
    <cellStyle name="40% - Accent1 2 2 5 2" xfId="3718" xr:uid="{00000000-0005-0000-0000-0000E1030000}"/>
    <cellStyle name="40% - Accent1 2 2 5 2 2" xfId="7942" xr:uid="{00000000-0005-0000-0000-0000E2030000}"/>
    <cellStyle name="40% - Accent1 2 2 5 2 2 2" xfId="16371" xr:uid="{954504E2-92FA-47DC-A4B5-A5BECE9146AE}"/>
    <cellStyle name="40% - Accent1 2 2 5 2 3" xfId="12153" xr:uid="{8EFA77BA-DA2C-403C-A952-D2F2337830BA}"/>
    <cellStyle name="40% - Accent1 2 2 5 3" xfId="5797" xr:uid="{00000000-0005-0000-0000-0000E3030000}"/>
    <cellStyle name="40% - Accent1 2 2 5 3 2" xfId="14226" xr:uid="{D93324A8-90E5-408C-8D88-B396F6B1C8AE}"/>
    <cellStyle name="40% - Accent1 2 2 5 4" xfId="10008" xr:uid="{9A37D794-0B29-400D-8E20-72742751B339}"/>
    <cellStyle name="40% - Accent1 2 2 6" xfId="1902" xr:uid="{00000000-0005-0000-0000-0000E4030000}"/>
    <cellStyle name="40% - Accent1 2 2 6 2" xfId="4131" xr:uid="{00000000-0005-0000-0000-0000E5030000}"/>
    <cellStyle name="40% - Accent1 2 2 6 2 2" xfId="8355" xr:uid="{00000000-0005-0000-0000-0000E6030000}"/>
    <cellStyle name="40% - Accent1 2 2 6 2 2 2" xfId="16784" xr:uid="{EF720DB0-6EB2-4E9A-A068-0BE779D20485}"/>
    <cellStyle name="40% - Accent1 2 2 6 2 3" xfId="12566" xr:uid="{A30D34B6-66AE-42BB-8E0D-849685534F3F}"/>
    <cellStyle name="40% - Accent1 2 2 6 3" xfId="6210" xr:uid="{00000000-0005-0000-0000-0000E7030000}"/>
    <cellStyle name="40% - Accent1 2 2 6 3 2" xfId="14639" xr:uid="{96AB40FC-5671-4C75-A3C4-0F25C66E126A}"/>
    <cellStyle name="40% - Accent1 2 2 6 4" xfId="10421" xr:uid="{1FA323AD-F2B9-4E11-A5B6-60CE20644BE8}"/>
    <cellStyle name="40% - Accent1 2 2 7" xfId="2315" xr:uid="{00000000-0005-0000-0000-0000E8030000}"/>
    <cellStyle name="40% - Accent1 2 2 7 2" xfId="6623" xr:uid="{00000000-0005-0000-0000-0000E9030000}"/>
    <cellStyle name="40% - Accent1 2 2 7 2 2" xfId="15052" xr:uid="{AD44A9B2-6263-4E2F-8292-69EA6BDE8042}"/>
    <cellStyle name="40% - Accent1 2 2 7 3" xfId="10834" xr:uid="{3958DDCB-6D78-48A9-AD0A-D9184D58D117}"/>
    <cellStyle name="40% - Accent1 2 2 8" xfId="4557" xr:uid="{00000000-0005-0000-0000-0000EA030000}"/>
    <cellStyle name="40% - Accent1 2 2 8 2" xfId="12986" xr:uid="{19238640-A513-46AE-B795-64E08B89404C}"/>
    <cellStyle name="40% - Accent1 2 2 9" xfId="8768" xr:uid="{C6CCD825-861B-4563-99A0-529A5B02F3E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2 2 2" xfId="15547" xr:uid="{7F610E76-7819-4229-A613-C0CDF22BA84F}"/>
    <cellStyle name="40% - Accent1 2 3 2 2 3" xfId="11329" xr:uid="{865568C7-C133-401D-978F-D7831D6490D2}"/>
    <cellStyle name="40% - Accent1 2 3 2 3" xfId="4973" xr:uid="{00000000-0005-0000-0000-0000EF030000}"/>
    <cellStyle name="40% - Accent1 2 3 2 3 2" xfId="13402" xr:uid="{C1D10F2A-F1DE-44B2-81F6-7B42C99FE313}"/>
    <cellStyle name="40% - Accent1 2 3 2 4" xfId="9184" xr:uid="{A5CD11CD-C6A8-459A-9A5E-EA64A0889DB4}"/>
    <cellStyle name="40% - Accent1 2 3 3" xfId="1076" xr:uid="{00000000-0005-0000-0000-0000F0030000}"/>
    <cellStyle name="40% - Accent1 2 3 3 2" xfId="3307" xr:uid="{00000000-0005-0000-0000-0000F1030000}"/>
    <cellStyle name="40% - Accent1 2 3 3 2 2" xfId="7531" xr:uid="{00000000-0005-0000-0000-0000F2030000}"/>
    <cellStyle name="40% - Accent1 2 3 3 2 2 2" xfId="15960" xr:uid="{5BAC57C8-589B-45A8-A91F-092273DCD6E5}"/>
    <cellStyle name="40% - Accent1 2 3 3 2 3" xfId="11742" xr:uid="{E0C87190-E971-4E84-A78D-ABC3853924A2}"/>
    <cellStyle name="40% - Accent1 2 3 3 3" xfId="5386" xr:uid="{00000000-0005-0000-0000-0000F3030000}"/>
    <cellStyle name="40% - Accent1 2 3 3 3 2" xfId="13815" xr:uid="{77F84450-0184-4471-BAD8-0279D66A964D}"/>
    <cellStyle name="40% - Accent1 2 3 3 4" xfId="9597" xr:uid="{57BA879F-4636-4E78-BD46-EA477E018E24}"/>
    <cellStyle name="40% - Accent1 2 3 4" xfId="1490" xr:uid="{00000000-0005-0000-0000-0000F4030000}"/>
    <cellStyle name="40% - Accent1 2 3 4 2" xfId="3720" xr:uid="{00000000-0005-0000-0000-0000F5030000}"/>
    <cellStyle name="40% - Accent1 2 3 4 2 2" xfId="7944" xr:uid="{00000000-0005-0000-0000-0000F6030000}"/>
    <cellStyle name="40% - Accent1 2 3 4 2 2 2" xfId="16373" xr:uid="{341E4E4A-E3F9-4579-AB93-ECDC18484652}"/>
    <cellStyle name="40% - Accent1 2 3 4 2 3" xfId="12155" xr:uid="{7ABF8E7A-DA65-432F-B3C8-0CCF6BC8FDAF}"/>
    <cellStyle name="40% - Accent1 2 3 4 3" xfId="5799" xr:uid="{00000000-0005-0000-0000-0000F7030000}"/>
    <cellStyle name="40% - Accent1 2 3 4 3 2" xfId="14228" xr:uid="{CF28F0F2-FDA5-48C1-B387-608EDB2B0293}"/>
    <cellStyle name="40% - Accent1 2 3 4 4" xfId="10010" xr:uid="{F4543CE8-628E-4046-A1A7-F7B23F920EFF}"/>
    <cellStyle name="40% - Accent1 2 3 5" xfId="1904" xr:uid="{00000000-0005-0000-0000-0000F8030000}"/>
    <cellStyle name="40% - Accent1 2 3 5 2" xfId="4133" xr:uid="{00000000-0005-0000-0000-0000F9030000}"/>
    <cellStyle name="40% - Accent1 2 3 5 2 2" xfId="8357" xr:uid="{00000000-0005-0000-0000-0000FA030000}"/>
    <cellStyle name="40% - Accent1 2 3 5 2 2 2" xfId="16786" xr:uid="{11BCA0FB-0D7D-47F9-AD4E-2857AD89164E}"/>
    <cellStyle name="40% - Accent1 2 3 5 2 3" xfId="12568" xr:uid="{D448B987-98C7-4AB0-84EE-CF68FF53BA42}"/>
    <cellStyle name="40% - Accent1 2 3 5 3" xfId="6212" xr:uid="{00000000-0005-0000-0000-0000FB030000}"/>
    <cellStyle name="40% - Accent1 2 3 5 3 2" xfId="14641" xr:uid="{9155792C-0302-4F82-AA05-2F71912B2699}"/>
    <cellStyle name="40% - Accent1 2 3 5 4" xfId="10423" xr:uid="{855ECB0C-A5B8-4E8D-8ED4-0E0C543351E8}"/>
    <cellStyle name="40% - Accent1 2 3 6" xfId="2317" xr:uid="{00000000-0005-0000-0000-0000FC030000}"/>
    <cellStyle name="40% - Accent1 2 3 6 2" xfId="6625" xr:uid="{00000000-0005-0000-0000-0000FD030000}"/>
    <cellStyle name="40% - Accent1 2 3 6 2 2" xfId="15054" xr:uid="{B59F40EC-7C52-4D29-A3FA-2F9E775BC49C}"/>
    <cellStyle name="40% - Accent1 2 3 6 3" xfId="10836" xr:uid="{1AB0C3B5-443C-4323-9CE7-8D05A6239B50}"/>
    <cellStyle name="40% - Accent1 2 3 7" xfId="4559" xr:uid="{00000000-0005-0000-0000-0000FE030000}"/>
    <cellStyle name="40% - Accent1 2 3 7 2" xfId="12988" xr:uid="{FAACADE7-B115-4875-9C85-70B2EF71CA54}"/>
    <cellStyle name="40% - Accent1 2 3 8" xfId="8770" xr:uid="{95466C12-C7DC-4067-A586-DC2B17964FA9}"/>
    <cellStyle name="40% - Accent1 2 4" xfId="620" xr:uid="{00000000-0005-0000-0000-0000FF030000}"/>
    <cellStyle name="40% - Accent1 2 4 2" xfId="2891" xr:uid="{00000000-0005-0000-0000-000000040000}"/>
    <cellStyle name="40% - Accent1 2 4 2 2" xfId="7115" xr:uid="{00000000-0005-0000-0000-000001040000}"/>
    <cellStyle name="40% - Accent1 2 4 2 2 2" xfId="15544" xr:uid="{DA2E4C25-6DEC-4731-98E1-E646E5863277}"/>
    <cellStyle name="40% - Accent1 2 4 2 3" xfId="11326" xr:uid="{A203732E-98BD-47E4-B414-594EF8D4F2B5}"/>
    <cellStyle name="40% - Accent1 2 4 3" xfId="4970" xr:uid="{00000000-0005-0000-0000-000002040000}"/>
    <cellStyle name="40% - Accent1 2 4 3 2" xfId="13399" xr:uid="{EE80A158-854F-4008-A15E-9FE62F847CFD}"/>
    <cellStyle name="40% - Accent1 2 4 4" xfId="9181" xr:uid="{2F58EB9F-D5FE-4296-9759-FE43455538F2}"/>
    <cellStyle name="40% - Accent1 2 5" xfId="1073" xr:uid="{00000000-0005-0000-0000-000003040000}"/>
    <cellStyle name="40% - Accent1 2 5 2" xfId="3304" xr:uid="{00000000-0005-0000-0000-000004040000}"/>
    <cellStyle name="40% - Accent1 2 5 2 2" xfId="7528" xr:uid="{00000000-0005-0000-0000-000005040000}"/>
    <cellStyle name="40% - Accent1 2 5 2 2 2" xfId="15957" xr:uid="{0A340D71-B9AD-45C3-819D-96C96E9F8349}"/>
    <cellStyle name="40% - Accent1 2 5 2 3" xfId="11739" xr:uid="{791B2154-D1C4-4979-BDC1-394721252EFA}"/>
    <cellStyle name="40% - Accent1 2 5 3" xfId="5383" xr:uid="{00000000-0005-0000-0000-000006040000}"/>
    <cellStyle name="40% - Accent1 2 5 3 2" xfId="13812" xr:uid="{925352CE-DBC3-498C-A18F-48BFAB7F05C6}"/>
    <cellStyle name="40% - Accent1 2 5 4" xfId="9594" xr:uid="{5E742A48-410F-4D2E-92EB-D4DD12BDFFB8}"/>
    <cellStyle name="40% - Accent1 2 6" xfId="1487" xr:uid="{00000000-0005-0000-0000-000007040000}"/>
    <cellStyle name="40% - Accent1 2 6 2" xfId="3717" xr:uid="{00000000-0005-0000-0000-000008040000}"/>
    <cellStyle name="40% - Accent1 2 6 2 2" xfId="7941" xr:uid="{00000000-0005-0000-0000-000009040000}"/>
    <cellStyle name="40% - Accent1 2 6 2 2 2" xfId="16370" xr:uid="{DE4166AF-AFAD-4978-91A4-C142F4344A4F}"/>
    <cellStyle name="40% - Accent1 2 6 2 3" xfId="12152" xr:uid="{38CD5192-E7BC-49AD-B55C-183AAF17AAF1}"/>
    <cellStyle name="40% - Accent1 2 6 3" xfId="5796" xr:uid="{00000000-0005-0000-0000-00000A040000}"/>
    <cellStyle name="40% - Accent1 2 6 3 2" xfId="14225" xr:uid="{2179AC79-652E-4658-A6DD-00D7988884D8}"/>
    <cellStyle name="40% - Accent1 2 6 4" xfId="10007" xr:uid="{A1F109E1-97F3-4CF0-89B3-CF62756148AD}"/>
    <cellStyle name="40% - Accent1 2 7" xfId="1901" xr:uid="{00000000-0005-0000-0000-00000B040000}"/>
    <cellStyle name="40% - Accent1 2 7 2" xfId="4130" xr:uid="{00000000-0005-0000-0000-00000C040000}"/>
    <cellStyle name="40% - Accent1 2 7 2 2" xfId="8354" xr:uid="{00000000-0005-0000-0000-00000D040000}"/>
    <cellStyle name="40% - Accent1 2 7 2 2 2" xfId="16783" xr:uid="{CE9AFF23-992C-4C3E-9936-CCF47FA4E002}"/>
    <cellStyle name="40% - Accent1 2 7 2 3" xfId="12565" xr:uid="{9E5F00F8-EBCA-487A-80EC-246F2CCDBD24}"/>
    <cellStyle name="40% - Accent1 2 7 3" xfId="6209" xr:uid="{00000000-0005-0000-0000-00000E040000}"/>
    <cellStyle name="40% - Accent1 2 7 3 2" xfId="14638" xr:uid="{C3053106-7320-4444-98D4-60E68E03DE28}"/>
    <cellStyle name="40% - Accent1 2 7 4" xfId="10420" xr:uid="{7D22287B-8086-4688-909B-CFC457A17CA1}"/>
    <cellStyle name="40% - Accent1 2 8" xfId="2314" xr:uid="{00000000-0005-0000-0000-00000F040000}"/>
    <cellStyle name="40% - Accent1 2 8 2" xfId="6622" xr:uid="{00000000-0005-0000-0000-000010040000}"/>
    <cellStyle name="40% - Accent1 2 8 2 2" xfId="15051" xr:uid="{9EE5C3C9-2776-4DB1-9461-A91F37B9203C}"/>
    <cellStyle name="40% - Accent1 2 8 3" xfId="10833" xr:uid="{5BBCD0EE-28E9-4B12-ADD5-9A8A8A5E8F78}"/>
    <cellStyle name="40% - Accent1 2 9" xfId="4556" xr:uid="{00000000-0005-0000-0000-000011040000}"/>
    <cellStyle name="40% - Accent1 2 9 2" xfId="12985" xr:uid="{DF4CF33C-60C8-44A4-9D67-6998B4359BC1}"/>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2 2 2" xfId="15549" xr:uid="{D1615634-B6A5-49A2-9568-2970B4CB482D}"/>
    <cellStyle name="40% - Accent1 3 2 2 2 3" xfId="11331" xr:uid="{DF48B48C-2DF1-4AC5-9760-ADA48C068682}"/>
    <cellStyle name="40% - Accent1 3 2 2 3" xfId="4975" xr:uid="{00000000-0005-0000-0000-000017040000}"/>
    <cellStyle name="40% - Accent1 3 2 2 3 2" xfId="13404" xr:uid="{142CB06A-1299-4A42-A6A3-7F0E57220698}"/>
    <cellStyle name="40% - Accent1 3 2 2 4" xfId="9186" xr:uid="{60C2614C-B110-42A2-BCEA-4BE0EC21D72C}"/>
    <cellStyle name="40% - Accent1 3 2 3" xfId="1078" xr:uid="{00000000-0005-0000-0000-000018040000}"/>
    <cellStyle name="40% - Accent1 3 2 3 2" xfId="3309" xr:uid="{00000000-0005-0000-0000-000019040000}"/>
    <cellStyle name="40% - Accent1 3 2 3 2 2" xfId="7533" xr:uid="{00000000-0005-0000-0000-00001A040000}"/>
    <cellStyle name="40% - Accent1 3 2 3 2 2 2" xfId="15962" xr:uid="{79E080C8-0456-40A3-BB68-F87D774A29EF}"/>
    <cellStyle name="40% - Accent1 3 2 3 2 3" xfId="11744" xr:uid="{0E572A71-CB7D-4933-8A46-E0E47F37296F}"/>
    <cellStyle name="40% - Accent1 3 2 3 3" xfId="5388" xr:uid="{00000000-0005-0000-0000-00001B040000}"/>
    <cellStyle name="40% - Accent1 3 2 3 3 2" xfId="13817" xr:uid="{DDEFC39F-06B1-477E-8BF8-F4E34DC57F78}"/>
    <cellStyle name="40% - Accent1 3 2 3 4" xfId="9599" xr:uid="{14A4A629-CDB2-4F1D-9294-11CB3740F75A}"/>
    <cellStyle name="40% - Accent1 3 2 4" xfId="1492" xr:uid="{00000000-0005-0000-0000-00001C040000}"/>
    <cellStyle name="40% - Accent1 3 2 4 2" xfId="3722" xr:uid="{00000000-0005-0000-0000-00001D040000}"/>
    <cellStyle name="40% - Accent1 3 2 4 2 2" xfId="7946" xr:uid="{00000000-0005-0000-0000-00001E040000}"/>
    <cellStyle name="40% - Accent1 3 2 4 2 2 2" xfId="16375" xr:uid="{2431A18E-C72A-41B7-A108-55A4010EC47B}"/>
    <cellStyle name="40% - Accent1 3 2 4 2 3" xfId="12157" xr:uid="{B5731DD9-7807-4BED-BFBA-09F59EEDF7B4}"/>
    <cellStyle name="40% - Accent1 3 2 4 3" xfId="5801" xr:uid="{00000000-0005-0000-0000-00001F040000}"/>
    <cellStyle name="40% - Accent1 3 2 4 3 2" xfId="14230" xr:uid="{7D617486-EDE6-4AD2-AC8F-181E3C4D8387}"/>
    <cellStyle name="40% - Accent1 3 2 4 4" xfId="10012" xr:uid="{5F4CD4BC-25E6-4051-9A83-467A80101D59}"/>
    <cellStyle name="40% - Accent1 3 2 5" xfId="1906" xr:uid="{00000000-0005-0000-0000-000020040000}"/>
    <cellStyle name="40% - Accent1 3 2 5 2" xfId="4135" xr:uid="{00000000-0005-0000-0000-000021040000}"/>
    <cellStyle name="40% - Accent1 3 2 5 2 2" xfId="8359" xr:uid="{00000000-0005-0000-0000-000022040000}"/>
    <cellStyle name="40% - Accent1 3 2 5 2 2 2" xfId="16788" xr:uid="{386FEE38-7A90-4712-84BA-FB2CD149F376}"/>
    <cellStyle name="40% - Accent1 3 2 5 2 3" xfId="12570" xr:uid="{730EC2D5-ACA4-40B8-A70C-85DBAA451795}"/>
    <cellStyle name="40% - Accent1 3 2 5 3" xfId="6214" xr:uid="{00000000-0005-0000-0000-000023040000}"/>
    <cellStyle name="40% - Accent1 3 2 5 3 2" xfId="14643" xr:uid="{B4FE105F-5E4B-4A12-A919-28C3AFFE1E81}"/>
    <cellStyle name="40% - Accent1 3 2 5 4" xfId="10425" xr:uid="{68593FF2-8EDD-4575-98B6-141F4360C725}"/>
    <cellStyle name="40% - Accent1 3 2 6" xfId="2319" xr:uid="{00000000-0005-0000-0000-000024040000}"/>
    <cellStyle name="40% - Accent1 3 2 6 2" xfId="6627" xr:uid="{00000000-0005-0000-0000-000025040000}"/>
    <cellStyle name="40% - Accent1 3 2 6 2 2" xfId="15056" xr:uid="{618BC073-D1C1-466B-983C-8ACD8E71C5EC}"/>
    <cellStyle name="40% - Accent1 3 2 6 3" xfId="10838" xr:uid="{1E1B71CE-259B-45B0-BE37-51DCE4DDAE0B}"/>
    <cellStyle name="40% - Accent1 3 2 7" xfId="4561" xr:uid="{00000000-0005-0000-0000-000026040000}"/>
    <cellStyle name="40% - Accent1 3 2 7 2" xfId="12990" xr:uid="{CA721066-EBF2-4A0D-BB01-E9D61C58515F}"/>
    <cellStyle name="40% - Accent1 3 2 8" xfId="8772" xr:uid="{16E2E131-DA58-4C21-8FF6-40C69AE25849}"/>
    <cellStyle name="40% - Accent1 3 3" xfId="624" xr:uid="{00000000-0005-0000-0000-000027040000}"/>
    <cellStyle name="40% - Accent1 3 3 2" xfId="2895" xr:uid="{00000000-0005-0000-0000-000028040000}"/>
    <cellStyle name="40% - Accent1 3 3 2 2" xfId="7119" xr:uid="{00000000-0005-0000-0000-000029040000}"/>
    <cellStyle name="40% - Accent1 3 3 2 2 2" xfId="15548" xr:uid="{435F92BE-DFC4-4750-8BE1-40757FCBE64B}"/>
    <cellStyle name="40% - Accent1 3 3 2 3" xfId="11330" xr:uid="{EEC45969-8D1C-47FE-BB68-1961EF87C51A}"/>
    <cellStyle name="40% - Accent1 3 3 3" xfId="4974" xr:uid="{00000000-0005-0000-0000-00002A040000}"/>
    <cellStyle name="40% - Accent1 3 3 3 2" xfId="13403" xr:uid="{371575AF-43E3-457B-9F24-43240044D1E0}"/>
    <cellStyle name="40% - Accent1 3 3 4" xfId="9185" xr:uid="{C921FE49-D3E1-47AC-A105-8490605CB2B7}"/>
    <cellStyle name="40% - Accent1 3 4" xfId="1077" xr:uid="{00000000-0005-0000-0000-00002B040000}"/>
    <cellStyle name="40% - Accent1 3 4 2" xfId="3308" xr:uid="{00000000-0005-0000-0000-00002C040000}"/>
    <cellStyle name="40% - Accent1 3 4 2 2" xfId="7532" xr:uid="{00000000-0005-0000-0000-00002D040000}"/>
    <cellStyle name="40% - Accent1 3 4 2 2 2" xfId="15961" xr:uid="{6F359F74-D389-4FD5-B8E6-670D47517A9B}"/>
    <cellStyle name="40% - Accent1 3 4 2 3" xfId="11743" xr:uid="{1FFDC3FE-6DFA-4C1F-BC4A-D8C3314EE6E9}"/>
    <cellStyle name="40% - Accent1 3 4 3" xfId="5387" xr:uid="{00000000-0005-0000-0000-00002E040000}"/>
    <cellStyle name="40% - Accent1 3 4 3 2" xfId="13816" xr:uid="{CE2E2E00-054A-451A-A9DE-E0847F989DD8}"/>
    <cellStyle name="40% - Accent1 3 4 4" xfId="9598" xr:uid="{90F5CD67-6E65-46DA-BC1B-FE06C9C8B8D3}"/>
    <cellStyle name="40% - Accent1 3 5" xfId="1491" xr:uid="{00000000-0005-0000-0000-00002F040000}"/>
    <cellStyle name="40% - Accent1 3 5 2" xfId="3721" xr:uid="{00000000-0005-0000-0000-000030040000}"/>
    <cellStyle name="40% - Accent1 3 5 2 2" xfId="7945" xr:uid="{00000000-0005-0000-0000-000031040000}"/>
    <cellStyle name="40% - Accent1 3 5 2 2 2" xfId="16374" xr:uid="{61B76BF8-D605-43F2-8A73-CEDB2B0C9FC6}"/>
    <cellStyle name="40% - Accent1 3 5 2 3" xfId="12156" xr:uid="{8D211CF1-5241-4FE3-98BF-83A234B57BCC}"/>
    <cellStyle name="40% - Accent1 3 5 3" xfId="5800" xr:uid="{00000000-0005-0000-0000-000032040000}"/>
    <cellStyle name="40% - Accent1 3 5 3 2" xfId="14229" xr:uid="{991F7E0F-7008-4602-ACD3-EB6D6007C247}"/>
    <cellStyle name="40% - Accent1 3 5 4" xfId="10011" xr:uid="{6608A1E0-B146-4F3D-8FFF-A31B67088B56}"/>
    <cellStyle name="40% - Accent1 3 6" xfId="1905" xr:uid="{00000000-0005-0000-0000-000033040000}"/>
    <cellStyle name="40% - Accent1 3 6 2" xfId="4134" xr:uid="{00000000-0005-0000-0000-000034040000}"/>
    <cellStyle name="40% - Accent1 3 6 2 2" xfId="8358" xr:uid="{00000000-0005-0000-0000-000035040000}"/>
    <cellStyle name="40% - Accent1 3 6 2 2 2" xfId="16787" xr:uid="{94D8D567-317D-40E4-B1A4-7E0538A84E52}"/>
    <cellStyle name="40% - Accent1 3 6 2 3" xfId="12569" xr:uid="{5CDFCDE7-1B09-4CD2-B5FC-6429DB82754B}"/>
    <cellStyle name="40% - Accent1 3 6 3" xfId="6213" xr:uid="{00000000-0005-0000-0000-000036040000}"/>
    <cellStyle name="40% - Accent1 3 6 3 2" xfId="14642" xr:uid="{81EE7797-8720-45BE-A1E0-A1F1D597D448}"/>
    <cellStyle name="40% - Accent1 3 6 4" xfId="10424" xr:uid="{275C5E88-E97B-4145-9532-A1C1FD9F6501}"/>
    <cellStyle name="40% - Accent1 3 7" xfId="2318" xr:uid="{00000000-0005-0000-0000-000037040000}"/>
    <cellStyle name="40% - Accent1 3 7 2" xfId="6626" xr:uid="{00000000-0005-0000-0000-000038040000}"/>
    <cellStyle name="40% - Accent1 3 7 2 2" xfId="15055" xr:uid="{AD50C2E4-4B9D-499D-9951-4B61A4DAF7E1}"/>
    <cellStyle name="40% - Accent1 3 7 3" xfId="10837" xr:uid="{CF4EDFF6-96D4-41E4-BBA5-1B55DCC5BABC}"/>
    <cellStyle name="40% - Accent1 3 8" xfId="4560" xr:uid="{00000000-0005-0000-0000-000039040000}"/>
    <cellStyle name="40% - Accent1 3 8 2" xfId="12989" xr:uid="{F0233994-19D9-49CA-89B1-529F99DEF18E}"/>
    <cellStyle name="40% - Accent1 3 9" xfId="8771" xr:uid="{BBAFACDD-3895-4A5C-90CE-99C66B5CA37A}"/>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2 2 2" xfId="15550" xr:uid="{336C0AA1-A23F-4053-BFB2-6ACFB524C3FF}"/>
    <cellStyle name="40% - Accent1 4 2 2 3" xfId="11332" xr:uid="{03258A42-B519-4B9C-B0A0-D85A8B972063}"/>
    <cellStyle name="40% - Accent1 4 2 3" xfId="4976" xr:uid="{00000000-0005-0000-0000-00003E040000}"/>
    <cellStyle name="40% - Accent1 4 2 3 2" xfId="13405" xr:uid="{885C5302-B5AA-424D-99F8-95C513A4B86C}"/>
    <cellStyle name="40% - Accent1 4 2 4" xfId="9187" xr:uid="{A529454E-F1E4-4967-9228-46CA01AB38CA}"/>
    <cellStyle name="40% - Accent1 4 3" xfId="1079" xr:uid="{00000000-0005-0000-0000-00003F040000}"/>
    <cellStyle name="40% - Accent1 4 3 2" xfId="3310" xr:uid="{00000000-0005-0000-0000-000040040000}"/>
    <cellStyle name="40% - Accent1 4 3 2 2" xfId="7534" xr:uid="{00000000-0005-0000-0000-000041040000}"/>
    <cellStyle name="40% - Accent1 4 3 2 2 2" xfId="15963" xr:uid="{064B7305-966C-4A79-BBBE-8B1FD87FD08E}"/>
    <cellStyle name="40% - Accent1 4 3 2 3" xfId="11745" xr:uid="{01FA1D9A-D049-4EA8-B80F-7AB0EFA58A0A}"/>
    <cellStyle name="40% - Accent1 4 3 3" xfId="5389" xr:uid="{00000000-0005-0000-0000-000042040000}"/>
    <cellStyle name="40% - Accent1 4 3 3 2" xfId="13818" xr:uid="{94B330EF-F227-42A3-870E-E162883946EF}"/>
    <cellStyle name="40% - Accent1 4 3 4" xfId="9600" xr:uid="{6604E9E3-A423-4E78-8587-AE9C1D6E8940}"/>
    <cellStyle name="40% - Accent1 4 4" xfId="1493" xr:uid="{00000000-0005-0000-0000-000043040000}"/>
    <cellStyle name="40% - Accent1 4 4 2" xfId="3723" xr:uid="{00000000-0005-0000-0000-000044040000}"/>
    <cellStyle name="40% - Accent1 4 4 2 2" xfId="7947" xr:uid="{00000000-0005-0000-0000-000045040000}"/>
    <cellStyle name="40% - Accent1 4 4 2 2 2" xfId="16376" xr:uid="{D51F1575-EA36-46C3-99F4-CA5BE87BD1FB}"/>
    <cellStyle name="40% - Accent1 4 4 2 3" xfId="12158" xr:uid="{79161C11-40AB-4EBB-929B-F0596DC4C293}"/>
    <cellStyle name="40% - Accent1 4 4 3" xfId="5802" xr:uid="{00000000-0005-0000-0000-000046040000}"/>
    <cellStyle name="40% - Accent1 4 4 3 2" xfId="14231" xr:uid="{4C791753-5AC6-4C42-95DB-F25570D9290A}"/>
    <cellStyle name="40% - Accent1 4 4 4" xfId="10013" xr:uid="{FA428859-436B-4C20-B4FE-DCB6B61915AF}"/>
    <cellStyle name="40% - Accent1 4 5" xfId="1907" xr:uid="{00000000-0005-0000-0000-000047040000}"/>
    <cellStyle name="40% - Accent1 4 5 2" xfId="4136" xr:uid="{00000000-0005-0000-0000-000048040000}"/>
    <cellStyle name="40% - Accent1 4 5 2 2" xfId="8360" xr:uid="{00000000-0005-0000-0000-000049040000}"/>
    <cellStyle name="40% - Accent1 4 5 2 2 2" xfId="16789" xr:uid="{69C5928C-CC8D-46E4-82D2-47E0B8C5A976}"/>
    <cellStyle name="40% - Accent1 4 5 2 3" xfId="12571" xr:uid="{F6F0ADF1-FCDC-46D7-9968-C7ACC6EBA459}"/>
    <cellStyle name="40% - Accent1 4 5 3" xfId="6215" xr:uid="{00000000-0005-0000-0000-00004A040000}"/>
    <cellStyle name="40% - Accent1 4 5 3 2" xfId="14644" xr:uid="{D11649D3-5A58-4752-8EAB-C02B150F9C42}"/>
    <cellStyle name="40% - Accent1 4 5 4" xfId="10426" xr:uid="{EC21876C-BBD9-43EB-B0B6-8CE0F0F15EFB}"/>
    <cellStyle name="40% - Accent1 4 6" xfId="2320" xr:uid="{00000000-0005-0000-0000-00004B040000}"/>
    <cellStyle name="40% - Accent1 4 6 2" xfId="6628" xr:uid="{00000000-0005-0000-0000-00004C040000}"/>
    <cellStyle name="40% - Accent1 4 6 2 2" xfId="15057" xr:uid="{92BAAA67-D0AB-447F-9DC9-B8A39106037D}"/>
    <cellStyle name="40% - Accent1 4 6 3" xfId="10839" xr:uid="{0B21CCAE-DD80-4384-87A2-16BE11780C30}"/>
    <cellStyle name="40% - Accent1 4 7" xfId="4562" xr:uid="{00000000-0005-0000-0000-00004D040000}"/>
    <cellStyle name="40% - Accent1 4 7 2" xfId="12991" xr:uid="{6191AF50-67F0-40DF-9CFD-D3FA58944E96}"/>
    <cellStyle name="40% - Accent1 4 8" xfId="8773" xr:uid="{87B3B167-7151-46F5-ABAE-4B51A2E3728E}"/>
    <cellStyle name="40% - Accent1 5" xfId="619" xr:uid="{00000000-0005-0000-0000-00004E040000}"/>
    <cellStyle name="40% - Accent1 5 2" xfId="2890" xr:uid="{00000000-0005-0000-0000-00004F040000}"/>
    <cellStyle name="40% - Accent1 5 2 2" xfId="7114" xr:uid="{00000000-0005-0000-0000-000050040000}"/>
    <cellStyle name="40% - Accent1 5 2 2 2" xfId="15543" xr:uid="{0234288C-EC88-45F4-9ED6-1C072E5162D9}"/>
    <cellStyle name="40% - Accent1 5 2 3" xfId="11325" xr:uid="{B9E7F962-8C2D-49D4-A2A9-7A16506D0575}"/>
    <cellStyle name="40% - Accent1 5 3" xfId="4969" xr:uid="{00000000-0005-0000-0000-000051040000}"/>
    <cellStyle name="40% - Accent1 5 3 2" xfId="13398" xr:uid="{8FD4479D-B741-42D2-A194-A1A7E74D8F50}"/>
    <cellStyle name="40% - Accent1 5 4" xfId="9180" xr:uid="{AB0D3DED-2E93-4656-8D6B-813FD0995E9C}"/>
    <cellStyle name="40% - Accent1 6" xfId="1072" xr:uid="{00000000-0005-0000-0000-000052040000}"/>
    <cellStyle name="40% - Accent1 6 2" xfId="3303" xr:uid="{00000000-0005-0000-0000-000053040000}"/>
    <cellStyle name="40% - Accent1 6 2 2" xfId="7527" xr:uid="{00000000-0005-0000-0000-000054040000}"/>
    <cellStyle name="40% - Accent1 6 2 2 2" xfId="15956" xr:uid="{45D90258-8A52-430C-AB33-8F729AC48859}"/>
    <cellStyle name="40% - Accent1 6 2 3" xfId="11738" xr:uid="{E00EB02E-9A21-4E1A-8A51-43766A0A7EED}"/>
    <cellStyle name="40% - Accent1 6 3" xfId="5382" xr:uid="{00000000-0005-0000-0000-000055040000}"/>
    <cellStyle name="40% - Accent1 6 3 2" xfId="13811" xr:uid="{2810D30E-76FA-43A8-802F-BABE4FDA0483}"/>
    <cellStyle name="40% - Accent1 6 4" xfId="9593" xr:uid="{10ECD4E7-E9BB-4528-8410-48D9FC5DD447}"/>
    <cellStyle name="40% - Accent1 7" xfId="1486" xr:uid="{00000000-0005-0000-0000-000056040000}"/>
    <cellStyle name="40% - Accent1 7 2" xfId="3716" xr:uid="{00000000-0005-0000-0000-000057040000}"/>
    <cellStyle name="40% - Accent1 7 2 2" xfId="7940" xr:uid="{00000000-0005-0000-0000-000058040000}"/>
    <cellStyle name="40% - Accent1 7 2 2 2" xfId="16369" xr:uid="{89621BB4-E2A5-4937-8586-6D1B5D4E71A1}"/>
    <cellStyle name="40% - Accent1 7 2 3" xfId="12151" xr:uid="{7401EBDE-3CF1-4746-BF66-BBD51EBFCD61}"/>
    <cellStyle name="40% - Accent1 7 3" xfId="5795" xr:uid="{00000000-0005-0000-0000-000059040000}"/>
    <cellStyle name="40% - Accent1 7 3 2" xfId="14224" xr:uid="{2E1D9D60-2E7C-4CD9-82E2-68E10FA7651E}"/>
    <cellStyle name="40% - Accent1 7 4" xfId="10006" xr:uid="{8294F426-6F9F-4BC8-870E-D761C2B370A1}"/>
    <cellStyle name="40% - Accent1 8" xfId="1900" xr:uid="{00000000-0005-0000-0000-00005A040000}"/>
    <cellStyle name="40% - Accent1 8 2" xfId="4129" xr:uid="{00000000-0005-0000-0000-00005B040000}"/>
    <cellStyle name="40% - Accent1 8 2 2" xfId="8353" xr:uid="{00000000-0005-0000-0000-00005C040000}"/>
    <cellStyle name="40% - Accent1 8 2 2 2" xfId="16782" xr:uid="{27D541A2-07B4-419E-B8CD-9C3E3A98E750}"/>
    <cellStyle name="40% - Accent1 8 2 3" xfId="12564" xr:uid="{7A7F9D78-9053-4C3E-988A-EF00D46513A9}"/>
    <cellStyle name="40% - Accent1 8 3" xfId="6208" xr:uid="{00000000-0005-0000-0000-00005D040000}"/>
    <cellStyle name="40% - Accent1 8 3 2" xfId="14637" xr:uid="{FB929FF1-8C60-4EAD-9E5B-AB9848FFC8FD}"/>
    <cellStyle name="40% - Accent1 8 4" xfId="10419" xr:uid="{4F43782C-3D10-4CD9-94F2-BDD532BA9C57}"/>
    <cellStyle name="40% - Accent1 9" xfId="2313" xr:uid="{00000000-0005-0000-0000-00005E040000}"/>
    <cellStyle name="40% - Accent1 9 2" xfId="6621" xr:uid="{00000000-0005-0000-0000-00005F040000}"/>
    <cellStyle name="40% - Accent1 9 2 2" xfId="15050" xr:uid="{675959BD-181A-4E3F-AD5B-EDFA1F8555A9}"/>
    <cellStyle name="40% - Accent1 9 3" xfId="10832" xr:uid="{8377C64A-5560-4E5B-8DE1-B5EDD895F384}"/>
    <cellStyle name="40% - Accent2" xfId="57" builtinId="35" customBuiltin="1"/>
    <cellStyle name="40% - Accent2 10" xfId="4563" xr:uid="{00000000-0005-0000-0000-000061040000}"/>
    <cellStyle name="40% - Accent2 10 2" xfId="12992" xr:uid="{7E4F8719-2407-41AA-A9FF-71528425FE6C}"/>
    <cellStyle name="40% - Accent2 11" xfId="8774" xr:uid="{670138B8-F829-4A35-9E8F-419EA77FA5BB}"/>
    <cellStyle name="40% - Accent2 2" xfId="58" xr:uid="{00000000-0005-0000-0000-000062040000}"/>
    <cellStyle name="40% - Accent2 2 10" xfId="8775" xr:uid="{D9CB1991-EC3F-4FA2-BE26-678925FC3E1B}"/>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2 2 2" xfId="15554" xr:uid="{57B1A09F-E372-4DA5-92E0-0FC468CBA07E}"/>
    <cellStyle name="40% - Accent2 2 2 2 2 2 3" xfId="11336" xr:uid="{F80FDD10-BD36-4D1C-A511-1583EEA38BC6}"/>
    <cellStyle name="40% - Accent2 2 2 2 2 3" xfId="4980" xr:uid="{00000000-0005-0000-0000-000068040000}"/>
    <cellStyle name="40% - Accent2 2 2 2 2 3 2" xfId="13409" xr:uid="{8DCB98A3-3C72-4D9A-B35B-BCF641D72E1E}"/>
    <cellStyle name="40% - Accent2 2 2 2 2 4" xfId="9191" xr:uid="{6B5BDC48-2F70-454D-BE20-9A279F3A7DFF}"/>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2 2 2" xfId="15967" xr:uid="{7460AA7F-8317-454E-B20C-E5B72172BE51}"/>
    <cellStyle name="40% - Accent2 2 2 2 3 2 3" xfId="11749" xr:uid="{ABA1962D-6754-43BC-83F6-A6E09E064164}"/>
    <cellStyle name="40% - Accent2 2 2 2 3 3" xfId="5393" xr:uid="{00000000-0005-0000-0000-00006C040000}"/>
    <cellStyle name="40% - Accent2 2 2 2 3 3 2" xfId="13822" xr:uid="{F4851C61-E554-470F-9432-0AB873762DF8}"/>
    <cellStyle name="40% - Accent2 2 2 2 3 4" xfId="9604" xr:uid="{E0062403-05A5-4732-BF65-264ECA52F3EA}"/>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2 2 2" xfId="16380" xr:uid="{80BF5EE4-3BAB-40A2-A34A-4F8FA5DDCF25}"/>
    <cellStyle name="40% - Accent2 2 2 2 4 2 3" xfId="12162" xr:uid="{429C93AD-E084-4B83-9560-E1CAF7BF0052}"/>
    <cellStyle name="40% - Accent2 2 2 2 4 3" xfId="5806" xr:uid="{00000000-0005-0000-0000-000070040000}"/>
    <cellStyle name="40% - Accent2 2 2 2 4 3 2" xfId="14235" xr:uid="{7C242220-CD33-4995-8FA9-7EF727A0FAFC}"/>
    <cellStyle name="40% - Accent2 2 2 2 4 4" xfId="10017" xr:uid="{62FC2824-244F-4C41-94E7-E3E715E13BE5}"/>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2 2 2" xfId="16793" xr:uid="{DE4093BE-163C-4F86-B213-FBDA31FA89D4}"/>
    <cellStyle name="40% - Accent2 2 2 2 5 2 3" xfId="12575" xr:uid="{BE1EAF99-1553-410F-A314-C05D4D5540C7}"/>
    <cellStyle name="40% - Accent2 2 2 2 5 3" xfId="6219" xr:uid="{00000000-0005-0000-0000-000074040000}"/>
    <cellStyle name="40% - Accent2 2 2 2 5 3 2" xfId="14648" xr:uid="{FEBE9F87-1516-442F-8E7F-CF88AED57DD8}"/>
    <cellStyle name="40% - Accent2 2 2 2 5 4" xfId="10430" xr:uid="{510A6146-6348-4174-A903-4CA2902D4F26}"/>
    <cellStyle name="40% - Accent2 2 2 2 6" xfId="2324" xr:uid="{00000000-0005-0000-0000-000075040000}"/>
    <cellStyle name="40% - Accent2 2 2 2 6 2" xfId="6632" xr:uid="{00000000-0005-0000-0000-000076040000}"/>
    <cellStyle name="40% - Accent2 2 2 2 6 2 2" xfId="15061" xr:uid="{47DBAE4B-BCEC-48E2-917A-BD076BB2CC8C}"/>
    <cellStyle name="40% - Accent2 2 2 2 6 3" xfId="10843" xr:uid="{1ADCCC78-F012-4EC0-A468-AF4909E95C91}"/>
    <cellStyle name="40% - Accent2 2 2 2 7" xfId="4566" xr:uid="{00000000-0005-0000-0000-000077040000}"/>
    <cellStyle name="40% - Accent2 2 2 2 7 2" xfId="12995" xr:uid="{D776E513-4202-4F16-8160-87149B35EEB1}"/>
    <cellStyle name="40% - Accent2 2 2 2 8" xfId="8777" xr:uid="{6EDEBF72-AF7C-4D4D-8FAE-B3352F81C48F}"/>
    <cellStyle name="40% - Accent2 2 2 3" xfId="629" xr:uid="{00000000-0005-0000-0000-000078040000}"/>
    <cellStyle name="40% - Accent2 2 2 3 2" xfId="2900" xr:uid="{00000000-0005-0000-0000-000079040000}"/>
    <cellStyle name="40% - Accent2 2 2 3 2 2" xfId="7124" xr:uid="{00000000-0005-0000-0000-00007A040000}"/>
    <cellStyle name="40% - Accent2 2 2 3 2 2 2" xfId="15553" xr:uid="{10B7DF3E-44D4-45F4-B2CF-2576DEDAA4C8}"/>
    <cellStyle name="40% - Accent2 2 2 3 2 3" xfId="11335" xr:uid="{0A634F8E-D588-465E-BD92-218069C1BE8E}"/>
    <cellStyle name="40% - Accent2 2 2 3 3" xfId="4979" xr:uid="{00000000-0005-0000-0000-00007B040000}"/>
    <cellStyle name="40% - Accent2 2 2 3 3 2" xfId="13408" xr:uid="{6B61593B-3E5F-45FA-BC8F-09A8C1F0903B}"/>
    <cellStyle name="40% - Accent2 2 2 3 4" xfId="9190" xr:uid="{EB6A81AF-1ED7-4052-A180-28779140A609}"/>
    <cellStyle name="40% - Accent2 2 2 4" xfId="1082" xr:uid="{00000000-0005-0000-0000-00007C040000}"/>
    <cellStyle name="40% - Accent2 2 2 4 2" xfId="3313" xr:uid="{00000000-0005-0000-0000-00007D040000}"/>
    <cellStyle name="40% - Accent2 2 2 4 2 2" xfId="7537" xr:uid="{00000000-0005-0000-0000-00007E040000}"/>
    <cellStyle name="40% - Accent2 2 2 4 2 2 2" xfId="15966" xr:uid="{50CD89F2-9CBF-4685-835E-A48E4A8E09FC}"/>
    <cellStyle name="40% - Accent2 2 2 4 2 3" xfId="11748" xr:uid="{51295656-5D62-4016-9145-3EE56F311FA9}"/>
    <cellStyle name="40% - Accent2 2 2 4 3" xfId="5392" xr:uid="{00000000-0005-0000-0000-00007F040000}"/>
    <cellStyle name="40% - Accent2 2 2 4 3 2" xfId="13821" xr:uid="{EF2CBAF1-7655-4731-B5D3-F9A946DB0DBC}"/>
    <cellStyle name="40% - Accent2 2 2 4 4" xfId="9603" xr:uid="{B21E3938-B2BA-441A-AA95-72159312C515}"/>
    <cellStyle name="40% - Accent2 2 2 5" xfId="1496" xr:uid="{00000000-0005-0000-0000-000080040000}"/>
    <cellStyle name="40% - Accent2 2 2 5 2" xfId="3726" xr:uid="{00000000-0005-0000-0000-000081040000}"/>
    <cellStyle name="40% - Accent2 2 2 5 2 2" xfId="7950" xr:uid="{00000000-0005-0000-0000-000082040000}"/>
    <cellStyle name="40% - Accent2 2 2 5 2 2 2" xfId="16379" xr:uid="{DC407637-EE56-4958-81C8-CB71F34F99F5}"/>
    <cellStyle name="40% - Accent2 2 2 5 2 3" xfId="12161" xr:uid="{11E4F23F-8148-41C1-B1BE-73686F643275}"/>
    <cellStyle name="40% - Accent2 2 2 5 3" xfId="5805" xr:uid="{00000000-0005-0000-0000-000083040000}"/>
    <cellStyle name="40% - Accent2 2 2 5 3 2" xfId="14234" xr:uid="{1D738DCB-D645-43A3-A99B-5E5168BA7D87}"/>
    <cellStyle name="40% - Accent2 2 2 5 4" xfId="10016" xr:uid="{8AEA9CCA-3E46-4B83-B6E3-29D6AA3125DC}"/>
    <cellStyle name="40% - Accent2 2 2 6" xfId="1910" xr:uid="{00000000-0005-0000-0000-000084040000}"/>
    <cellStyle name="40% - Accent2 2 2 6 2" xfId="4139" xr:uid="{00000000-0005-0000-0000-000085040000}"/>
    <cellStyle name="40% - Accent2 2 2 6 2 2" xfId="8363" xr:uid="{00000000-0005-0000-0000-000086040000}"/>
    <cellStyle name="40% - Accent2 2 2 6 2 2 2" xfId="16792" xr:uid="{10A90657-5D4A-49CB-89DB-C5F83E02538D}"/>
    <cellStyle name="40% - Accent2 2 2 6 2 3" xfId="12574" xr:uid="{2FCE975A-4F66-4A35-A086-B54C8778B4F2}"/>
    <cellStyle name="40% - Accent2 2 2 6 3" xfId="6218" xr:uid="{00000000-0005-0000-0000-000087040000}"/>
    <cellStyle name="40% - Accent2 2 2 6 3 2" xfId="14647" xr:uid="{15FFCF03-78C9-4F44-BE9D-7B701ADBCF5B}"/>
    <cellStyle name="40% - Accent2 2 2 6 4" xfId="10429" xr:uid="{9B33810F-DC77-4CDE-9851-2FD25659D67E}"/>
    <cellStyle name="40% - Accent2 2 2 7" xfId="2323" xr:uid="{00000000-0005-0000-0000-000088040000}"/>
    <cellStyle name="40% - Accent2 2 2 7 2" xfId="6631" xr:uid="{00000000-0005-0000-0000-000089040000}"/>
    <cellStyle name="40% - Accent2 2 2 7 2 2" xfId="15060" xr:uid="{4EF130D1-217C-4904-A67F-95FF2C91597F}"/>
    <cellStyle name="40% - Accent2 2 2 7 3" xfId="10842" xr:uid="{BBFDB68F-FF3D-4C45-8C56-08AF342DCA41}"/>
    <cellStyle name="40% - Accent2 2 2 8" xfId="4565" xr:uid="{00000000-0005-0000-0000-00008A040000}"/>
    <cellStyle name="40% - Accent2 2 2 8 2" xfId="12994" xr:uid="{8619E1C8-95EA-41CB-B702-F4B97C7059D5}"/>
    <cellStyle name="40% - Accent2 2 2 9" xfId="8776" xr:uid="{98AB16AC-E193-409D-B684-6B43EF5D8359}"/>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2 2 2" xfId="15555" xr:uid="{E720ACFF-083F-4B36-B2D3-E7BAFD44E43A}"/>
    <cellStyle name="40% - Accent2 2 3 2 2 3" xfId="11337" xr:uid="{39E79133-093F-4929-93EF-F5B940E5BF8E}"/>
    <cellStyle name="40% - Accent2 2 3 2 3" xfId="4981" xr:uid="{00000000-0005-0000-0000-00008F040000}"/>
    <cellStyle name="40% - Accent2 2 3 2 3 2" xfId="13410" xr:uid="{FEC4C8EF-8F0C-448E-9155-1ACB66465E8B}"/>
    <cellStyle name="40% - Accent2 2 3 2 4" xfId="9192" xr:uid="{A21D5A97-3A97-4329-A688-DB192A3719DB}"/>
    <cellStyle name="40% - Accent2 2 3 3" xfId="1084" xr:uid="{00000000-0005-0000-0000-000090040000}"/>
    <cellStyle name="40% - Accent2 2 3 3 2" xfId="3315" xr:uid="{00000000-0005-0000-0000-000091040000}"/>
    <cellStyle name="40% - Accent2 2 3 3 2 2" xfId="7539" xr:uid="{00000000-0005-0000-0000-000092040000}"/>
    <cellStyle name="40% - Accent2 2 3 3 2 2 2" xfId="15968" xr:uid="{0A8F6B16-7749-4EF7-BE7A-A97F4EBC5F31}"/>
    <cellStyle name="40% - Accent2 2 3 3 2 3" xfId="11750" xr:uid="{E7E2C4F1-8D7E-432F-81B1-3A3592780C46}"/>
    <cellStyle name="40% - Accent2 2 3 3 3" xfId="5394" xr:uid="{00000000-0005-0000-0000-000093040000}"/>
    <cellStyle name="40% - Accent2 2 3 3 3 2" xfId="13823" xr:uid="{4EDE9108-8072-493E-8DA0-60FD869C7469}"/>
    <cellStyle name="40% - Accent2 2 3 3 4" xfId="9605" xr:uid="{CAAF3E83-CFC1-4C86-BEC6-1DC899D23C7C}"/>
    <cellStyle name="40% - Accent2 2 3 4" xfId="1498" xr:uid="{00000000-0005-0000-0000-000094040000}"/>
    <cellStyle name="40% - Accent2 2 3 4 2" xfId="3728" xr:uid="{00000000-0005-0000-0000-000095040000}"/>
    <cellStyle name="40% - Accent2 2 3 4 2 2" xfId="7952" xr:uid="{00000000-0005-0000-0000-000096040000}"/>
    <cellStyle name="40% - Accent2 2 3 4 2 2 2" xfId="16381" xr:uid="{1079C591-8B5B-44D1-8AC2-49FB24B78A06}"/>
    <cellStyle name="40% - Accent2 2 3 4 2 3" xfId="12163" xr:uid="{39B6D9BA-2C97-466A-A718-3CEFB95100AA}"/>
    <cellStyle name="40% - Accent2 2 3 4 3" xfId="5807" xr:uid="{00000000-0005-0000-0000-000097040000}"/>
    <cellStyle name="40% - Accent2 2 3 4 3 2" xfId="14236" xr:uid="{8CAED5A7-5C21-4BF7-87D0-557793E8D242}"/>
    <cellStyle name="40% - Accent2 2 3 4 4" xfId="10018" xr:uid="{6D5BE498-D03F-4925-AC71-FF2C00F512F1}"/>
    <cellStyle name="40% - Accent2 2 3 5" xfId="1912" xr:uid="{00000000-0005-0000-0000-000098040000}"/>
    <cellStyle name="40% - Accent2 2 3 5 2" xfId="4141" xr:uid="{00000000-0005-0000-0000-000099040000}"/>
    <cellStyle name="40% - Accent2 2 3 5 2 2" xfId="8365" xr:uid="{00000000-0005-0000-0000-00009A040000}"/>
    <cellStyle name="40% - Accent2 2 3 5 2 2 2" xfId="16794" xr:uid="{63175C6F-A874-4ED7-8879-A3C4CD8E5F63}"/>
    <cellStyle name="40% - Accent2 2 3 5 2 3" xfId="12576" xr:uid="{D49F464F-3ED3-4828-8410-6281D9965AD5}"/>
    <cellStyle name="40% - Accent2 2 3 5 3" xfId="6220" xr:uid="{00000000-0005-0000-0000-00009B040000}"/>
    <cellStyle name="40% - Accent2 2 3 5 3 2" xfId="14649" xr:uid="{86C09FB6-0071-4431-9EFE-CD93D95F2DF1}"/>
    <cellStyle name="40% - Accent2 2 3 5 4" xfId="10431" xr:uid="{0B8151F3-D8ED-4348-912D-0B3DC07494F7}"/>
    <cellStyle name="40% - Accent2 2 3 6" xfId="2325" xr:uid="{00000000-0005-0000-0000-00009C040000}"/>
    <cellStyle name="40% - Accent2 2 3 6 2" xfId="6633" xr:uid="{00000000-0005-0000-0000-00009D040000}"/>
    <cellStyle name="40% - Accent2 2 3 6 2 2" xfId="15062" xr:uid="{E2D5C9EF-4FE2-4D35-9A74-4BD6AF3D0D29}"/>
    <cellStyle name="40% - Accent2 2 3 6 3" xfId="10844" xr:uid="{627EDD3E-C55A-4915-B9F2-CE50A68D6BCC}"/>
    <cellStyle name="40% - Accent2 2 3 7" xfId="4567" xr:uid="{00000000-0005-0000-0000-00009E040000}"/>
    <cellStyle name="40% - Accent2 2 3 7 2" xfId="12996" xr:uid="{D27B0FE8-6972-4CAC-9C85-1E3B26955BF8}"/>
    <cellStyle name="40% - Accent2 2 3 8" xfId="8778" xr:uid="{FF795BBE-5F55-43EE-A09C-B0EF77652377}"/>
    <cellStyle name="40% - Accent2 2 4" xfId="628" xr:uid="{00000000-0005-0000-0000-00009F040000}"/>
    <cellStyle name="40% - Accent2 2 4 2" xfId="2899" xr:uid="{00000000-0005-0000-0000-0000A0040000}"/>
    <cellStyle name="40% - Accent2 2 4 2 2" xfId="7123" xr:uid="{00000000-0005-0000-0000-0000A1040000}"/>
    <cellStyle name="40% - Accent2 2 4 2 2 2" xfId="15552" xr:uid="{477A8297-8D3E-4F46-9931-5A92BF8C3FAC}"/>
    <cellStyle name="40% - Accent2 2 4 2 3" xfId="11334" xr:uid="{BD4D70F1-991C-4A04-8BEE-93D9AF1E2718}"/>
    <cellStyle name="40% - Accent2 2 4 3" xfId="4978" xr:uid="{00000000-0005-0000-0000-0000A2040000}"/>
    <cellStyle name="40% - Accent2 2 4 3 2" xfId="13407" xr:uid="{91059D65-9210-42E4-A0C0-F1BEDFEC66C5}"/>
    <cellStyle name="40% - Accent2 2 4 4" xfId="9189" xr:uid="{015D05A4-F8BE-423D-8C5D-A386F2ABA222}"/>
    <cellStyle name="40% - Accent2 2 5" xfId="1081" xr:uid="{00000000-0005-0000-0000-0000A3040000}"/>
    <cellStyle name="40% - Accent2 2 5 2" xfId="3312" xr:uid="{00000000-0005-0000-0000-0000A4040000}"/>
    <cellStyle name="40% - Accent2 2 5 2 2" xfId="7536" xr:uid="{00000000-0005-0000-0000-0000A5040000}"/>
    <cellStyle name="40% - Accent2 2 5 2 2 2" xfId="15965" xr:uid="{A2013819-3AE5-469D-8E74-D4FA1C731802}"/>
    <cellStyle name="40% - Accent2 2 5 2 3" xfId="11747" xr:uid="{2A97180B-BFAE-4BEA-AD7B-FF33F3F1EA35}"/>
    <cellStyle name="40% - Accent2 2 5 3" xfId="5391" xr:uid="{00000000-0005-0000-0000-0000A6040000}"/>
    <cellStyle name="40% - Accent2 2 5 3 2" xfId="13820" xr:uid="{A96D3736-2BC8-4DAC-8C41-C9E64BE6521A}"/>
    <cellStyle name="40% - Accent2 2 5 4" xfId="9602" xr:uid="{2F5BD3CF-D6E1-4719-8A40-75357EED7D8E}"/>
    <cellStyle name="40% - Accent2 2 6" xfId="1495" xr:uid="{00000000-0005-0000-0000-0000A7040000}"/>
    <cellStyle name="40% - Accent2 2 6 2" xfId="3725" xr:uid="{00000000-0005-0000-0000-0000A8040000}"/>
    <cellStyle name="40% - Accent2 2 6 2 2" xfId="7949" xr:uid="{00000000-0005-0000-0000-0000A9040000}"/>
    <cellStyle name="40% - Accent2 2 6 2 2 2" xfId="16378" xr:uid="{7937A679-9BFA-4AE6-8D99-592A7D8729B8}"/>
    <cellStyle name="40% - Accent2 2 6 2 3" xfId="12160" xr:uid="{4F4A2523-7012-4B88-B701-FFE99263192A}"/>
    <cellStyle name="40% - Accent2 2 6 3" xfId="5804" xr:uid="{00000000-0005-0000-0000-0000AA040000}"/>
    <cellStyle name="40% - Accent2 2 6 3 2" xfId="14233" xr:uid="{629DE157-BA5F-4DC9-AEC7-821E98155FF3}"/>
    <cellStyle name="40% - Accent2 2 6 4" xfId="10015" xr:uid="{676120E1-6B18-4421-AFD2-2464A9B21D57}"/>
    <cellStyle name="40% - Accent2 2 7" xfId="1909" xr:uid="{00000000-0005-0000-0000-0000AB040000}"/>
    <cellStyle name="40% - Accent2 2 7 2" xfId="4138" xr:uid="{00000000-0005-0000-0000-0000AC040000}"/>
    <cellStyle name="40% - Accent2 2 7 2 2" xfId="8362" xr:uid="{00000000-0005-0000-0000-0000AD040000}"/>
    <cellStyle name="40% - Accent2 2 7 2 2 2" xfId="16791" xr:uid="{2B72AB6E-E8A6-434D-B077-249E410EA2BD}"/>
    <cellStyle name="40% - Accent2 2 7 2 3" xfId="12573" xr:uid="{9F636816-1AD6-4711-976C-FBD3F38D3967}"/>
    <cellStyle name="40% - Accent2 2 7 3" xfId="6217" xr:uid="{00000000-0005-0000-0000-0000AE040000}"/>
    <cellStyle name="40% - Accent2 2 7 3 2" xfId="14646" xr:uid="{49365D7C-4BDE-493E-A039-15E7EF0E0FA4}"/>
    <cellStyle name="40% - Accent2 2 7 4" xfId="10428" xr:uid="{FD2B4345-E5D1-4831-982E-FE94D13CFB16}"/>
    <cellStyle name="40% - Accent2 2 8" xfId="2322" xr:uid="{00000000-0005-0000-0000-0000AF040000}"/>
    <cellStyle name="40% - Accent2 2 8 2" xfId="6630" xr:uid="{00000000-0005-0000-0000-0000B0040000}"/>
    <cellStyle name="40% - Accent2 2 8 2 2" xfId="15059" xr:uid="{73D2B755-2C4A-440E-8541-A70212D60967}"/>
    <cellStyle name="40% - Accent2 2 8 3" xfId="10841" xr:uid="{C6BD5B29-67F5-4759-A6E9-C03819DB86A0}"/>
    <cellStyle name="40% - Accent2 2 9" xfId="4564" xr:uid="{00000000-0005-0000-0000-0000B1040000}"/>
    <cellStyle name="40% - Accent2 2 9 2" xfId="12993" xr:uid="{980A52FB-CFB3-4A2F-85EF-31A09EF3D299}"/>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2 2 2" xfId="15557" xr:uid="{E2BDA986-3EAF-4619-B5C0-A33F3CDF325E}"/>
    <cellStyle name="40% - Accent2 3 2 2 2 3" xfId="11339" xr:uid="{23EBB07C-FD8F-475B-8C58-0A8A17E77FBE}"/>
    <cellStyle name="40% - Accent2 3 2 2 3" xfId="4983" xr:uid="{00000000-0005-0000-0000-0000B7040000}"/>
    <cellStyle name="40% - Accent2 3 2 2 3 2" xfId="13412" xr:uid="{C6CB86A8-59FB-457E-8EBE-E3C43C761E04}"/>
    <cellStyle name="40% - Accent2 3 2 2 4" xfId="9194" xr:uid="{C782A958-2605-4D0A-A961-85B66EF1921C}"/>
    <cellStyle name="40% - Accent2 3 2 3" xfId="1086" xr:uid="{00000000-0005-0000-0000-0000B8040000}"/>
    <cellStyle name="40% - Accent2 3 2 3 2" xfId="3317" xr:uid="{00000000-0005-0000-0000-0000B9040000}"/>
    <cellStyle name="40% - Accent2 3 2 3 2 2" xfId="7541" xr:uid="{00000000-0005-0000-0000-0000BA040000}"/>
    <cellStyle name="40% - Accent2 3 2 3 2 2 2" xfId="15970" xr:uid="{E0CF4DE4-0515-41DA-B403-8598F8DB74C7}"/>
    <cellStyle name="40% - Accent2 3 2 3 2 3" xfId="11752" xr:uid="{58ECD11F-9E8E-4BB6-99CE-D763EF0E0D26}"/>
    <cellStyle name="40% - Accent2 3 2 3 3" xfId="5396" xr:uid="{00000000-0005-0000-0000-0000BB040000}"/>
    <cellStyle name="40% - Accent2 3 2 3 3 2" xfId="13825" xr:uid="{4D89E4F5-3B31-4037-96EA-56F36EF486B3}"/>
    <cellStyle name="40% - Accent2 3 2 3 4" xfId="9607" xr:uid="{3AFC5131-E833-4840-9D37-A7BDF316A959}"/>
    <cellStyle name="40% - Accent2 3 2 4" xfId="1500" xr:uid="{00000000-0005-0000-0000-0000BC040000}"/>
    <cellStyle name="40% - Accent2 3 2 4 2" xfId="3730" xr:uid="{00000000-0005-0000-0000-0000BD040000}"/>
    <cellStyle name="40% - Accent2 3 2 4 2 2" xfId="7954" xr:uid="{00000000-0005-0000-0000-0000BE040000}"/>
    <cellStyle name="40% - Accent2 3 2 4 2 2 2" xfId="16383" xr:uid="{12B6C036-C7C4-47D9-BC49-A97A3ECAADBD}"/>
    <cellStyle name="40% - Accent2 3 2 4 2 3" xfId="12165" xr:uid="{71EA1B17-B1AA-4092-B858-7640DA75A3E1}"/>
    <cellStyle name="40% - Accent2 3 2 4 3" xfId="5809" xr:uid="{00000000-0005-0000-0000-0000BF040000}"/>
    <cellStyle name="40% - Accent2 3 2 4 3 2" xfId="14238" xr:uid="{27D30222-D96D-40DF-89FF-F8CBB3D8137C}"/>
    <cellStyle name="40% - Accent2 3 2 4 4" xfId="10020" xr:uid="{5317F19F-D121-42E6-8499-9C545372E949}"/>
    <cellStyle name="40% - Accent2 3 2 5" xfId="1914" xr:uid="{00000000-0005-0000-0000-0000C0040000}"/>
    <cellStyle name="40% - Accent2 3 2 5 2" xfId="4143" xr:uid="{00000000-0005-0000-0000-0000C1040000}"/>
    <cellStyle name="40% - Accent2 3 2 5 2 2" xfId="8367" xr:uid="{00000000-0005-0000-0000-0000C2040000}"/>
    <cellStyle name="40% - Accent2 3 2 5 2 2 2" xfId="16796" xr:uid="{728BB993-958F-41CD-B24B-6B68393A3861}"/>
    <cellStyle name="40% - Accent2 3 2 5 2 3" xfId="12578" xr:uid="{25E40FE2-265E-4702-9BCA-80EB3DC91D02}"/>
    <cellStyle name="40% - Accent2 3 2 5 3" xfId="6222" xr:uid="{00000000-0005-0000-0000-0000C3040000}"/>
    <cellStyle name="40% - Accent2 3 2 5 3 2" xfId="14651" xr:uid="{C4921EA6-4E55-4462-993D-5FCBAEABD4EA}"/>
    <cellStyle name="40% - Accent2 3 2 5 4" xfId="10433" xr:uid="{ACD257E6-B273-4CCF-89B8-2843BB930E15}"/>
    <cellStyle name="40% - Accent2 3 2 6" xfId="2327" xr:uid="{00000000-0005-0000-0000-0000C4040000}"/>
    <cellStyle name="40% - Accent2 3 2 6 2" xfId="6635" xr:uid="{00000000-0005-0000-0000-0000C5040000}"/>
    <cellStyle name="40% - Accent2 3 2 6 2 2" xfId="15064" xr:uid="{39C7A5E9-9136-43CE-B979-C938962C5F2C}"/>
    <cellStyle name="40% - Accent2 3 2 6 3" xfId="10846" xr:uid="{161CA087-6B27-43E1-93C2-124021A0C8C1}"/>
    <cellStyle name="40% - Accent2 3 2 7" xfId="4569" xr:uid="{00000000-0005-0000-0000-0000C6040000}"/>
    <cellStyle name="40% - Accent2 3 2 7 2" xfId="12998" xr:uid="{BF7D6F67-A44F-4B33-AF47-38B090FEDC49}"/>
    <cellStyle name="40% - Accent2 3 2 8" xfId="8780" xr:uid="{22F7AF34-58FB-436A-BB79-219538D61833}"/>
    <cellStyle name="40% - Accent2 3 3" xfId="632" xr:uid="{00000000-0005-0000-0000-0000C7040000}"/>
    <cellStyle name="40% - Accent2 3 3 2" xfId="2903" xr:uid="{00000000-0005-0000-0000-0000C8040000}"/>
    <cellStyle name="40% - Accent2 3 3 2 2" xfId="7127" xr:uid="{00000000-0005-0000-0000-0000C9040000}"/>
    <cellStyle name="40% - Accent2 3 3 2 2 2" xfId="15556" xr:uid="{4079CAC2-5D21-4B40-8024-599217B1C7CC}"/>
    <cellStyle name="40% - Accent2 3 3 2 3" xfId="11338" xr:uid="{56470EF5-5451-4A04-B905-B0D07794D83B}"/>
    <cellStyle name="40% - Accent2 3 3 3" xfId="4982" xr:uid="{00000000-0005-0000-0000-0000CA040000}"/>
    <cellStyle name="40% - Accent2 3 3 3 2" xfId="13411" xr:uid="{69B6F388-E030-44BB-A0B3-A9452AA6EF7C}"/>
    <cellStyle name="40% - Accent2 3 3 4" xfId="9193" xr:uid="{CB0342F2-5250-4F55-B6EE-285A3E34C7DE}"/>
    <cellStyle name="40% - Accent2 3 4" xfId="1085" xr:uid="{00000000-0005-0000-0000-0000CB040000}"/>
    <cellStyle name="40% - Accent2 3 4 2" xfId="3316" xr:uid="{00000000-0005-0000-0000-0000CC040000}"/>
    <cellStyle name="40% - Accent2 3 4 2 2" xfId="7540" xr:uid="{00000000-0005-0000-0000-0000CD040000}"/>
    <cellStyle name="40% - Accent2 3 4 2 2 2" xfId="15969" xr:uid="{846A4484-E89B-4C3A-AC5C-0C530054FB6B}"/>
    <cellStyle name="40% - Accent2 3 4 2 3" xfId="11751" xr:uid="{606D33F2-F75B-4482-BCC8-9A017174151F}"/>
    <cellStyle name="40% - Accent2 3 4 3" xfId="5395" xr:uid="{00000000-0005-0000-0000-0000CE040000}"/>
    <cellStyle name="40% - Accent2 3 4 3 2" xfId="13824" xr:uid="{1A8F890C-E908-481C-B524-C24052ED00F5}"/>
    <cellStyle name="40% - Accent2 3 4 4" xfId="9606" xr:uid="{2DB2059A-5726-4DA2-BB96-8532803E8E3F}"/>
    <cellStyle name="40% - Accent2 3 5" xfId="1499" xr:uid="{00000000-0005-0000-0000-0000CF040000}"/>
    <cellStyle name="40% - Accent2 3 5 2" xfId="3729" xr:uid="{00000000-0005-0000-0000-0000D0040000}"/>
    <cellStyle name="40% - Accent2 3 5 2 2" xfId="7953" xr:uid="{00000000-0005-0000-0000-0000D1040000}"/>
    <cellStyle name="40% - Accent2 3 5 2 2 2" xfId="16382" xr:uid="{BEE7004B-7033-4037-B40E-A95BDF77B884}"/>
    <cellStyle name="40% - Accent2 3 5 2 3" xfId="12164" xr:uid="{2D30284F-8D31-4E65-B784-6FCCE687C808}"/>
    <cellStyle name="40% - Accent2 3 5 3" xfId="5808" xr:uid="{00000000-0005-0000-0000-0000D2040000}"/>
    <cellStyle name="40% - Accent2 3 5 3 2" xfId="14237" xr:uid="{6C10EAAB-E674-4042-8EE1-1D315B2BAD27}"/>
    <cellStyle name="40% - Accent2 3 5 4" xfId="10019" xr:uid="{4F5A5853-D9FB-45E3-91D9-D4D7881A21CE}"/>
    <cellStyle name="40% - Accent2 3 6" xfId="1913" xr:uid="{00000000-0005-0000-0000-0000D3040000}"/>
    <cellStyle name="40% - Accent2 3 6 2" xfId="4142" xr:uid="{00000000-0005-0000-0000-0000D4040000}"/>
    <cellStyle name="40% - Accent2 3 6 2 2" xfId="8366" xr:uid="{00000000-0005-0000-0000-0000D5040000}"/>
    <cellStyle name="40% - Accent2 3 6 2 2 2" xfId="16795" xr:uid="{A22A1D10-5C75-4832-BDC7-E0C9CA5579CA}"/>
    <cellStyle name="40% - Accent2 3 6 2 3" xfId="12577" xr:uid="{35F26428-4742-455D-A0E0-9FEEFEC22D3C}"/>
    <cellStyle name="40% - Accent2 3 6 3" xfId="6221" xr:uid="{00000000-0005-0000-0000-0000D6040000}"/>
    <cellStyle name="40% - Accent2 3 6 3 2" xfId="14650" xr:uid="{E9155AC4-D21C-4254-BE85-8443EF967EA8}"/>
    <cellStyle name="40% - Accent2 3 6 4" xfId="10432" xr:uid="{26670C91-745B-40AE-BB08-9B91CE9FACC6}"/>
    <cellStyle name="40% - Accent2 3 7" xfId="2326" xr:uid="{00000000-0005-0000-0000-0000D7040000}"/>
    <cellStyle name="40% - Accent2 3 7 2" xfId="6634" xr:uid="{00000000-0005-0000-0000-0000D8040000}"/>
    <cellStyle name="40% - Accent2 3 7 2 2" xfId="15063" xr:uid="{D8437CA5-294F-4BCA-ACBE-0DDE34E9EA84}"/>
    <cellStyle name="40% - Accent2 3 7 3" xfId="10845" xr:uid="{E03737C2-3161-427E-A889-FD0539E19267}"/>
    <cellStyle name="40% - Accent2 3 8" xfId="4568" xr:uid="{00000000-0005-0000-0000-0000D9040000}"/>
    <cellStyle name="40% - Accent2 3 8 2" xfId="12997" xr:uid="{9E62CDEE-B1E5-4329-9F5A-30B30A1BAE7E}"/>
    <cellStyle name="40% - Accent2 3 9" xfId="8779" xr:uid="{AC815933-0204-40B3-A8E9-412984C98C92}"/>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2 2 2" xfId="15558" xr:uid="{98AF6091-7034-433C-8EF2-15A2B97DD284}"/>
    <cellStyle name="40% - Accent2 4 2 2 3" xfId="11340" xr:uid="{DDB6DE0E-6DA4-4942-B342-FF6E94748D6F}"/>
    <cellStyle name="40% - Accent2 4 2 3" xfId="4984" xr:uid="{00000000-0005-0000-0000-0000DE040000}"/>
    <cellStyle name="40% - Accent2 4 2 3 2" xfId="13413" xr:uid="{132D9E6E-A880-459E-B459-7F2BC2FB9A3B}"/>
    <cellStyle name="40% - Accent2 4 2 4" xfId="9195" xr:uid="{14E46095-E0EB-47AC-B291-C01063C38CAB}"/>
    <cellStyle name="40% - Accent2 4 3" xfId="1087" xr:uid="{00000000-0005-0000-0000-0000DF040000}"/>
    <cellStyle name="40% - Accent2 4 3 2" xfId="3318" xr:uid="{00000000-0005-0000-0000-0000E0040000}"/>
    <cellStyle name="40% - Accent2 4 3 2 2" xfId="7542" xr:uid="{00000000-0005-0000-0000-0000E1040000}"/>
    <cellStyle name="40% - Accent2 4 3 2 2 2" xfId="15971" xr:uid="{65B9F493-01E7-41A4-B885-871BAB844216}"/>
    <cellStyle name="40% - Accent2 4 3 2 3" xfId="11753" xr:uid="{D76E8931-616B-45CB-913A-406CA44ED40A}"/>
    <cellStyle name="40% - Accent2 4 3 3" xfId="5397" xr:uid="{00000000-0005-0000-0000-0000E2040000}"/>
    <cellStyle name="40% - Accent2 4 3 3 2" xfId="13826" xr:uid="{62F743B3-9325-4EFD-A52D-2C67C5AE60A5}"/>
    <cellStyle name="40% - Accent2 4 3 4" xfId="9608" xr:uid="{6FE26A92-9365-435D-9A9E-C65EED4241CC}"/>
    <cellStyle name="40% - Accent2 4 4" xfId="1501" xr:uid="{00000000-0005-0000-0000-0000E3040000}"/>
    <cellStyle name="40% - Accent2 4 4 2" xfId="3731" xr:uid="{00000000-0005-0000-0000-0000E4040000}"/>
    <cellStyle name="40% - Accent2 4 4 2 2" xfId="7955" xr:uid="{00000000-0005-0000-0000-0000E5040000}"/>
    <cellStyle name="40% - Accent2 4 4 2 2 2" xfId="16384" xr:uid="{0AE663E2-0664-4C7F-A73D-AAC0DED134A6}"/>
    <cellStyle name="40% - Accent2 4 4 2 3" xfId="12166" xr:uid="{44F9500D-64AF-45CF-A8B8-E79766E137B7}"/>
    <cellStyle name="40% - Accent2 4 4 3" xfId="5810" xr:uid="{00000000-0005-0000-0000-0000E6040000}"/>
    <cellStyle name="40% - Accent2 4 4 3 2" xfId="14239" xr:uid="{DD333DDD-AAB2-4F56-A055-4835585D860F}"/>
    <cellStyle name="40% - Accent2 4 4 4" xfId="10021" xr:uid="{3FB07B84-08E4-47A0-8D4F-70DACBDD2410}"/>
    <cellStyle name="40% - Accent2 4 5" xfId="1915" xr:uid="{00000000-0005-0000-0000-0000E7040000}"/>
    <cellStyle name="40% - Accent2 4 5 2" xfId="4144" xr:uid="{00000000-0005-0000-0000-0000E8040000}"/>
    <cellStyle name="40% - Accent2 4 5 2 2" xfId="8368" xr:uid="{00000000-0005-0000-0000-0000E9040000}"/>
    <cellStyle name="40% - Accent2 4 5 2 2 2" xfId="16797" xr:uid="{A6047CE4-D61F-4B02-A9B4-99DAB49817E1}"/>
    <cellStyle name="40% - Accent2 4 5 2 3" xfId="12579" xr:uid="{9D3E85E4-73E4-4286-9402-8057C871B185}"/>
    <cellStyle name="40% - Accent2 4 5 3" xfId="6223" xr:uid="{00000000-0005-0000-0000-0000EA040000}"/>
    <cellStyle name="40% - Accent2 4 5 3 2" xfId="14652" xr:uid="{231478DF-23F3-4704-8232-382A5914BA99}"/>
    <cellStyle name="40% - Accent2 4 5 4" xfId="10434" xr:uid="{3D3EB667-73E4-47D5-A4C2-2B20F719CE56}"/>
    <cellStyle name="40% - Accent2 4 6" xfId="2328" xr:uid="{00000000-0005-0000-0000-0000EB040000}"/>
    <cellStyle name="40% - Accent2 4 6 2" xfId="6636" xr:uid="{00000000-0005-0000-0000-0000EC040000}"/>
    <cellStyle name="40% - Accent2 4 6 2 2" xfId="15065" xr:uid="{2ADEDFBB-DA25-439C-92B7-F31E2F3245DE}"/>
    <cellStyle name="40% - Accent2 4 6 3" xfId="10847" xr:uid="{C0D60B36-380A-49E4-935F-ACADA39C91CE}"/>
    <cellStyle name="40% - Accent2 4 7" xfId="4570" xr:uid="{00000000-0005-0000-0000-0000ED040000}"/>
    <cellStyle name="40% - Accent2 4 7 2" xfId="12999" xr:uid="{8E042033-A126-4A7E-A132-A93709ECA129}"/>
    <cellStyle name="40% - Accent2 4 8" xfId="8781" xr:uid="{74200CE0-E75D-4D83-924F-943E8E93E601}"/>
    <cellStyle name="40% - Accent2 5" xfId="627" xr:uid="{00000000-0005-0000-0000-0000EE040000}"/>
    <cellStyle name="40% - Accent2 5 2" xfId="2898" xr:uid="{00000000-0005-0000-0000-0000EF040000}"/>
    <cellStyle name="40% - Accent2 5 2 2" xfId="7122" xr:uid="{00000000-0005-0000-0000-0000F0040000}"/>
    <cellStyle name="40% - Accent2 5 2 2 2" xfId="15551" xr:uid="{11FFA726-4740-4802-9E5F-F7135CDA5D0B}"/>
    <cellStyle name="40% - Accent2 5 2 3" xfId="11333" xr:uid="{5A37CDB2-43A9-4D60-8454-7F758F2B507D}"/>
    <cellStyle name="40% - Accent2 5 3" xfId="4977" xr:uid="{00000000-0005-0000-0000-0000F1040000}"/>
    <cellStyle name="40% - Accent2 5 3 2" xfId="13406" xr:uid="{8ED59E18-70DF-4F8D-8BDF-AFC4459C6B1C}"/>
    <cellStyle name="40% - Accent2 5 4" xfId="9188" xr:uid="{44E6DEC4-12C9-4449-BCE5-E97B9BA87FA7}"/>
    <cellStyle name="40% - Accent2 6" xfId="1080" xr:uid="{00000000-0005-0000-0000-0000F2040000}"/>
    <cellStyle name="40% - Accent2 6 2" xfId="3311" xr:uid="{00000000-0005-0000-0000-0000F3040000}"/>
    <cellStyle name="40% - Accent2 6 2 2" xfId="7535" xr:uid="{00000000-0005-0000-0000-0000F4040000}"/>
    <cellStyle name="40% - Accent2 6 2 2 2" xfId="15964" xr:uid="{75C816BA-492C-4F58-9BD4-731351CB8CFC}"/>
    <cellStyle name="40% - Accent2 6 2 3" xfId="11746" xr:uid="{90B37378-4F24-4EB3-B799-66CFECB220D2}"/>
    <cellStyle name="40% - Accent2 6 3" xfId="5390" xr:uid="{00000000-0005-0000-0000-0000F5040000}"/>
    <cellStyle name="40% - Accent2 6 3 2" xfId="13819" xr:uid="{455F50A4-34C0-4B9D-A0A9-061EF61487FA}"/>
    <cellStyle name="40% - Accent2 6 4" xfId="9601" xr:uid="{3693BC83-7DC4-4933-A684-7416E92993B4}"/>
    <cellStyle name="40% - Accent2 7" xfId="1494" xr:uid="{00000000-0005-0000-0000-0000F6040000}"/>
    <cellStyle name="40% - Accent2 7 2" xfId="3724" xr:uid="{00000000-0005-0000-0000-0000F7040000}"/>
    <cellStyle name="40% - Accent2 7 2 2" xfId="7948" xr:uid="{00000000-0005-0000-0000-0000F8040000}"/>
    <cellStyle name="40% - Accent2 7 2 2 2" xfId="16377" xr:uid="{A9E47C35-3CC2-4DC8-8622-31CA56BC5938}"/>
    <cellStyle name="40% - Accent2 7 2 3" xfId="12159" xr:uid="{0CF93A48-9342-4009-B21F-749CD99FDC41}"/>
    <cellStyle name="40% - Accent2 7 3" xfId="5803" xr:uid="{00000000-0005-0000-0000-0000F9040000}"/>
    <cellStyle name="40% - Accent2 7 3 2" xfId="14232" xr:uid="{C07F0952-12B4-4104-9F05-B9F6FB204E0A}"/>
    <cellStyle name="40% - Accent2 7 4" xfId="10014" xr:uid="{7693EB64-EA28-486E-8C68-AEF588B879C0}"/>
    <cellStyle name="40% - Accent2 8" xfId="1908" xr:uid="{00000000-0005-0000-0000-0000FA040000}"/>
    <cellStyle name="40% - Accent2 8 2" xfId="4137" xr:uid="{00000000-0005-0000-0000-0000FB040000}"/>
    <cellStyle name="40% - Accent2 8 2 2" xfId="8361" xr:uid="{00000000-0005-0000-0000-0000FC040000}"/>
    <cellStyle name="40% - Accent2 8 2 2 2" xfId="16790" xr:uid="{780603E3-FBBE-4893-8DF8-236B3F5F593D}"/>
    <cellStyle name="40% - Accent2 8 2 3" xfId="12572" xr:uid="{D671A336-537E-4470-ACA7-C781A6FF3A70}"/>
    <cellStyle name="40% - Accent2 8 3" xfId="6216" xr:uid="{00000000-0005-0000-0000-0000FD040000}"/>
    <cellStyle name="40% - Accent2 8 3 2" xfId="14645" xr:uid="{C9E8D992-7BBD-4D15-BC1E-985F5F8BE5E8}"/>
    <cellStyle name="40% - Accent2 8 4" xfId="10427" xr:uid="{D2814998-75B0-4B0C-BC02-2F07BA7C2DC0}"/>
    <cellStyle name="40% - Accent2 9" xfId="2321" xr:uid="{00000000-0005-0000-0000-0000FE040000}"/>
    <cellStyle name="40% - Accent2 9 2" xfId="6629" xr:uid="{00000000-0005-0000-0000-0000FF040000}"/>
    <cellStyle name="40% - Accent2 9 2 2" xfId="15058" xr:uid="{EB103F4E-A154-4BC6-8A27-95C8D3BADD5B}"/>
    <cellStyle name="40% - Accent2 9 3" xfId="10840" xr:uid="{42A26BD6-CF08-43A7-82E5-66EF8C12F58E}"/>
    <cellStyle name="40% - Accent3" xfId="65" builtinId="39" customBuiltin="1"/>
    <cellStyle name="40% - Accent3 10" xfId="4571" xr:uid="{00000000-0005-0000-0000-000001050000}"/>
    <cellStyle name="40% - Accent3 10 2" xfId="13000" xr:uid="{919EA08D-6447-4B8E-8963-A14C2F071211}"/>
    <cellStyle name="40% - Accent3 11" xfId="8782" xr:uid="{712E14DC-64E0-4FAB-91F1-A0B1FB77A33A}"/>
    <cellStyle name="40% - Accent3 2" xfId="66" xr:uid="{00000000-0005-0000-0000-000002050000}"/>
    <cellStyle name="40% - Accent3 2 10" xfId="8783" xr:uid="{A929441E-2282-43A3-9ACE-2C7F931A98B5}"/>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2 2 2" xfId="15562" xr:uid="{FC9A8DC2-16CD-42FD-88FB-36690BF1EE2C}"/>
    <cellStyle name="40% - Accent3 2 2 2 2 2 3" xfId="11344" xr:uid="{E76990E2-48D3-4C50-AC1E-67E823E1707E}"/>
    <cellStyle name="40% - Accent3 2 2 2 2 3" xfId="4988" xr:uid="{00000000-0005-0000-0000-000008050000}"/>
    <cellStyle name="40% - Accent3 2 2 2 2 3 2" xfId="13417" xr:uid="{1B7E8A73-C4EA-425C-A57D-3C93D68F20BE}"/>
    <cellStyle name="40% - Accent3 2 2 2 2 4" xfId="9199" xr:uid="{40A6766C-2E32-4DFB-8D85-CDD493914FE8}"/>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2 2 2" xfId="15975" xr:uid="{281AB99C-46BD-4A48-908B-410989FCE67F}"/>
    <cellStyle name="40% - Accent3 2 2 2 3 2 3" xfId="11757" xr:uid="{D128237D-E81C-4574-ACB3-D6081536A85C}"/>
    <cellStyle name="40% - Accent3 2 2 2 3 3" xfId="5401" xr:uid="{00000000-0005-0000-0000-00000C050000}"/>
    <cellStyle name="40% - Accent3 2 2 2 3 3 2" xfId="13830" xr:uid="{483AC73C-83E6-47D8-908E-1E88D241CB63}"/>
    <cellStyle name="40% - Accent3 2 2 2 3 4" xfId="9612" xr:uid="{15644173-BF82-4AE4-8918-08EF78DD47ED}"/>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2 2 2" xfId="16388" xr:uid="{DAA92E23-A3E5-4AE5-93FA-88BEAA99B354}"/>
    <cellStyle name="40% - Accent3 2 2 2 4 2 3" xfId="12170" xr:uid="{95184CE2-8D05-47DE-A939-EDEA5DF76842}"/>
    <cellStyle name="40% - Accent3 2 2 2 4 3" xfId="5814" xr:uid="{00000000-0005-0000-0000-000010050000}"/>
    <cellStyle name="40% - Accent3 2 2 2 4 3 2" xfId="14243" xr:uid="{84BCE7A3-1898-4D4A-A008-A19BF72C14AC}"/>
    <cellStyle name="40% - Accent3 2 2 2 4 4" xfId="10025" xr:uid="{8E0E9EAA-24A0-484C-A807-101DC3C4BBDF}"/>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2 2 2" xfId="16801" xr:uid="{FE89D790-E90B-423B-8B6E-502DE1F61DFA}"/>
    <cellStyle name="40% - Accent3 2 2 2 5 2 3" xfId="12583" xr:uid="{03BC5020-B42B-464E-BF9D-7AA50A9B4DA0}"/>
    <cellStyle name="40% - Accent3 2 2 2 5 3" xfId="6227" xr:uid="{00000000-0005-0000-0000-000014050000}"/>
    <cellStyle name="40% - Accent3 2 2 2 5 3 2" xfId="14656" xr:uid="{B1C64094-652F-482D-B495-2B4961850508}"/>
    <cellStyle name="40% - Accent3 2 2 2 5 4" xfId="10438" xr:uid="{C060CA29-164A-4504-88F7-87A957E4DBC9}"/>
    <cellStyle name="40% - Accent3 2 2 2 6" xfId="2332" xr:uid="{00000000-0005-0000-0000-000015050000}"/>
    <cellStyle name="40% - Accent3 2 2 2 6 2" xfId="6640" xr:uid="{00000000-0005-0000-0000-000016050000}"/>
    <cellStyle name="40% - Accent3 2 2 2 6 2 2" xfId="15069" xr:uid="{6B4B5E42-25B5-48FD-8B09-687985202A63}"/>
    <cellStyle name="40% - Accent3 2 2 2 6 3" xfId="10851" xr:uid="{65191D99-ED2C-4A20-BA2E-5FF715085A14}"/>
    <cellStyle name="40% - Accent3 2 2 2 7" xfId="4574" xr:uid="{00000000-0005-0000-0000-000017050000}"/>
    <cellStyle name="40% - Accent3 2 2 2 7 2" xfId="13003" xr:uid="{9F1DFB0D-9F9B-4137-BECB-38928BCE463D}"/>
    <cellStyle name="40% - Accent3 2 2 2 8" xfId="8785" xr:uid="{7ED72CDB-A149-4968-ABAB-B958DC48CD4D}"/>
    <cellStyle name="40% - Accent3 2 2 3" xfId="637" xr:uid="{00000000-0005-0000-0000-000018050000}"/>
    <cellStyle name="40% - Accent3 2 2 3 2" xfId="2908" xr:uid="{00000000-0005-0000-0000-000019050000}"/>
    <cellStyle name="40% - Accent3 2 2 3 2 2" xfId="7132" xr:uid="{00000000-0005-0000-0000-00001A050000}"/>
    <cellStyle name="40% - Accent3 2 2 3 2 2 2" xfId="15561" xr:uid="{C4593403-1F98-4C8B-901F-792D5FF7CABD}"/>
    <cellStyle name="40% - Accent3 2 2 3 2 3" xfId="11343" xr:uid="{4A909B64-4F1B-48BB-AAC4-C59312426991}"/>
    <cellStyle name="40% - Accent3 2 2 3 3" xfId="4987" xr:uid="{00000000-0005-0000-0000-00001B050000}"/>
    <cellStyle name="40% - Accent3 2 2 3 3 2" xfId="13416" xr:uid="{B683C936-8666-4315-B7E9-9C0C400C70B3}"/>
    <cellStyle name="40% - Accent3 2 2 3 4" xfId="9198" xr:uid="{7997D28D-C193-4ABC-8D65-83952C7F61C9}"/>
    <cellStyle name="40% - Accent3 2 2 4" xfId="1090" xr:uid="{00000000-0005-0000-0000-00001C050000}"/>
    <cellStyle name="40% - Accent3 2 2 4 2" xfId="3321" xr:uid="{00000000-0005-0000-0000-00001D050000}"/>
    <cellStyle name="40% - Accent3 2 2 4 2 2" xfId="7545" xr:uid="{00000000-0005-0000-0000-00001E050000}"/>
    <cellStyle name="40% - Accent3 2 2 4 2 2 2" xfId="15974" xr:uid="{7C3F207D-CF3E-45E1-9FDE-07260EF79A79}"/>
    <cellStyle name="40% - Accent3 2 2 4 2 3" xfId="11756" xr:uid="{C66EDE51-2DE8-4860-8514-EF11832D3632}"/>
    <cellStyle name="40% - Accent3 2 2 4 3" xfId="5400" xr:uid="{00000000-0005-0000-0000-00001F050000}"/>
    <cellStyle name="40% - Accent3 2 2 4 3 2" xfId="13829" xr:uid="{DD04B8CE-C3AF-4FE3-B2F9-736815531A12}"/>
    <cellStyle name="40% - Accent3 2 2 4 4" xfId="9611" xr:uid="{5AF781CA-C002-4EC1-A693-7C1CFC82B540}"/>
    <cellStyle name="40% - Accent3 2 2 5" xfId="1504" xr:uid="{00000000-0005-0000-0000-000020050000}"/>
    <cellStyle name="40% - Accent3 2 2 5 2" xfId="3734" xr:uid="{00000000-0005-0000-0000-000021050000}"/>
    <cellStyle name="40% - Accent3 2 2 5 2 2" xfId="7958" xr:uid="{00000000-0005-0000-0000-000022050000}"/>
    <cellStyle name="40% - Accent3 2 2 5 2 2 2" xfId="16387" xr:uid="{AB47AA38-CB55-44BE-BFF9-6F075D8EE380}"/>
    <cellStyle name="40% - Accent3 2 2 5 2 3" xfId="12169" xr:uid="{8094FAAB-2D48-4AD5-B354-BA913BD33808}"/>
    <cellStyle name="40% - Accent3 2 2 5 3" xfId="5813" xr:uid="{00000000-0005-0000-0000-000023050000}"/>
    <cellStyle name="40% - Accent3 2 2 5 3 2" xfId="14242" xr:uid="{FE16D308-EDE7-4EA5-B7AA-7AAD42500067}"/>
    <cellStyle name="40% - Accent3 2 2 5 4" xfId="10024" xr:uid="{3556E3DE-22F0-418B-9BD4-ADA91F1E0C53}"/>
    <cellStyle name="40% - Accent3 2 2 6" xfId="1918" xr:uid="{00000000-0005-0000-0000-000024050000}"/>
    <cellStyle name="40% - Accent3 2 2 6 2" xfId="4147" xr:uid="{00000000-0005-0000-0000-000025050000}"/>
    <cellStyle name="40% - Accent3 2 2 6 2 2" xfId="8371" xr:uid="{00000000-0005-0000-0000-000026050000}"/>
    <cellStyle name="40% - Accent3 2 2 6 2 2 2" xfId="16800" xr:uid="{54BBFE76-9F40-4FA6-9597-CD49069EB385}"/>
    <cellStyle name="40% - Accent3 2 2 6 2 3" xfId="12582" xr:uid="{F655C8A7-2971-47D1-9274-52890016148A}"/>
    <cellStyle name="40% - Accent3 2 2 6 3" xfId="6226" xr:uid="{00000000-0005-0000-0000-000027050000}"/>
    <cellStyle name="40% - Accent3 2 2 6 3 2" xfId="14655" xr:uid="{62BFAA63-B72D-49AE-A36C-20CF83C7A07F}"/>
    <cellStyle name="40% - Accent3 2 2 6 4" xfId="10437" xr:uid="{8CED6D44-FBF0-4D2D-8DD7-9011FD6B494D}"/>
    <cellStyle name="40% - Accent3 2 2 7" xfId="2331" xr:uid="{00000000-0005-0000-0000-000028050000}"/>
    <cellStyle name="40% - Accent3 2 2 7 2" xfId="6639" xr:uid="{00000000-0005-0000-0000-000029050000}"/>
    <cellStyle name="40% - Accent3 2 2 7 2 2" xfId="15068" xr:uid="{68994C11-9D4D-4EB9-87AD-13CD253EC079}"/>
    <cellStyle name="40% - Accent3 2 2 7 3" xfId="10850" xr:uid="{4E890317-79B1-4FAA-B0FC-5C3DA93B9E92}"/>
    <cellStyle name="40% - Accent3 2 2 8" xfId="4573" xr:uid="{00000000-0005-0000-0000-00002A050000}"/>
    <cellStyle name="40% - Accent3 2 2 8 2" xfId="13002" xr:uid="{95FC7EE6-2F67-4BF9-8CFD-113F1390E552}"/>
    <cellStyle name="40% - Accent3 2 2 9" xfId="8784" xr:uid="{385FF5E7-F349-4BB1-BFA2-DB317CCB3365}"/>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2 2 2" xfId="15563" xr:uid="{4326B37D-002C-465F-8017-CFBE6B999266}"/>
    <cellStyle name="40% - Accent3 2 3 2 2 3" xfId="11345" xr:uid="{34106096-C5D9-4BD4-B00B-6C648448A2AD}"/>
    <cellStyle name="40% - Accent3 2 3 2 3" xfId="4989" xr:uid="{00000000-0005-0000-0000-00002F050000}"/>
    <cellStyle name="40% - Accent3 2 3 2 3 2" xfId="13418" xr:uid="{BBB5C6F0-05ED-46AB-9BB5-5B0B0BDA981E}"/>
    <cellStyle name="40% - Accent3 2 3 2 4" xfId="9200" xr:uid="{FB34A3EA-2833-4689-976B-C1A8B0C9ACA9}"/>
    <cellStyle name="40% - Accent3 2 3 3" xfId="1092" xr:uid="{00000000-0005-0000-0000-000030050000}"/>
    <cellStyle name="40% - Accent3 2 3 3 2" xfId="3323" xr:uid="{00000000-0005-0000-0000-000031050000}"/>
    <cellStyle name="40% - Accent3 2 3 3 2 2" xfId="7547" xr:uid="{00000000-0005-0000-0000-000032050000}"/>
    <cellStyle name="40% - Accent3 2 3 3 2 2 2" xfId="15976" xr:uid="{0CF089BF-3FC9-4770-8BA1-6FA9EEBCF854}"/>
    <cellStyle name="40% - Accent3 2 3 3 2 3" xfId="11758" xr:uid="{20D25DB8-7AE4-462A-A42C-0A562E154DF3}"/>
    <cellStyle name="40% - Accent3 2 3 3 3" xfId="5402" xr:uid="{00000000-0005-0000-0000-000033050000}"/>
    <cellStyle name="40% - Accent3 2 3 3 3 2" xfId="13831" xr:uid="{309D42BA-777D-47B9-A597-642ACF92795C}"/>
    <cellStyle name="40% - Accent3 2 3 3 4" xfId="9613" xr:uid="{8CA88C0D-3707-4E00-B7C0-1F310658F1AF}"/>
    <cellStyle name="40% - Accent3 2 3 4" xfId="1506" xr:uid="{00000000-0005-0000-0000-000034050000}"/>
    <cellStyle name="40% - Accent3 2 3 4 2" xfId="3736" xr:uid="{00000000-0005-0000-0000-000035050000}"/>
    <cellStyle name="40% - Accent3 2 3 4 2 2" xfId="7960" xr:uid="{00000000-0005-0000-0000-000036050000}"/>
    <cellStyle name="40% - Accent3 2 3 4 2 2 2" xfId="16389" xr:uid="{0551880A-442D-4205-9C15-966F28155D86}"/>
    <cellStyle name="40% - Accent3 2 3 4 2 3" xfId="12171" xr:uid="{A2869C9E-F958-46CE-BC9D-38F9F2CEA91D}"/>
    <cellStyle name="40% - Accent3 2 3 4 3" xfId="5815" xr:uid="{00000000-0005-0000-0000-000037050000}"/>
    <cellStyle name="40% - Accent3 2 3 4 3 2" xfId="14244" xr:uid="{9DD5D816-B839-4589-AFA3-139F9878213C}"/>
    <cellStyle name="40% - Accent3 2 3 4 4" xfId="10026" xr:uid="{140471AE-1B5E-41AE-9C75-4B194B00BAA3}"/>
    <cellStyle name="40% - Accent3 2 3 5" xfId="1920" xr:uid="{00000000-0005-0000-0000-000038050000}"/>
    <cellStyle name="40% - Accent3 2 3 5 2" xfId="4149" xr:uid="{00000000-0005-0000-0000-000039050000}"/>
    <cellStyle name="40% - Accent3 2 3 5 2 2" xfId="8373" xr:uid="{00000000-0005-0000-0000-00003A050000}"/>
    <cellStyle name="40% - Accent3 2 3 5 2 2 2" xfId="16802" xr:uid="{77ABF9BE-D1B8-446F-89D9-6DDCC5FA3AFF}"/>
    <cellStyle name="40% - Accent3 2 3 5 2 3" xfId="12584" xr:uid="{704F8BA4-2D2E-4845-8C15-759EDDCDDB61}"/>
    <cellStyle name="40% - Accent3 2 3 5 3" xfId="6228" xr:uid="{00000000-0005-0000-0000-00003B050000}"/>
    <cellStyle name="40% - Accent3 2 3 5 3 2" xfId="14657" xr:uid="{34908067-37C8-4E10-BEAC-7AA9EA9FB251}"/>
    <cellStyle name="40% - Accent3 2 3 5 4" xfId="10439" xr:uid="{82FB03AF-757C-4A73-A181-5DC49C039A64}"/>
    <cellStyle name="40% - Accent3 2 3 6" xfId="2333" xr:uid="{00000000-0005-0000-0000-00003C050000}"/>
    <cellStyle name="40% - Accent3 2 3 6 2" xfId="6641" xr:uid="{00000000-0005-0000-0000-00003D050000}"/>
    <cellStyle name="40% - Accent3 2 3 6 2 2" xfId="15070" xr:uid="{75359C98-A1B6-4436-82A4-B5D5011E0ED1}"/>
    <cellStyle name="40% - Accent3 2 3 6 3" xfId="10852" xr:uid="{1F5FE63C-A35C-4B28-9BFF-4670E2AA516C}"/>
    <cellStyle name="40% - Accent3 2 3 7" xfId="4575" xr:uid="{00000000-0005-0000-0000-00003E050000}"/>
    <cellStyle name="40% - Accent3 2 3 7 2" xfId="13004" xr:uid="{7ADAD8FB-C779-443C-A1E7-B32FE7F687A6}"/>
    <cellStyle name="40% - Accent3 2 3 8" xfId="8786" xr:uid="{B600975B-21E8-4A14-8F8B-E69DD5E04B30}"/>
    <cellStyle name="40% - Accent3 2 4" xfId="636" xr:uid="{00000000-0005-0000-0000-00003F050000}"/>
    <cellStyle name="40% - Accent3 2 4 2" xfId="2907" xr:uid="{00000000-0005-0000-0000-000040050000}"/>
    <cellStyle name="40% - Accent3 2 4 2 2" xfId="7131" xr:uid="{00000000-0005-0000-0000-000041050000}"/>
    <cellStyle name="40% - Accent3 2 4 2 2 2" xfId="15560" xr:uid="{25734BF4-9B08-4213-B492-FA8DFCB859DD}"/>
    <cellStyle name="40% - Accent3 2 4 2 3" xfId="11342" xr:uid="{AEFF0D5E-A232-4112-BF2F-16C62EC2F7B4}"/>
    <cellStyle name="40% - Accent3 2 4 3" xfId="4986" xr:uid="{00000000-0005-0000-0000-000042050000}"/>
    <cellStyle name="40% - Accent3 2 4 3 2" xfId="13415" xr:uid="{6105E6F6-C807-432D-B36A-6CFC6617FC50}"/>
    <cellStyle name="40% - Accent3 2 4 4" xfId="9197" xr:uid="{12C17ECE-0BDB-4D8A-8EDB-1EFED312E8EC}"/>
    <cellStyle name="40% - Accent3 2 5" xfId="1089" xr:uid="{00000000-0005-0000-0000-000043050000}"/>
    <cellStyle name="40% - Accent3 2 5 2" xfId="3320" xr:uid="{00000000-0005-0000-0000-000044050000}"/>
    <cellStyle name="40% - Accent3 2 5 2 2" xfId="7544" xr:uid="{00000000-0005-0000-0000-000045050000}"/>
    <cellStyle name="40% - Accent3 2 5 2 2 2" xfId="15973" xr:uid="{37BFF6CC-CB68-454B-9FAA-85CBC67E4EBC}"/>
    <cellStyle name="40% - Accent3 2 5 2 3" xfId="11755" xr:uid="{33BBBDFB-B9A4-4EC9-80E0-F1616BB32BEB}"/>
    <cellStyle name="40% - Accent3 2 5 3" xfId="5399" xr:uid="{00000000-0005-0000-0000-000046050000}"/>
    <cellStyle name="40% - Accent3 2 5 3 2" xfId="13828" xr:uid="{8473991E-8183-4D6C-BA1E-CBA44741F653}"/>
    <cellStyle name="40% - Accent3 2 5 4" xfId="9610" xr:uid="{A6B0383C-2F0E-4EFF-9173-54385A5EA4CD}"/>
    <cellStyle name="40% - Accent3 2 6" xfId="1503" xr:uid="{00000000-0005-0000-0000-000047050000}"/>
    <cellStyle name="40% - Accent3 2 6 2" xfId="3733" xr:uid="{00000000-0005-0000-0000-000048050000}"/>
    <cellStyle name="40% - Accent3 2 6 2 2" xfId="7957" xr:uid="{00000000-0005-0000-0000-000049050000}"/>
    <cellStyle name="40% - Accent3 2 6 2 2 2" xfId="16386" xr:uid="{4A6DE640-8B91-4FC6-9F29-C773D01B1014}"/>
    <cellStyle name="40% - Accent3 2 6 2 3" xfId="12168" xr:uid="{04367BA3-10A6-4E04-9F13-843E76B5DF25}"/>
    <cellStyle name="40% - Accent3 2 6 3" xfId="5812" xr:uid="{00000000-0005-0000-0000-00004A050000}"/>
    <cellStyle name="40% - Accent3 2 6 3 2" xfId="14241" xr:uid="{A96C0D38-DDBA-4E22-B984-83A9C7B767BA}"/>
    <cellStyle name="40% - Accent3 2 6 4" xfId="10023" xr:uid="{73AE6D28-151D-476D-AF1A-4DAF9511E57A}"/>
    <cellStyle name="40% - Accent3 2 7" xfId="1917" xr:uid="{00000000-0005-0000-0000-00004B050000}"/>
    <cellStyle name="40% - Accent3 2 7 2" xfId="4146" xr:uid="{00000000-0005-0000-0000-00004C050000}"/>
    <cellStyle name="40% - Accent3 2 7 2 2" xfId="8370" xr:uid="{00000000-0005-0000-0000-00004D050000}"/>
    <cellStyle name="40% - Accent3 2 7 2 2 2" xfId="16799" xr:uid="{2114B64A-FED6-4079-83C1-E308FC0D5A32}"/>
    <cellStyle name="40% - Accent3 2 7 2 3" xfId="12581" xr:uid="{9E1183F3-D88A-4E3F-AF37-9BE38098F94D}"/>
    <cellStyle name="40% - Accent3 2 7 3" xfId="6225" xr:uid="{00000000-0005-0000-0000-00004E050000}"/>
    <cellStyle name="40% - Accent3 2 7 3 2" xfId="14654" xr:uid="{05857306-0FAA-4B10-ABE2-66DD508E6830}"/>
    <cellStyle name="40% - Accent3 2 7 4" xfId="10436" xr:uid="{42FE8DC8-2B0E-4E02-8BD1-14D111A592D0}"/>
    <cellStyle name="40% - Accent3 2 8" xfId="2330" xr:uid="{00000000-0005-0000-0000-00004F050000}"/>
    <cellStyle name="40% - Accent3 2 8 2" xfId="6638" xr:uid="{00000000-0005-0000-0000-000050050000}"/>
    <cellStyle name="40% - Accent3 2 8 2 2" xfId="15067" xr:uid="{06AB2B61-0632-4488-8A07-3FD8261682EF}"/>
    <cellStyle name="40% - Accent3 2 8 3" xfId="10849" xr:uid="{FF043E4A-6B84-40E5-AD9F-F24BFD92312B}"/>
    <cellStyle name="40% - Accent3 2 9" xfId="4572" xr:uid="{00000000-0005-0000-0000-000051050000}"/>
    <cellStyle name="40% - Accent3 2 9 2" xfId="13001" xr:uid="{D7A5DC52-42EE-4CDF-BAAE-4134BEE88CC4}"/>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2 2 2" xfId="15565" xr:uid="{F3C5708D-0E22-4CFF-B04D-1EC4CEA8C3B6}"/>
    <cellStyle name="40% - Accent3 3 2 2 2 3" xfId="11347" xr:uid="{D4739ADC-097D-4443-A9F2-ABCF3F2682B2}"/>
    <cellStyle name="40% - Accent3 3 2 2 3" xfId="4991" xr:uid="{00000000-0005-0000-0000-000057050000}"/>
    <cellStyle name="40% - Accent3 3 2 2 3 2" xfId="13420" xr:uid="{80761ED6-52A1-4D6A-9490-405B8F887532}"/>
    <cellStyle name="40% - Accent3 3 2 2 4" xfId="9202" xr:uid="{D0905E25-C249-4F94-97BC-B52714CB636E}"/>
    <cellStyle name="40% - Accent3 3 2 3" xfId="1094" xr:uid="{00000000-0005-0000-0000-000058050000}"/>
    <cellStyle name="40% - Accent3 3 2 3 2" xfId="3325" xr:uid="{00000000-0005-0000-0000-000059050000}"/>
    <cellStyle name="40% - Accent3 3 2 3 2 2" xfId="7549" xr:uid="{00000000-0005-0000-0000-00005A050000}"/>
    <cellStyle name="40% - Accent3 3 2 3 2 2 2" xfId="15978" xr:uid="{F26E3BB8-4BB3-455D-BA5C-61572D56D7CC}"/>
    <cellStyle name="40% - Accent3 3 2 3 2 3" xfId="11760" xr:uid="{B5673F6C-07BA-4355-99F2-146A6516E65B}"/>
    <cellStyle name="40% - Accent3 3 2 3 3" xfId="5404" xr:uid="{00000000-0005-0000-0000-00005B050000}"/>
    <cellStyle name="40% - Accent3 3 2 3 3 2" xfId="13833" xr:uid="{34E190AD-40C7-4CA6-BF5A-6EC9DB41DC74}"/>
    <cellStyle name="40% - Accent3 3 2 3 4" xfId="9615" xr:uid="{B8234095-7E38-4EFE-B937-00B02938B306}"/>
    <cellStyle name="40% - Accent3 3 2 4" xfId="1508" xr:uid="{00000000-0005-0000-0000-00005C050000}"/>
    <cellStyle name="40% - Accent3 3 2 4 2" xfId="3738" xr:uid="{00000000-0005-0000-0000-00005D050000}"/>
    <cellStyle name="40% - Accent3 3 2 4 2 2" xfId="7962" xr:uid="{00000000-0005-0000-0000-00005E050000}"/>
    <cellStyle name="40% - Accent3 3 2 4 2 2 2" xfId="16391" xr:uid="{78A7CF8E-1850-4BC1-8649-A052B802CB4D}"/>
    <cellStyle name="40% - Accent3 3 2 4 2 3" xfId="12173" xr:uid="{0AE9933D-D1F8-4BB0-9457-92C30F361386}"/>
    <cellStyle name="40% - Accent3 3 2 4 3" xfId="5817" xr:uid="{00000000-0005-0000-0000-00005F050000}"/>
    <cellStyle name="40% - Accent3 3 2 4 3 2" xfId="14246" xr:uid="{D08F562D-2440-41CB-8FA2-A8475F056792}"/>
    <cellStyle name="40% - Accent3 3 2 4 4" xfId="10028" xr:uid="{B4472D80-598F-4F98-B7E8-77815E7D2199}"/>
    <cellStyle name="40% - Accent3 3 2 5" xfId="1922" xr:uid="{00000000-0005-0000-0000-000060050000}"/>
    <cellStyle name="40% - Accent3 3 2 5 2" xfId="4151" xr:uid="{00000000-0005-0000-0000-000061050000}"/>
    <cellStyle name="40% - Accent3 3 2 5 2 2" xfId="8375" xr:uid="{00000000-0005-0000-0000-000062050000}"/>
    <cellStyle name="40% - Accent3 3 2 5 2 2 2" xfId="16804" xr:uid="{66E9D397-0FB7-4FDF-AD2D-DE855C0F987A}"/>
    <cellStyle name="40% - Accent3 3 2 5 2 3" xfId="12586" xr:uid="{5C44DA46-CC1A-4521-A641-D782D0AE2F26}"/>
    <cellStyle name="40% - Accent3 3 2 5 3" xfId="6230" xr:uid="{00000000-0005-0000-0000-000063050000}"/>
    <cellStyle name="40% - Accent3 3 2 5 3 2" xfId="14659" xr:uid="{5AC7953C-A318-4600-A59D-0B8D997CFF1A}"/>
    <cellStyle name="40% - Accent3 3 2 5 4" xfId="10441" xr:uid="{173BB00E-E229-41DF-82E4-004E27ECD54D}"/>
    <cellStyle name="40% - Accent3 3 2 6" xfId="2335" xr:uid="{00000000-0005-0000-0000-000064050000}"/>
    <cellStyle name="40% - Accent3 3 2 6 2" xfId="6643" xr:uid="{00000000-0005-0000-0000-000065050000}"/>
    <cellStyle name="40% - Accent3 3 2 6 2 2" xfId="15072" xr:uid="{3B8C95D6-022C-4CC1-852C-7EC4C68C920A}"/>
    <cellStyle name="40% - Accent3 3 2 6 3" xfId="10854" xr:uid="{F75B45A2-E0FE-45B8-A0B0-AF99F0505A1E}"/>
    <cellStyle name="40% - Accent3 3 2 7" xfId="4577" xr:uid="{00000000-0005-0000-0000-000066050000}"/>
    <cellStyle name="40% - Accent3 3 2 7 2" xfId="13006" xr:uid="{F0A31EA9-383E-4523-BC2E-7C388692DA0C}"/>
    <cellStyle name="40% - Accent3 3 2 8" xfId="8788" xr:uid="{0495411E-CD4D-48EB-B3CA-A2F5A7DDCA03}"/>
    <cellStyle name="40% - Accent3 3 3" xfId="640" xr:uid="{00000000-0005-0000-0000-000067050000}"/>
    <cellStyle name="40% - Accent3 3 3 2" xfId="2911" xr:uid="{00000000-0005-0000-0000-000068050000}"/>
    <cellStyle name="40% - Accent3 3 3 2 2" xfId="7135" xr:uid="{00000000-0005-0000-0000-000069050000}"/>
    <cellStyle name="40% - Accent3 3 3 2 2 2" xfId="15564" xr:uid="{FCEAF6BA-A4B3-48FB-8F0F-E53277023DCF}"/>
    <cellStyle name="40% - Accent3 3 3 2 3" xfId="11346" xr:uid="{EB963F32-163B-468B-8E31-15DF171F6CD4}"/>
    <cellStyle name="40% - Accent3 3 3 3" xfId="4990" xr:uid="{00000000-0005-0000-0000-00006A050000}"/>
    <cellStyle name="40% - Accent3 3 3 3 2" xfId="13419" xr:uid="{B1CF7D59-DDA4-4315-BEF8-C14C7BD2FF93}"/>
    <cellStyle name="40% - Accent3 3 3 4" xfId="9201" xr:uid="{FA9E3D54-8B59-4A71-A8D7-828A48E6539D}"/>
    <cellStyle name="40% - Accent3 3 4" xfId="1093" xr:uid="{00000000-0005-0000-0000-00006B050000}"/>
    <cellStyle name="40% - Accent3 3 4 2" xfId="3324" xr:uid="{00000000-0005-0000-0000-00006C050000}"/>
    <cellStyle name="40% - Accent3 3 4 2 2" xfId="7548" xr:uid="{00000000-0005-0000-0000-00006D050000}"/>
    <cellStyle name="40% - Accent3 3 4 2 2 2" xfId="15977" xr:uid="{48AB59B7-6B87-4EA2-83DB-E2A218119863}"/>
    <cellStyle name="40% - Accent3 3 4 2 3" xfId="11759" xr:uid="{A1C590C0-D711-488B-872A-C6EF031C6910}"/>
    <cellStyle name="40% - Accent3 3 4 3" xfId="5403" xr:uid="{00000000-0005-0000-0000-00006E050000}"/>
    <cellStyle name="40% - Accent3 3 4 3 2" xfId="13832" xr:uid="{5B8EDA74-3CB3-4D44-8467-7E1962A3F26E}"/>
    <cellStyle name="40% - Accent3 3 4 4" xfId="9614" xr:uid="{2A8F8347-60E9-4D76-B4AE-03BFAFEA6792}"/>
    <cellStyle name="40% - Accent3 3 5" xfId="1507" xr:uid="{00000000-0005-0000-0000-00006F050000}"/>
    <cellStyle name="40% - Accent3 3 5 2" xfId="3737" xr:uid="{00000000-0005-0000-0000-000070050000}"/>
    <cellStyle name="40% - Accent3 3 5 2 2" xfId="7961" xr:uid="{00000000-0005-0000-0000-000071050000}"/>
    <cellStyle name="40% - Accent3 3 5 2 2 2" xfId="16390" xr:uid="{F97CE1C8-E37A-4472-B0FC-656C00AC4390}"/>
    <cellStyle name="40% - Accent3 3 5 2 3" xfId="12172" xr:uid="{38EDF7DA-EA3E-4A0A-A492-7390D59597F9}"/>
    <cellStyle name="40% - Accent3 3 5 3" xfId="5816" xr:uid="{00000000-0005-0000-0000-000072050000}"/>
    <cellStyle name="40% - Accent3 3 5 3 2" xfId="14245" xr:uid="{CBEADD6A-2923-4313-89E5-8C7666F75027}"/>
    <cellStyle name="40% - Accent3 3 5 4" xfId="10027" xr:uid="{AEB65593-7F82-457C-9176-3C90AA719546}"/>
    <cellStyle name="40% - Accent3 3 6" xfId="1921" xr:uid="{00000000-0005-0000-0000-000073050000}"/>
    <cellStyle name="40% - Accent3 3 6 2" xfId="4150" xr:uid="{00000000-0005-0000-0000-000074050000}"/>
    <cellStyle name="40% - Accent3 3 6 2 2" xfId="8374" xr:uid="{00000000-0005-0000-0000-000075050000}"/>
    <cellStyle name="40% - Accent3 3 6 2 2 2" xfId="16803" xr:uid="{B9F90B5F-AD2C-4BC2-9AB4-D3445A934088}"/>
    <cellStyle name="40% - Accent3 3 6 2 3" xfId="12585" xr:uid="{FC5B79AF-1FB0-4EA4-B0C4-E5F083209A06}"/>
    <cellStyle name="40% - Accent3 3 6 3" xfId="6229" xr:uid="{00000000-0005-0000-0000-000076050000}"/>
    <cellStyle name="40% - Accent3 3 6 3 2" xfId="14658" xr:uid="{BB803CBE-8DA4-4A84-B0F7-C818E135D62A}"/>
    <cellStyle name="40% - Accent3 3 6 4" xfId="10440" xr:uid="{D8C5537B-71F8-4858-BF43-7D55E5902559}"/>
    <cellStyle name="40% - Accent3 3 7" xfId="2334" xr:uid="{00000000-0005-0000-0000-000077050000}"/>
    <cellStyle name="40% - Accent3 3 7 2" xfId="6642" xr:uid="{00000000-0005-0000-0000-000078050000}"/>
    <cellStyle name="40% - Accent3 3 7 2 2" xfId="15071" xr:uid="{A86478F7-4AD4-4472-9B7A-C02ABB5E6D1E}"/>
    <cellStyle name="40% - Accent3 3 7 3" xfId="10853" xr:uid="{573EC4B9-BF9C-4FDB-A1C9-6F3D504F029D}"/>
    <cellStyle name="40% - Accent3 3 8" xfId="4576" xr:uid="{00000000-0005-0000-0000-000079050000}"/>
    <cellStyle name="40% - Accent3 3 8 2" xfId="13005" xr:uid="{EB87E203-26CE-4DAA-A0A2-BFE6E4CFBAA9}"/>
    <cellStyle name="40% - Accent3 3 9" xfId="8787" xr:uid="{5EA6E909-4C4E-4566-97AC-4079880C7D58}"/>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2 2 2" xfId="15566" xr:uid="{2E4AD5DC-6A95-463B-81AB-3C61A0F00EF0}"/>
    <cellStyle name="40% - Accent3 4 2 2 3" xfId="11348" xr:uid="{AF7953BB-3602-418F-9912-1FB0A1F883B0}"/>
    <cellStyle name="40% - Accent3 4 2 3" xfId="4992" xr:uid="{00000000-0005-0000-0000-00007E050000}"/>
    <cellStyle name="40% - Accent3 4 2 3 2" xfId="13421" xr:uid="{96321DA2-F913-4CE7-ABEC-19113C8E3E99}"/>
    <cellStyle name="40% - Accent3 4 2 4" xfId="9203" xr:uid="{DFC074AE-9F02-4CBB-8586-3453619336AC}"/>
    <cellStyle name="40% - Accent3 4 3" xfId="1095" xr:uid="{00000000-0005-0000-0000-00007F050000}"/>
    <cellStyle name="40% - Accent3 4 3 2" xfId="3326" xr:uid="{00000000-0005-0000-0000-000080050000}"/>
    <cellStyle name="40% - Accent3 4 3 2 2" xfId="7550" xr:uid="{00000000-0005-0000-0000-000081050000}"/>
    <cellStyle name="40% - Accent3 4 3 2 2 2" xfId="15979" xr:uid="{0ADE6B86-A93A-405B-BCE5-211F6358656F}"/>
    <cellStyle name="40% - Accent3 4 3 2 3" xfId="11761" xr:uid="{F4798748-16B1-42C8-9C90-1C67E9278C96}"/>
    <cellStyle name="40% - Accent3 4 3 3" xfId="5405" xr:uid="{00000000-0005-0000-0000-000082050000}"/>
    <cellStyle name="40% - Accent3 4 3 3 2" xfId="13834" xr:uid="{0A5993E3-B295-4DFF-86EF-FD7A82CF4C4B}"/>
    <cellStyle name="40% - Accent3 4 3 4" xfId="9616" xr:uid="{5C77A80F-7986-4C77-9B82-2AE854A8EFB2}"/>
    <cellStyle name="40% - Accent3 4 4" xfId="1509" xr:uid="{00000000-0005-0000-0000-000083050000}"/>
    <cellStyle name="40% - Accent3 4 4 2" xfId="3739" xr:uid="{00000000-0005-0000-0000-000084050000}"/>
    <cellStyle name="40% - Accent3 4 4 2 2" xfId="7963" xr:uid="{00000000-0005-0000-0000-000085050000}"/>
    <cellStyle name="40% - Accent3 4 4 2 2 2" xfId="16392" xr:uid="{254A1ECA-139F-42CC-A303-A14F0AED8A0F}"/>
    <cellStyle name="40% - Accent3 4 4 2 3" xfId="12174" xr:uid="{B33DB73A-8F81-46CE-B076-330A5486FB35}"/>
    <cellStyle name="40% - Accent3 4 4 3" xfId="5818" xr:uid="{00000000-0005-0000-0000-000086050000}"/>
    <cellStyle name="40% - Accent3 4 4 3 2" xfId="14247" xr:uid="{CBC63FF0-6DC6-449A-8AED-9D8E0232FCE9}"/>
    <cellStyle name="40% - Accent3 4 4 4" xfId="10029" xr:uid="{D49A3C50-D9C0-419D-8B8E-3EF68093273B}"/>
    <cellStyle name="40% - Accent3 4 5" xfId="1923" xr:uid="{00000000-0005-0000-0000-000087050000}"/>
    <cellStyle name="40% - Accent3 4 5 2" xfId="4152" xr:uid="{00000000-0005-0000-0000-000088050000}"/>
    <cellStyle name="40% - Accent3 4 5 2 2" xfId="8376" xr:uid="{00000000-0005-0000-0000-000089050000}"/>
    <cellStyle name="40% - Accent3 4 5 2 2 2" xfId="16805" xr:uid="{8A3E85A3-ECBE-4968-B71B-FC318E77D7C7}"/>
    <cellStyle name="40% - Accent3 4 5 2 3" xfId="12587" xr:uid="{038855A1-2C04-4FDD-9D3D-C8ECFBB61BA2}"/>
    <cellStyle name="40% - Accent3 4 5 3" xfId="6231" xr:uid="{00000000-0005-0000-0000-00008A050000}"/>
    <cellStyle name="40% - Accent3 4 5 3 2" xfId="14660" xr:uid="{AE3B479D-C58E-499C-B8BD-E832FC88A71C}"/>
    <cellStyle name="40% - Accent3 4 5 4" xfId="10442" xr:uid="{A9BEC586-6D34-4BEA-8470-F6F129F1180E}"/>
    <cellStyle name="40% - Accent3 4 6" xfId="2336" xr:uid="{00000000-0005-0000-0000-00008B050000}"/>
    <cellStyle name="40% - Accent3 4 6 2" xfId="6644" xr:uid="{00000000-0005-0000-0000-00008C050000}"/>
    <cellStyle name="40% - Accent3 4 6 2 2" xfId="15073" xr:uid="{EEC3C5A5-74F9-4554-8D84-4240CDAD89F2}"/>
    <cellStyle name="40% - Accent3 4 6 3" xfId="10855" xr:uid="{4F385CA3-C1B0-497D-9D11-57A9EEB46256}"/>
    <cellStyle name="40% - Accent3 4 7" xfId="4578" xr:uid="{00000000-0005-0000-0000-00008D050000}"/>
    <cellStyle name="40% - Accent3 4 7 2" xfId="13007" xr:uid="{39542D98-0160-49C7-AC51-8391EEF414D9}"/>
    <cellStyle name="40% - Accent3 4 8" xfId="8789" xr:uid="{1A481169-2902-4F89-B627-1C22E5225DDF}"/>
    <cellStyle name="40% - Accent3 5" xfId="635" xr:uid="{00000000-0005-0000-0000-00008E050000}"/>
    <cellStyle name="40% - Accent3 5 2" xfId="2906" xr:uid="{00000000-0005-0000-0000-00008F050000}"/>
    <cellStyle name="40% - Accent3 5 2 2" xfId="7130" xr:uid="{00000000-0005-0000-0000-000090050000}"/>
    <cellStyle name="40% - Accent3 5 2 2 2" xfId="15559" xr:uid="{33C8455D-3CC7-49CC-95CB-604C9106EEA8}"/>
    <cellStyle name="40% - Accent3 5 2 3" xfId="11341" xr:uid="{E1A45B5B-C170-4573-A202-E34B895F2EB1}"/>
    <cellStyle name="40% - Accent3 5 3" xfId="4985" xr:uid="{00000000-0005-0000-0000-000091050000}"/>
    <cellStyle name="40% - Accent3 5 3 2" xfId="13414" xr:uid="{59D6D1CC-4E07-4BE6-9374-F9BE479B04C6}"/>
    <cellStyle name="40% - Accent3 5 4" xfId="9196" xr:uid="{D4B4A413-C2B7-4D4F-A2D3-ED6C08E37BEF}"/>
    <cellStyle name="40% - Accent3 6" xfId="1088" xr:uid="{00000000-0005-0000-0000-000092050000}"/>
    <cellStyle name="40% - Accent3 6 2" xfId="3319" xr:uid="{00000000-0005-0000-0000-000093050000}"/>
    <cellStyle name="40% - Accent3 6 2 2" xfId="7543" xr:uid="{00000000-0005-0000-0000-000094050000}"/>
    <cellStyle name="40% - Accent3 6 2 2 2" xfId="15972" xr:uid="{2243126E-F5DA-4CA9-9886-D0DCBCF9ACE7}"/>
    <cellStyle name="40% - Accent3 6 2 3" xfId="11754" xr:uid="{BEB30658-3CD6-4326-8360-1BFB5D635900}"/>
    <cellStyle name="40% - Accent3 6 3" xfId="5398" xr:uid="{00000000-0005-0000-0000-000095050000}"/>
    <cellStyle name="40% - Accent3 6 3 2" xfId="13827" xr:uid="{259E8137-217D-4B52-8D82-A1CD646FCE62}"/>
    <cellStyle name="40% - Accent3 6 4" xfId="9609" xr:uid="{7B8D5C8A-00F1-4848-BBB8-B5DAA40E26C7}"/>
    <cellStyle name="40% - Accent3 7" xfId="1502" xr:uid="{00000000-0005-0000-0000-000096050000}"/>
    <cellStyle name="40% - Accent3 7 2" xfId="3732" xr:uid="{00000000-0005-0000-0000-000097050000}"/>
    <cellStyle name="40% - Accent3 7 2 2" xfId="7956" xr:uid="{00000000-0005-0000-0000-000098050000}"/>
    <cellStyle name="40% - Accent3 7 2 2 2" xfId="16385" xr:uid="{230EC5F9-5575-49F2-8B04-A5999A5F5BF6}"/>
    <cellStyle name="40% - Accent3 7 2 3" xfId="12167" xr:uid="{908C0A88-D353-49FC-B258-C32579154B9E}"/>
    <cellStyle name="40% - Accent3 7 3" xfId="5811" xr:uid="{00000000-0005-0000-0000-000099050000}"/>
    <cellStyle name="40% - Accent3 7 3 2" xfId="14240" xr:uid="{ABA20A3A-7294-440B-B110-1AB491842CB9}"/>
    <cellStyle name="40% - Accent3 7 4" xfId="10022" xr:uid="{D648C1F8-C160-4B8C-8E45-8EEFBBBDF13D}"/>
    <cellStyle name="40% - Accent3 8" xfId="1916" xr:uid="{00000000-0005-0000-0000-00009A050000}"/>
    <cellStyle name="40% - Accent3 8 2" xfId="4145" xr:uid="{00000000-0005-0000-0000-00009B050000}"/>
    <cellStyle name="40% - Accent3 8 2 2" xfId="8369" xr:uid="{00000000-0005-0000-0000-00009C050000}"/>
    <cellStyle name="40% - Accent3 8 2 2 2" xfId="16798" xr:uid="{E6C630E4-2358-4F34-BACF-4DE4A003FA30}"/>
    <cellStyle name="40% - Accent3 8 2 3" xfId="12580" xr:uid="{5D64B0DF-0BBF-441A-AC4B-C12175D212EF}"/>
    <cellStyle name="40% - Accent3 8 3" xfId="6224" xr:uid="{00000000-0005-0000-0000-00009D050000}"/>
    <cellStyle name="40% - Accent3 8 3 2" xfId="14653" xr:uid="{879B4FAE-A082-4627-8753-EC37AB07F965}"/>
    <cellStyle name="40% - Accent3 8 4" xfId="10435" xr:uid="{38456B9D-31E6-4E3A-B2D7-0A14BE3D92C3}"/>
    <cellStyle name="40% - Accent3 9" xfId="2329" xr:uid="{00000000-0005-0000-0000-00009E050000}"/>
    <cellStyle name="40% - Accent3 9 2" xfId="6637" xr:uid="{00000000-0005-0000-0000-00009F050000}"/>
    <cellStyle name="40% - Accent3 9 2 2" xfId="15066" xr:uid="{8160ABC8-DDBF-4568-8EA1-979F2AE9BEE0}"/>
    <cellStyle name="40% - Accent3 9 3" xfId="10848" xr:uid="{5F5E10B0-9423-47BD-92C8-C4222EAE3A67}"/>
    <cellStyle name="40% - Accent4" xfId="73" builtinId="43" customBuiltin="1"/>
    <cellStyle name="40% - Accent4 10" xfId="4579" xr:uid="{00000000-0005-0000-0000-0000A1050000}"/>
    <cellStyle name="40% - Accent4 10 2" xfId="13008" xr:uid="{747BCD99-4EC2-44D8-BBF8-F632AAA56999}"/>
    <cellStyle name="40% - Accent4 11" xfId="8790" xr:uid="{5C2B4A43-2807-486E-93AB-72C13818265D}"/>
    <cellStyle name="40% - Accent4 2" xfId="74" xr:uid="{00000000-0005-0000-0000-0000A2050000}"/>
    <cellStyle name="40% - Accent4 2 10" xfId="8791" xr:uid="{B7D4E23B-EE6D-4535-AACF-1E51C7270DA8}"/>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2 2 2" xfId="15570" xr:uid="{0DAE70AC-B20B-4AD2-BAA0-62C48B78A00A}"/>
    <cellStyle name="40% - Accent4 2 2 2 2 2 3" xfId="11352" xr:uid="{46643B5D-7D3B-444B-BEF2-A68F66F2E7BD}"/>
    <cellStyle name="40% - Accent4 2 2 2 2 3" xfId="4996" xr:uid="{00000000-0005-0000-0000-0000A8050000}"/>
    <cellStyle name="40% - Accent4 2 2 2 2 3 2" xfId="13425" xr:uid="{D5BF66A3-DFE2-45DE-9C7F-4CF0320A5D41}"/>
    <cellStyle name="40% - Accent4 2 2 2 2 4" xfId="9207" xr:uid="{09B1C590-8F66-4FA5-AD2D-4F31094A23CD}"/>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2 2 2" xfId="15983" xr:uid="{3DF64880-C35B-4E96-821D-B4BDA181811F}"/>
    <cellStyle name="40% - Accent4 2 2 2 3 2 3" xfId="11765" xr:uid="{B2BC1544-E702-410C-876D-CB375BE88236}"/>
    <cellStyle name="40% - Accent4 2 2 2 3 3" xfId="5409" xr:uid="{00000000-0005-0000-0000-0000AC050000}"/>
    <cellStyle name="40% - Accent4 2 2 2 3 3 2" xfId="13838" xr:uid="{B31D2856-E12C-4901-91B5-CA9F81B8D395}"/>
    <cellStyle name="40% - Accent4 2 2 2 3 4" xfId="9620" xr:uid="{1529542A-2A9F-49F8-9C8C-40D773BDF592}"/>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2 2 2" xfId="16396" xr:uid="{9AD2BBEA-4208-40C2-911A-C507878D342A}"/>
    <cellStyle name="40% - Accent4 2 2 2 4 2 3" xfId="12178" xr:uid="{654B31AC-43A9-4E97-B53C-8DAEEBD0C0F3}"/>
    <cellStyle name="40% - Accent4 2 2 2 4 3" xfId="5822" xr:uid="{00000000-0005-0000-0000-0000B0050000}"/>
    <cellStyle name="40% - Accent4 2 2 2 4 3 2" xfId="14251" xr:uid="{70CBF120-991E-4CAF-928F-6072D5EC017D}"/>
    <cellStyle name="40% - Accent4 2 2 2 4 4" xfId="10033" xr:uid="{E4E1349C-F884-43A2-995E-8E6D9E73CA55}"/>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2 2 2" xfId="16809" xr:uid="{FC92B7C8-FA12-47DE-9D9D-F0A2C36AE554}"/>
    <cellStyle name="40% - Accent4 2 2 2 5 2 3" xfId="12591" xr:uid="{E24A9275-DEE4-4D5B-9FBC-9D8772AB17A0}"/>
    <cellStyle name="40% - Accent4 2 2 2 5 3" xfId="6235" xr:uid="{00000000-0005-0000-0000-0000B4050000}"/>
    <cellStyle name="40% - Accent4 2 2 2 5 3 2" xfId="14664" xr:uid="{988E8EE1-8418-47E7-A10F-0CE8CACF619B}"/>
    <cellStyle name="40% - Accent4 2 2 2 5 4" xfId="10446" xr:uid="{D37D1909-6E59-48CC-B518-C00076DF820D}"/>
    <cellStyle name="40% - Accent4 2 2 2 6" xfId="2340" xr:uid="{00000000-0005-0000-0000-0000B5050000}"/>
    <cellStyle name="40% - Accent4 2 2 2 6 2" xfId="6648" xr:uid="{00000000-0005-0000-0000-0000B6050000}"/>
    <cellStyle name="40% - Accent4 2 2 2 6 2 2" xfId="15077" xr:uid="{6CBB3702-8C5F-48CE-AAD3-F5E31FE4FAA0}"/>
    <cellStyle name="40% - Accent4 2 2 2 6 3" xfId="10859" xr:uid="{053F39AF-E0A4-4909-AB6B-B744565754C4}"/>
    <cellStyle name="40% - Accent4 2 2 2 7" xfId="4582" xr:uid="{00000000-0005-0000-0000-0000B7050000}"/>
    <cellStyle name="40% - Accent4 2 2 2 7 2" xfId="13011" xr:uid="{302087FB-4B12-48F3-94A5-240C62E6BA6D}"/>
    <cellStyle name="40% - Accent4 2 2 2 8" xfId="8793" xr:uid="{CFF592F2-1D21-43EA-9584-7BAC6123039E}"/>
    <cellStyle name="40% - Accent4 2 2 3" xfId="645" xr:uid="{00000000-0005-0000-0000-0000B8050000}"/>
    <cellStyle name="40% - Accent4 2 2 3 2" xfId="2916" xr:uid="{00000000-0005-0000-0000-0000B9050000}"/>
    <cellStyle name="40% - Accent4 2 2 3 2 2" xfId="7140" xr:uid="{00000000-0005-0000-0000-0000BA050000}"/>
    <cellStyle name="40% - Accent4 2 2 3 2 2 2" xfId="15569" xr:uid="{48D61CB4-BF04-4A45-A6A3-5B8AFD9634EF}"/>
    <cellStyle name="40% - Accent4 2 2 3 2 3" xfId="11351" xr:uid="{61CA49B1-F465-41E4-981E-2443DDDB38AB}"/>
    <cellStyle name="40% - Accent4 2 2 3 3" xfId="4995" xr:uid="{00000000-0005-0000-0000-0000BB050000}"/>
    <cellStyle name="40% - Accent4 2 2 3 3 2" xfId="13424" xr:uid="{59F81CC2-6B1C-473B-956B-AB4081EEDB68}"/>
    <cellStyle name="40% - Accent4 2 2 3 4" xfId="9206" xr:uid="{C3B66BC3-A580-414C-8458-755AF067C010}"/>
    <cellStyle name="40% - Accent4 2 2 4" xfId="1098" xr:uid="{00000000-0005-0000-0000-0000BC050000}"/>
    <cellStyle name="40% - Accent4 2 2 4 2" xfId="3329" xr:uid="{00000000-0005-0000-0000-0000BD050000}"/>
    <cellStyle name="40% - Accent4 2 2 4 2 2" xfId="7553" xr:uid="{00000000-0005-0000-0000-0000BE050000}"/>
    <cellStyle name="40% - Accent4 2 2 4 2 2 2" xfId="15982" xr:uid="{12B5697D-F436-46EB-B53A-D1A3C3FE6CAD}"/>
    <cellStyle name="40% - Accent4 2 2 4 2 3" xfId="11764" xr:uid="{95021FC6-4E80-4017-98B1-B808A2A2A225}"/>
    <cellStyle name="40% - Accent4 2 2 4 3" xfId="5408" xr:uid="{00000000-0005-0000-0000-0000BF050000}"/>
    <cellStyle name="40% - Accent4 2 2 4 3 2" xfId="13837" xr:uid="{D7C2050F-02FE-4B72-8753-3C7765A1EB76}"/>
    <cellStyle name="40% - Accent4 2 2 4 4" xfId="9619" xr:uid="{75A40FDE-66AB-4EA4-93B7-7112BC2C9AE3}"/>
    <cellStyle name="40% - Accent4 2 2 5" xfId="1512" xr:uid="{00000000-0005-0000-0000-0000C0050000}"/>
    <cellStyle name="40% - Accent4 2 2 5 2" xfId="3742" xr:uid="{00000000-0005-0000-0000-0000C1050000}"/>
    <cellStyle name="40% - Accent4 2 2 5 2 2" xfId="7966" xr:uid="{00000000-0005-0000-0000-0000C2050000}"/>
    <cellStyle name="40% - Accent4 2 2 5 2 2 2" xfId="16395" xr:uid="{53366566-A7F5-4C5E-8C75-C77239F6347F}"/>
    <cellStyle name="40% - Accent4 2 2 5 2 3" xfId="12177" xr:uid="{8550ED7A-2CC1-4104-8C9F-E596873CB6BA}"/>
    <cellStyle name="40% - Accent4 2 2 5 3" xfId="5821" xr:uid="{00000000-0005-0000-0000-0000C3050000}"/>
    <cellStyle name="40% - Accent4 2 2 5 3 2" xfId="14250" xr:uid="{F88250FD-8E33-49BD-9581-2FEA19A6A4A5}"/>
    <cellStyle name="40% - Accent4 2 2 5 4" xfId="10032" xr:uid="{7C2FC313-746E-40B5-8CFC-1D842A2B5367}"/>
    <cellStyle name="40% - Accent4 2 2 6" xfId="1926" xr:uid="{00000000-0005-0000-0000-0000C4050000}"/>
    <cellStyle name="40% - Accent4 2 2 6 2" xfId="4155" xr:uid="{00000000-0005-0000-0000-0000C5050000}"/>
    <cellStyle name="40% - Accent4 2 2 6 2 2" xfId="8379" xr:uid="{00000000-0005-0000-0000-0000C6050000}"/>
    <cellStyle name="40% - Accent4 2 2 6 2 2 2" xfId="16808" xr:uid="{AE601D3B-ACDB-44E2-B35A-C1CE35069449}"/>
    <cellStyle name="40% - Accent4 2 2 6 2 3" xfId="12590" xr:uid="{A0E15885-3910-4DF8-8528-6463FAE9B23A}"/>
    <cellStyle name="40% - Accent4 2 2 6 3" xfId="6234" xr:uid="{00000000-0005-0000-0000-0000C7050000}"/>
    <cellStyle name="40% - Accent4 2 2 6 3 2" xfId="14663" xr:uid="{ED95485E-550C-4427-B329-8ED76E942ADA}"/>
    <cellStyle name="40% - Accent4 2 2 6 4" xfId="10445" xr:uid="{3FB46113-5B4B-4D34-B728-7E2451B2B03D}"/>
    <cellStyle name="40% - Accent4 2 2 7" xfId="2339" xr:uid="{00000000-0005-0000-0000-0000C8050000}"/>
    <cellStyle name="40% - Accent4 2 2 7 2" xfId="6647" xr:uid="{00000000-0005-0000-0000-0000C9050000}"/>
    <cellStyle name="40% - Accent4 2 2 7 2 2" xfId="15076" xr:uid="{581699E0-7179-4194-9706-727E9DD3D6ED}"/>
    <cellStyle name="40% - Accent4 2 2 7 3" xfId="10858" xr:uid="{C8EDBCE7-6C66-433C-9605-B5FD5F5038E0}"/>
    <cellStyle name="40% - Accent4 2 2 8" xfId="4581" xr:uid="{00000000-0005-0000-0000-0000CA050000}"/>
    <cellStyle name="40% - Accent4 2 2 8 2" xfId="13010" xr:uid="{C0ABCEA4-CDAE-44F6-AF15-32AA97DE2328}"/>
    <cellStyle name="40% - Accent4 2 2 9" xfId="8792" xr:uid="{6462558E-503D-4385-8330-88AC56D0BACF}"/>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2 2 2" xfId="15571" xr:uid="{1346A223-689E-471E-A015-0183ADA49896}"/>
    <cellStyle name="40% - Accent4 2 3 2 2 3" xfId="11353" xr:uid="{E09D8744-B1B3-4694-AD2D-DC6A5F053992}"/>
    <cellStyle name="40% - Accent4 2 3 2 3" xfId="4997" xr:uid="{00000000-0005-0000-0000-0000CF050000}"/>
    <cellStyle name="40% - Accent4 2 3 2 3 2" xfId="13426" xr:uid="{54B92C05-0D65-499E-8C2C-94D9CD7AB937}"/>
    <cellStyle name="40% - Accent4 2 3 2 4" xfId="9208" xr:uid="{F36EF97D-741B-4FB4-B0E4-3477E9825DCA}"/>
    <cellStyle name="40% - Accent4 2 3 3" xfId="1100" xr:uid="{00000000-0005-0000-0000-0000D0050000}"/>
    <cellStyle name="40% - Accent4 2 3 3 2" xfId="3331" xr:uid="{00000000-0005-0000-0000-0000D1050000}"/>
    <cellStyle name="40% - Accent4 2 3 3 2 2" xfId="7555" xr:uid="{00000000-0005-0000-0000-0000D2050000}"/>
    <cellStyle name="40% - Accent4 2 3 3 2 2 2" xfId="15984" xr:uid="{EB03E875-A64D-48D9-A1F2-2C48C37A2F7B}"/>
    <cellStyle name="40% - Accent4 2 3 3 2 3" xfId="11766" xr:uid="{2F078C2F-3152-4C8B-A6CF-6CCA5ED6BBB0}"/>
    <cellStyle name="40% - Accent4 2 3 3 3" xfId="5410" xr:uid="{00000000-0005-0000-0000-0000D3050000}"/>
    <cellStyle name="40% - Accent4 2 3 3 3 2" xfId="13839" xr:uid="{7DA6E5B5-AAE8-4A6F-9310-ECBD7B964483}"/>
    <cellStyle name="40% - Accent4 2 3 3 4" xfId="9621" xr:uid="{98A89164-7CA8-4FD6-B193-96B287266FA6}"/>
    <cellStyle name="40% - Accent4 2 3 4" xfId="1514" xr:uid="{00000000-0005-0000-0000-0000D4050000}"/>
    <cellStyle name="40% - Accent4 2 3 4 2" xfId="3744" xr:uid="{00000000-0005-0000-0000-0000D5050000}"/>
    <cellStyle name="40% - Accent4 2 3 4 2 2" xfId="7968" xr:uid="{00000000-0005-0000-0000-0000D6050000}"/>
    <cellStyle name="40% - Accent4 2 3 4 2 2 2" xfId="16397" xr:uid="{8537762F-A0E1-4400-9601-981BA3F5CD6E}"/>
    <cellStyle name="40% - Accent4 2 3 4 2 3" xfId="12179" xr:uid="{18FB1986-3155-442D-ABFE-FEBA51653A4F}"/>
    <cellStyle name="40% - Accent4 2 3 4 3" xfId="5823" xr:uid="{00000000-0005-0000-0000-0000D7050000}"/>
    <cellStyle name="40% - Accent4 2 3 4 3 2" xfId="14252" xr:uid="{8CCFF387-EEB6-44D6-B971-3FB6FA7E4AC9}"/>
    <cellStyle name="40% - Accent4 2 3 4 4" xfId="10034" xr:uid="{ACA48D12-9533-4D7A-B3C7-1DDD0EB26A72}"/>
    <cellStyle name="40% - Accent4 2 3 5" xfId="1928" xr:uid="{00000000-0005-0000-0000-0000D8050000}"/>
    <cellStyle name="40% - Accent4 2 3 5 2" xfId="4157" xr:uid="{00000000-0005-0000-0000-0000D9050000}"/>
    <cellStyle name="40% - Accent4 2 3 5 2 2" xfId="8381" xr:uid="{00000000-0005-0000-0000-0000DA050000}"/>
    <cellStyle name="40% - Accent4 2 3 5 2 2 2" xfId="16810" xr:uid="{A48319BC-067D-4FB7-A170-ECFFD93C0C64}"/>
    <cellStyle name="40% - Accent4 2 3 5 2 3" xfId="12592" xr:uid="{E3D5FEA9-D166-4173-AE81-124DE49AAEAC}"/>
    <cellStyle name="40% - Accent4 2 3 5 3" xfId="6236" xr:uid="{00000000-0005-0000-0000-0000DB050000}"/>
    <cellStyle name="40% - Accent4 2 3 5 3 2" xfId="14665" xr:uid="{5FFF7B80-5E12-4EDD-A0EE-C613FB7140EA}"/>
    <cellStyle name="40% - Accent4 2 3 5 4" xfId="10447" xr:uid="{42A146E0-FC24-4558-9273-7F9783B0E82B}"/>
    <cellStyle name="40% - Accent4 2 3 6" xfId="2341" xr:uid="{00000000-0005-0000-0000-0000DC050000}"/>
    <cellStyle name="40% - Accent4 2 3 6 2" xfId="6649" xr:uid="{00000000-0005-0000-0000-0000DD050000}"/>
    <cellStyle name="40% - Accent4 2 3 6 2 2" xfId="15078" xr:uid="{A1F12354-C8B0-4730-A030-804A0C8A67FD}"/>
    <cellStyle name="40% - Accent4 2 3 6 3" xfId="10860" xr:uid="{18F657D3-92F8-4A65-8C64-899AE7D5C0A7}"/>
    <cellStyle name="40% - Accent4 2 3 7" xfId="4583" xr:uid="{00000000-0005-0000-0000-0000DE050000}"/>
    <cellStyle name="40% - Accent4 2 3 7 2" xfId="13012" xr:uid="{E71E15AE-C920-4A65-8789-2A261F6EFF83}"/>
    <cellStyle name="40% - Accent4 2 3 8" xfId="8794" xr:uid="{DA21350F-1CA5-4480-AA5A-82B3FB353948}"/>
    <cellStyle name="40% - Accent4 2 4" xfId="644" xr:uid="{00000000-0005-0000-0000-0000DF050000}"/>
    <cellStyle name="40% - Accent4 2 4 2" xfId="2915" xr:uid="{00000000-0005-0000-0000-0000E0050000}"/>
    <cellStyle name="40% - Accent4 2 4 2 2" xfId="7139" xr:uid="{00000000-0005-0000-0000-0000E1050000}"/>
    <cellStyle name="40% - Accent4 2 4 2 2 2" xfId="15568" xr:uid="{D966738F-15A8-4BF4-B984-8876FA19FC4C}"/>
    <cellStyle name="40% - Accent4 2 4 2 3" xfId="11350" xr:uid="{83300ADF-29B9-464A-9F01-630321D3986B}"/>
    <cellStyle name="40% - Accent4 2 4 3" xfId="4994" xr:uid="{00000000-0005-0000-0000-0000E2050000}"/>
    <cellStyle name="40% - Accent4 2 4 3 2" xfId="13423" xr:uid="{774B2DC9-83DF-4C3B-8B81-F9F6DA071EA6}"/>
    <cellStyle name="40% - Accent4 2 4 4" xfId="9205" xr:uid="{28A72CB9-C0F2-4BA3-AC1C-FFFA86A1E626}"/>
    <cellStyle name="40% - Accent4 2 5" xfId="1097" xr:uid="{00000000-0005-0000-0000-0000E3050000}"/>
    <cellStyle name="40% - Accent4 2 5 2" xfId="3328" xr:uid="{00000000-0005-0000-0000-0000E4050000}"/>
    <cellStyle name="40% - Accent4 2 5 2 2" xfId="7552" xr:uid="{00000000-0005-0000-0000-0000E5050000}"/>
    <cellStyle name="40% - Accent4 2 5 2 2 2" xfId="15981" xr:uid="{108C473D-856B-452D-8076-0829C5AA86F1}"/>
    <cellStyle name="40% - Accent4 2 5 2 3" xfId="11763" xr:uid="{6E709C22-C66F-4461-81B5-11657684B49B}"/>
    <cellStyle name="40% - Accent4 2 5 3" xfId="5407" xr:uid="{00000000-0005-0000-0000-0000E6050000}"/>
    <cellStyle name="40% - Accent4 2 5 3 2" xfId="13836" xr:uid="{30C9921E-62A6-4043-AE3B-092E34BD2EB1}"/>
    <cellStyle name="40% - Accent4 2 5 4" xfId="9618" xr:uid="{D1FBFA8E-05EC-4834-A2C2-947925772AAC}"/>
    <cellStyle name="40% - Accent4 2 6" xfId="1511" xr:uid="{00000000-0005-0000-0000-0000E7050000}"/>
    <cellStyle name="40% - Accent4 2 6 2" xfId="3741" xr:uid="{00000000-0005-0000-0000-0000E8050000}"/>
    <cellStyle name="40% - Accent4 2 6 2 2" xfId="7965" xr:uid="{00000000-0005-0000-0000-0000E9050000}"/>
    <cellStyle name="40% - Accent4 2 6 2 2 2" xfId="16394" xr:uid="{28AD4EF3-AE57-48C5-BE1B-E60DC78733DC}"/>
    <cellStyle name="40% - Accent4 2 6 2 3" xfId="12176" xr:uid="{5910B770-BE6C-4257-82A0-F422EFDD8D7C}"/>
    <cellStyle name="40% - Accent4 2 6 3" xfId="5820" xr:uid="{00000000-0005-0000-0000-0000EA050000}"/>
    <cellStyle name="40% - Accent4 2 6 3 2" xfId="14249" xr:uid="{5D87FE14-FE45-4D76-A647-FD6149F51E2D}"/>
    <cellStyle name="40% - Accent4 2 6 4" xfId="10031" xr:uid="{52848D2A-8C57-4C5F-9180-1F570598DC23}"/>
    <cellStyle name="40% - Accent4 2 7" xfId="1925" xr:uid="{00000000-0005-0000-0000-0000EB050000}"/>
    <cellStyle name="40% - Accent4 2 7 2" xfId="4154" xr:uid="{00000000-0005-0000-0000-0000EC050000}"/>
    <cellStyle name="40% - Accent4 2 7 2 2" xfId="8378" xr:uid="{00000000-0005-0000-0000-0000ED050000}"/>
    <cellStyle name="40% - Accent4 2 7 2 2 2" xfId="16807" xr:uid="{650FF5B7-774C-45F5-888B-C13408454853}"/>
    <cellStyle name="40% - Accent4 2 7 2 3" xfId="12589" xr:uid="{86243213-27E3-4A70-AB31-61002DBE9B0E}"/>
    <cellStyle name="40% - Accent4 2 7 3" xfId="6233" xr:uid="{00000000-0005-0000-0000-0000EE050000}"/>
    <cellStyle name="40% - Accent4 2 7 3 2" xfId="14662" xr:uid="{ED3A335A-BDA6-4362-9922-4F4AE9D017BC}"/>
    <cellStyle name="40% - Accent4 2 7 4" xfId="10444" xr:uid="{D67C2FC2-023F-4FE8-A2AE-5AFB6463093B}"/>
    <cellStyle name="40% - Accent4 2 8" xfId="2338" xr:uid="{00000000-0005-0000-0000-0000EF050000}"/>
    <cellStyle name="40% - Accent4 2 8 2" xfId="6646" xr:uid="{00000000-0005-0000-0000-0000F0050000}"/>
    <cellStyle name="40% - Accent4 2 8 2 2" xfId="15075" xr:uid="{C48B28A7-24F2-4AA9-85FA-61055D78F94C}"/>
    <cellStyle name="40% - Accent4 2 8 3" xfId="10857" xr:uid="{69D4022C-93A9-4CB4-8C22-A45BABF3206D}"/>
    <cellStyle name="40% - Accent4 2 9" xfId="4580" xr:uid="{00000000-0005-0000-0000-0000F1050000}"/>
    <cellStyle name="40% - Accent4 2 9 2" xfId="13009" xr:uid="{0FF94BBE-F7E9-485C-86BD-2BB648D6372D}"/>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2 2 2" xfId="15573" xr:uid="{FC6F6A72-3644-48E0-BCA0-972258400BAA}"/>
    <cellStyle name="40% - Accent4 3 2 2 2 3" xfId="11355" xr:uid="{59AD07FB-2E8E-43EE-AC69-4448CFB3B6A2}"/>
    <cellStyle name="40% - Accent4 3 2 2 3" xfId="4999" xr:uid="{00000000-0005-0000-0000-0000F7050000}"/>
    <cellStyle name="40% - Accent4 3 2 2 3 2" xfId="13428" xr:uid="{710F9193-BAD0-4AE0-BE1E-C753177AC040}"/>
    <cellStyle name="40% - Accent4 3 2 2 4" xfId="9210" xr:uid="{5B0D82A3-ACF9-4F0D-A6D9-1EB68EBEABC3}"/>
    <cellStyle name="40% - Accent4 3 2 3" xfId="1102" xr:uid="{00000000-0005-0000-0000-0000F8050000}"/>
    <cellStyle name="40% - Accent4 3 2 3 2" xfId="3333" xr:uid="{00000000-0005-0000-0000-0000F9050000}"/>
    <cellStyle name="40% - Accent4 3 2 3 2 2" xfId="7557" xr:uid="{00000000-0005-0000-0000-0000FA050000}"/>
    <cellStyle name="40% - Accent4 3 2 3 2 2 2" xfId="15986" xr:uid="{65BEF492-5104-4D37-BDBA-443A4FB30F3E}"/>
    <cellStyle name="40% - Accent4 3 2 3 2 3" xfId="11768" xr:uid="{B0059515-9BA0-493B-B06E-505F87F1FC10}"/>
    <cellStyle name="40% - Accent4 3 2 3 3" xfId="5412" xr:uid="{00000000-0005-0000-0000-0000FB050000}"/>
    <cellStyle name="40% - Accent4 3 2 3 3 2" xfId="13841" xr:uid="{9F150D27-813C-4A59-AAA1-C9C6711BD170}"/>
    <cellStyle name="40% - Accent4 3 2 3 4" xfId="9623" xr:uid="{12783E52-B3B3-439E-BFF0-65E32481EFFF}"/>
    <cellStyle name="40% - Accent4 3 2 4" xfId="1516" xr:uid="{00000000-0005-0000-0000-0000FC050000}"/>
    <cellStyle name="40% - Accent4 3 2 4 2" xfId="3746" xr:uid="{00000000-0005-0000-0000-0000FD050000}"/>
    <cellStyle name="40% - Accent4 3 2 4 2 2" xfId="7970" xr:uid="{00000000-0005-0000-0000-0000FE050000}"/>
    <cellStyle name="40% - Accent4 3 2 4 2 2 2" xfId="16399" xr:uid="{28F4E83E-A0AD-4AEC-9E0D-5038A59E49B0}"/>
    <cellStyle name="40% - Accent4 3 2 4 2 3" xfId="12181" xr:uid="{0AC258C4-C956-48F2-B0A6-1B033CA4C112}"/>
    <cellStyle name="40% - Accent4 3 2 4 3" xfId="5825" xr:uid="{00000000-0005-0000-0000-0000FF050000}"/>
    <cellStyle name="40% - Accent4 3 2 4 3 2" xfId="14254" xr:uid="{A2B0245D-D3AA-40ED-8BFD-6E61E3845D45}"/>
    <cellStyle name="40% - Accent4 3 2 4 4" xfId="10036" xr:uid="{92FD819A-F191-4A5A-8A94-3085BE72D139}"/>
    <cellStyle name="40% - Accent4 3 2 5" xfId="1930" xr:uid="{00000000-0005-0000-0000-000000060000}"/>
    <cellStyle name="40% - Accent4 3 2 5 2" xfId="4159" xr:uid="{00000000-0005-0000-0000-000001060000}"/>
    <cellStyle name="40% - Accent4 3 2 5 2 2" xfId="8383" xr:uid="{00000000-0005-0000-0000-000002060000}"/>
    <cellStyle name="40% - Accent4 3 2 5 2 2 2" xfId="16812" xr:uid="{C4E7243A-1C82-4596-B2A2-063FA340FB63}"/>
    <cellStyle name="40% - Accent4 3 2 5 2 3" xfId="12594" xr:uid="{25AA1FF9-1054-4645-A6B1-D10C217E3E7E}"/>
    <cellStyle name="40% - Accent4 3 2 5 3" xfId="6238" xr:uid="{00000000-0005-0000-0000-000003060000}"/>
    <cellStyle name="40% - Accent4 3 2 5 3 2" xfId="14667" xr:uid="{5080FF09-7AF5-48FE-AF6B-0453C24A2DB8}"/>
    <cellStyle name="40% - Accent4 3 2 5 4" xfId="10449" xr:uid="{00EBD814-98FF-4637-A584-17A52311EA08}"/>
    <cellStyle name="40% - Accent4 3 2 6" xfId="2343" xr:uid="{00000000-0005-0000-0000-000004060000}"/>
    <cellStyle name="40% - Accent4 3 2 6 2" xfId="6651" xr:uid="{00000000-0005-0000-0000-000005060000}"/>
    <cellStyle name="40% - Accent4 3 2 6 2 2" xfId="15080" xr:uid="{19D04273-9492-49BD-A7F0-789D826F6950}"/>
    <cellStyle name="40% - Accent4 3 2 6 3" xfId="10862" xr:uid="{9F82F166-6474-4EAA-9BF2-7EC92095F1D5}"/>
    <cellStyle name="40% - Accent4 3 2 7" xfId="4585" xr:uid="{00000000-0005-0000-0000-000006060000}"/>
    <cellStyle name="40% - Accent4 3 2 7 2" xfId="13014" xr:uid="{8C132ECE-F792-41CA-8384-004C7490F4C2}"/>
    <cellStyle name="40% - Accent4 3 2 8" xfId="8796" xr:uid="{77E900E2-89DC-42C9-A85C-F5F93435B05C}"/>
    <cellStyle name="40% - Accent4 3 3" xfId="648" xr:uid="{00000000-0005-0000-0000-000007060000}"/>
    <cellStyle name="40% - Accent4 3 3 2" xfId="2919" xr:uid="{00000000-0005-0000-0000-000008060000}"/>
    <cellStyle name="40% - Accent4 3 3 2 2" xfId="7143" xr:uid="{00000000-0005-0000-0000-000009060000}"/>
    <cellStyle name="40% - Accent4 3 3 2 2 2" xfId="15572" xr:uid="{6DD8BF8C-856B-454D-B24E-9CD0A91820BA}"/>
    <cellStyle name="40% - Accent4 3 3 2 3" xfId="11354" xr:uid="{53B7DC10-7769-4F02-BC37-3F8ECDADCF60}"/>
    <cellStyle name="40% - Accent4 3 3 3" xfId="4998" xr:uid="{00000000-0005-0000-0000-00000A060000}"/>
    <cellStyle name="40% - Accent4 3 3 3 2" xfId="13427" xr:uid="{59B2F441-49D5-413A-8757-5977BC32DE1E}"/>
    <cellStyle name="40% - Accent4 3 3 4" xfId="9209" xr:uid="{152F2B28-A55C-4514-A4E3-42899F3E91DE}"/>
    <cellStyle name="40% - Accent4 3 4" xfId="1101" xr:uid="{00000000-0005-0000-0000-00000B060000}"/>
    <cellStyle name="40% - Accent4 3 4 2" xfId="3332" xr:uid="{00000000-0005-0000-0000-00000C060000}"/>
    <cellStyle name="40% - Accent4 3 4 2 2" xfId="7556" xr:uid="{00000000-0005-0000-0000-00000D060000}"/>
    <cellStyle name="40% - Accent4 3 4 2 2 2" xfId="15985" xr:uid="{479D9C0D-D8F8-4223-9BCF-A31EBD6C6FE7}"/>
    <cellStyle name="40% - Accent4 3 4 2 3" xfId="11767" xr:uid="{B060BF04-97A5-44C5-8FE5-3D94E86A0E92}"/>
    <cellStyle name="40% - Accent4 3 4 3" xfId="5411" xr:uid="{00000000-0005-0000-0000-00000E060000}"/>
    <cellStyle name="40% - Accent4 3 4 3 2" xfId="13840" xr:uid="{ED175AA3-3A66-4D62-85DD-3B07F5948CC0}"/>
    <cellStyle name="40% - Accent4 3 4 4" xfId="9622" xr:uid="{5AEB8557-5C9B-4257-AF1B-67A10490C8CC}"/>
    <cellStyle name="40% - Accent4 3 5" xfId="1515" xr:uid="{00000000-0005-0000-0000-00000F060000}"/>
    <cellStyle name="40% - Accent4 3 5 2" xfId="3745" xr:uid="{00000000-0005-0000-0000-000010060000}"/>
    <cellStyle name="40% - Accent4 3 5 2 2" xfId="7969" xr:uid="{00000000-0005-0000-0000-000011060000}"/>
    <cellStyle name="40% - Accent4 3 5 2 2 2" xfId="16398" xr:uid="{3413FF23-257A-4FD3-9E9D-5AEAC4DC490F}"/>
    <cellStyle name="40% - Accent4 3 5 2 3" xfId="12180" xr:uid="{AC0F490B-90A8-492C-9731-AE8841576547}"/>
    <cellStyle name="40% - Accent4 3 5 3" xfId="5824" xr:uid="{00000000-0005-0000-0000-000012060000}"/>
    <cellStyle name="40% - Accent4 3 5 3 2" xfId="14253" xr:uid="{39AAE832-4AA5-4754-A084-C96C5238E017}"/>
    <cellStyle name="40% - Accent4 3 5 4" xfId="10035" xr:uid="{9B916EF6-C051-49FE-8661-CBB12931D668}"/>
    <cellStyle name="40% - Accent4 3 6" xfId="1929" xr:uid="{00000000-0005-0000-0000-000013060000}"/>
    <cellStyle name="40% - Accent4 3 6 2" xfId="4158" xr:uid="{00000000-0005-0000-0000-000014060000}"/>
    <cellStyle name="40% - Accent4 3 6 2 2" xfId="8382" xr:uid="{00000000-0005-0000-0000-000015060000}"/>
    <cellStyle name="40% - Accent4 3 6 2 2 2" xfId="16811" xr:uid="{029F4CE0-BC5A-4AC6-9DCA-D9C8FB5E58BC}"/>
    <cellStyle name="40% - Accent4 3 6 2 3" xfId="12593" xr:uid="{3C69125F-3A06-4512-91BF-CF3A47D66BA4}"/>
    <cellStyle name="40% - Accent4 3 6 3" xfId="6237" xr:uid="{00000000-0005-0000-0000-000016060000}"/>
    <cellStyle name="40% - Accent4 3 6 3 2" xfId="14666" xr:uid="{1A0F96E0-2179-491F-B827-4F85589BFEA1}"/>
    <cellStyle name="40% - Accent4 3 6 4" xfId="10448" xr:uid="{A2F6E2A4-1635-4589-83ED-D35D1E3B174A}"/>
    <cellStyle name="40% - Accent4 3 7" xfId="2342" xr:uid="{00000000-0005-0000-0000-000017060000}"/>
    <cellStyle name="40% - Accent4 3 7 2" xfId="6650" xr:uid="{00000000-0005-0000-0000-000018060000}"/>
    <cellStyle name="40% - Accent4 3 7 2 2" xfId="15079" xr:uid="{02235738-B420-4FEE-8D81-BE3526D8F969}"/>
    <cellStyle name="40% - Accent4 3 7 3" xfId="10861" xr:uid="{43482D55-3B76-46EB-93B1-773AD057D231}"/>
    <cellStyle name="40% - Accent4 3 8" xfId="4584" xr:uid="{00000000-0005-0000-0000-000019060000}"/>
    <cellStyle name="40% - Accent4 3 8 2" xfId="13013" xr:uid="{392A32B4-562C-4728-86F8-0E5D06D35E7D}"/>
    <cellStyle name="40% - Accent4 3 9" xfId="8795" xr:uid="{F8E9A76A-514C-4448-8F8A-C7BC38796358}"/>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2 2 2" xfId="15574" xr:uid="{0F8EF82B-9C49-4D65-85F4-8539215F76E6}"/>
    <cellStyle name="40% - Accent4 4 2 2 3" xfId="11356" xr:uid="{5C91FB73-2D27-4690-809C-734993166C85}"/>
    <cellStyle name="40% - Accent4 4 2 3" xfId="5000" xr:uid="{00000000-0005-0000-0000-00001E060000}"/>
    <cellStyle name="40% - Accent4 4 2 3 2" xfId="13429" xr:uid="{7A3BFBAA-A738-49CD-AC0F-AB5B5F2F73AB}"/>
    <cellStyle name="40% - Accent4 4 2 4" xfId="9211" xr:uid="{DCA42246-B729-4943-8A4A-6E196B8B3EF9}"/>
    <cellStyle name="40% - Accent4 4 3" xfId="1103" xr:uid="{00000000-0005-0000-0000-00001F060000}"/>
    <cellStyle name="40% - Accent4 4 3 2" xfId="3334" xr:uid="{00000000-0005-0000-0000-000020060000}"/>
    <cellStyle name="40% - Accent4 4 3 2 2" xfId="7558" xr:uid="{00000000-0005-0000-0000-000021060000}"/>
    <cellStyle name="40% - Accent4 4 3 2 2 2" xfId="15987" xr:uid="{56B73052-C85B-4E42-AA3D-1956A943D7C1}"/>
    <cellStyle name="40% - Accent4 4 3 2 3" xfId="11769" xr:uid="{D853EEF1-1182-41E6-A482-DBDF8599144C}"/>
    <cellStyle name="40% - Accent4 4 3 3" xfId="5413" xr:uid="{00000000-0005-0000-0000-000022060000}"/>
    <cellStyle name="40% - Accent4 4 3 3 2" xfId="13842" xr:uid="{E4DBB93F-9BEC-4306-8CDC-955844FA00CE}"/>
    <cellStyle name="40% - Accent4 4 3 4" xfId="9624" xr:uid="{36AF4138-0687-4E29-9BEB-5E7E8CBBFEA5}"/>
    <cellStyle name="40% - Accent4 4 4" xfId="1517" xr:uid="{00000000-0005-0000-0000-000023060000}"/>
    <cellStyle name="40% - Accent4 4 4 2" xfId="3747" xr:uid="{00000000-0005-0000-0000-000024060000}"/>
    <cellStyle name="40% - Accent4 4 4 2 2" xfId="7971" xr:uid="{00000000-0005-0000-0000-000025060000}"/>
    <cellStyle name="40% - Accent4 4 4 2 2 2" xfId="16400" xr:uid="{D79E710C-D142-42D7-9B5B-17A329D3E293}"/>
    <cellStyle name="40% - Accent4 4 4 2 3" xfId="12182" xr:uid="{3CBCF710-35C9-4E56-ACD6-11E4A2EBE146}"/>
    <cellStyle name="40% - Accent4 4 4 3" xfId="5826" xr:uid="{00000000-0005-0000-0000-000026060000}"/>
    <cellStyle name="40% - Accent4 4 4 3 2" xfId="14255" xr:uid="{45435256-13CB-455C-9156-2146160EB252}"/>
    <cellStyle name="40% - Accent4 4 4 4" xfId="10037" xr:uid="{DCD54A19-A652-4782-958F-9C325877F9F3}"/>
    <cellStyle name="40% - Accent4 4 5" xfId="1931" xr:uid="{00000000-0005-0000-0000-000027060000}"/>
    <cellStyle name="40% - Accent4 4 5 2" xfId="4160" xr:uid="{00000000-0005-0000-0000-000028060000}"/>
    <cellStyle name="40% - Accent4 4 5 2 2" xfId="8384" xr:uid="{00000000-0005-0000-0000-000029060000}"/>
    <cellStyle name="40% - Accent4 4 5 2 2 2" xfId="16813" xr:uid="{0D6FD90F-BA00-4C87-A7C7-2A54E1A9F213}"/>
    <cellStyle name="40% - Accent4 4 5 2 3" xfId="12595" xr:uid="{C1DD8D3B-9875-40D5-B9A5-AD65B2A2EB09}"/>
    <cellStyle name="40% - Accent4 4 5 3" xfId="6239" xr:uid="{00000000-0005-0000-0000-00002A060000}"/>
    <cellStyle name="40% - Accent4 4 5 3 2" xfId="14668" xr:uid="{898BD728-97BE-4732-BDCF-9D0F18D45475}"/>
    <cellStyle name="40% - Accent4 4 5 4" xfId="10450" xr:uid="{D35A9336-28BB-4358-B6BD-6EA1FCB73AA3}"/>
    <cellStyle name="40% - Accent4 4 6" xfId="2344" xr:uid="{00000000-0005-0000-0000-00002B060000}"/>
    <cellStyle name="40% - Accent4 4 6 2" xfId="6652" xr:uid="{00000000-0005-0000-0000-00002C060000}"/>
    <cellStyle name="40% - Accent4 4 6 2 2" xfId="15081" xr:uid="{4B832191-58E6-4B2A-822E-2A6388B9AD79}"/>
    <cellStyle name="40% - Accent4 4 6 3" xfId="10863" xr:uid="{CC829E9D-D98B-4798-8DF9-4B766BF34D69}"/>
    <cellStyle name="40% - Accent4 4 7" xfId="4586" xr:uid="{00000000-0005-0000-0000-00002D060000}"/>
    <cellStyle name="40% - Accent4 4 7 2" xfId="13015" xr:uid="{1429AEBB-B691-46B9-BD06-5CAB84B059C3}"/>
    <cellStyle name="40% - Accent4 4 8" xfId="8797" xr:uid="{77507B01-627B-4450-95C5-1A5A4022BE71}"/>
    <cellStyle name="40% - Accent4 5" xfId="643" xr:uid="{00000000-0005-0000-0000-00002E060000}"/>
    <cellStyle name="40% - Accent4 5 2" xfId="2914" xr:uid="{00000000-0005-0000-0000-00002F060000}"/>
    <cellStyle name="40% - Accent4 5 2 2" xfId="7138" xr:uid="{00000000-0005-0000-0000-000030060000}"/>
    <cellStyle name="40% - Accent4 5 2 2 2" xfId="15567" xr:uid="{356E82AD-D511-4025-A04F-AFDE4E1A58B1}"/>
    <cellStyle name="40% - Accent4 5 2 3" xfId="11349" xr:uid="{80C24A6F-B6D1-4994-989C-C9DC821AB714}"/>
    <cellStyle name="40% - Accent4 5 3" xfId="4993" xr:uid="{00000000-0005-0000-0000-000031060000}"/>
    <cellStyle name="40% - Accent4 5 3 2" xfId="13422" xr:uid="{40A2EFDA-D696-4141-96EC-D953BE4889B4}"/>
    <cellStyle name="40% - Accent4 5 4" xfId="9204" xr:uid="{8F040CD5-9ADD-4C14-9B99-3C2B1F94C3AC}"/>
    <cellStyle name="40% - Accent4 6" xfId="1096" xr:uid="{00000000-0005-0000-0000-000032060000}"/>
    <cellStyle name="40% - Accent4 6 2" xfId="3327" xr:uid="{00000000-0005-0000-0000-000033060000}"/>
    <cellStyle name="40% - Accent4 6 2 2" xfId="7551" xr:uid="{00000000-0005-0000-0000-000034060000}"/>
    <cellStyle name="40% - Accent4 6 2 2 2" xfId="15980" xr:uid="{E7175362-CBB8-4048-A05A-4D7806A8A69C}"/>
    <cellStyle name="40% - Accent4 6 2 3" xfId="11762" xr:uid="{D3FD3932-30BF-4040-A020-7F816C2F1659}"/>
    <cellStyle name="40% - Accent4 6 3" xfId="5406" xr:uid="{00000000-0005-0000-0000-000035060000}"/>
    <cellStyle name="40% - Accent4 6 3 2" xfId="13835" xr:uid="{EEA279C9-665A-4384-AE30-3BB14D120830}"/>
    <cellStyle name="40% - Accent4 6 4" xfId="9617" xr:uid="{B3B2617F-8A98-4144-BF44-76E5E4711FF8}"/>
    <cellStyle name="40% - Accent4 7" xfId="1510" xr:uid="{00000000-0005-0000-0000-000036060000}"/>
    <cellStyle name="40% - Accent4 7 2" xfId="3740" xr:uid="{00000000-0005-0000-0000-000037060000}"/>
    <cellStyle name="40% - Accent4 7 2 2" xfId="7964" xr:uid="{00000000-0005-0000-0000-000038060000}"/>
    <cellStyle name="40% - Accent4 7 2 2 2" xfId="16393" xr:uid="{C4DF66C2-9D88-4122-B0D4-058264D2C22F}"/>
    <cellStyle name="40% - Accent4 7 2 3" xfId="12175" xr:uid="{EE84EC22-F0CA-4698-BDFB-41961DE60AF3}"/>
    <cellStyle name="40% - Accent4 7 3" xfId="5819" xr:uid="{00000000-0005-0000-0000-000039060000}"/>
    <cellStyle name="40% - Accent4 7 3 2" xfId="14248" xr:uid="{212C176B-C5A2-457C-9807-ECADFC70B0F4}"/>
    <cellStyle name="40% - Accent4 7 4" xfId="10030" xr:uid="{CBF13D96-62A2-4045-8925-2C3E261617BA}"/>
    <cellStyle name="40% - Accent4 8" xfId="1924" xr:uid="{00000000-0005-0000-0000-00003A060000}"/>
    <cellStyle name="40% - Accent4 8 2" xfId="4153" xr:uid="{00000000-0005-0000-0000-00003B060000}"/>
    <cellStyle name="40% - Accent4 8 2 2" xfId="8377" xr:uid="{00000000-0005-0000-0000-00003C060000}"/>
    <cellStyle name="40% - Accent4 8 2 2 2" xfId="16806" xr:uid="{041E25C4-2794-4907-B9AA-F5D672BA0D8C}"/>
    <cellStyle name="40% - Accent4 8 2 3" xfId="12588" xr:uid="{3C4B194F-A763-4E5D-83DB-47AED7E88676}"/>
    <cellStyle name="40% - Accent4 8 3" xfId="6232" xr:uid="{00000000-0005-0000-0000-00003D060000}"/>
    <cellStyle name="40% - Accent4 8 3 2" xfId="14661" xr:uid="{3973BF28-47C8-4935-9205-04FD89FD3AA2}"/>
    <cellStyle name="40% - Accent4 8 4" xfId="10443" xr:uid="{DCF68B33-343E-4E45-A7FE-67AC901CD8D6}"/>
    <cellStyle name="40% - Accent4 9" xfId="2337" xr:uid="{00000000-0005-0000-0000-00003E060000}"/>
    <cellStyle name="40% - Accent4 9 2" xfId="6645" xr:uid="{00000000-0005-0000-0000-00003F060000}"/>
    <cellStyle name="40% - Accent4 9 2 2" xfId="15074" xr:uid="{DEFE51F8-D5C2-424C-AB41-3A066F9D5557}"/>
    <cellStyle name="40% - Accent4 9 3" xfId="10856" xr:uid="{3A9E8A06-291E-458D-A03E-1132311D7D7F}"/>
    <cellStyle name="40% - Accent5" xfId="81" builtinId="47" customBuiltin="1"/>
    <cellStyle name="40% - Accent5 10" xfId="4587" xr:uid="{00000000-0005-0000-0000-000041060000}"/>
    <cellStyle name="40% - Accent5 10 2" xfId="13016" xr:uid="{B9323C63-745D-4756-92DD-052C1044838D}"/>
    <cellStyle name="40% - Accent5 11" xfId="8798" xr:uid="{3987AE0B-A178-41E5-9D72-CA12550DAB9A}"/>
    <cellStyle name="40% - Accent5 2" xfId="82" xr:uid="{00000000-0005-0000-0000-000042060000}"/>
    <cellStyle name="40% - Accent5 2 10" xfId="8799" xr:uid="{EC4EFC7B-7B85-4679-96D0-9A800D4659AB}"/>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2 2 2" xfId="15578" xr:uid="{63AE31CC-6809-4D7E-9274-8A2632946736}"/>
    <cellStyle name="40% - Accent5 2 2 2 2 2 3" xfId="11360" xr:uid="{4453F268-BE5F-4289-9851-DD57EEEBE4B2}"/>
    <cellStyle name="40% - Accent5 2 2 2 2 3" xfId="5004" xr:uid="{00000000-0005-0000-0000-000048060000}"/>
    <cellStyle name="40% - Accent5 2 2 2 2 3 2" xfId="13433" xr:uid="{DF358F1A-2C83-42CE-BB82-76A44B50B404}"/>
    <cellStyle name="40% - Accent5 2 2 2 2 4" xfId="9215" xr:uid="{DBC37AD9-F454-4545-80BD-F22CD983C6C7}"/>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2 2 2" xfId="15991" xr:uid="{877BD9C0-BCE7-465F-A6F1-DE2F436812C0}"/>
    <cellStyle name="40% - Accent5 2 2 2 3 2 3" xfId="11773" xr:uid="{698A29B1-4C41-4C3E-9C92-0056BC9E926F}"/>
    <cellStyle name="40% - Accent5 2 2 2 3 3" xfId="5417" xr:uid="{00000000-0005-0000-0000-00004C060000}"/>
    <cellStyle name="40% - Accent5 2 2 2 3 3 2" xfId="13846" xr:uid="{5EAEE366-ECD4-4F32-9007-47FA10A3F04F}"/>
    <cellStyle name="40% - Accent5 2 2 2 3 4" xfId="9628" xr:uid="{BB9327C6-4CB3-4A76-AC6D-02E116E7D789}"/>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2 2 2" xfId="16404" xr:uid="{CDA91E92-C76D-4FEB-8DC3-7DC255FFCB58}"/>
    <cellStyle name="40% - Accent5 2 2 2 4 2 3" xfId="12186" xr:uid="{8A9C72CB-548E-49C9-A046-3684042C3DFB}"/>
    <cellStyle name="40% - Accent5 2 2 2 4 3" xfId="5830" xr:uid="{00000000-0005-0000-0000-000050060000}"/>
    <cellStyle name="40% - Accent5 2 2 2 4 3 2" xfId="14259" xr:uid="{B51036CC-556C-4A31-BE58-09890D505C07}"/>
    <cellStyle name="40% - Accent5 2 2 2 4 4" xfId="10041" xr:uid="{F8597F6C-04FA-4F78-B9D4-FE39AB4EBFDB}"/>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2 2 2" xfId="16817" xr:uid="{7ED07BD6-F94F-438A-9308-B216D507806F}"/>
    <cellStyle name="40% - Accent5 2 2 2 5 2 3" xfId="12599" xr:uid="{B6D04047-6A96-41DE-B2F7-5CB97C36CA4E}"/>
    <cellStyle name="40% - Accent5 2 2 2 5 3" xfId="6243" xr:uid="{00000000-0005-0000-0000-000054060000}"/>
    <cellStyle name="40% - Accent5 2 2 2 5 3 2" xfId="14672" xr:uid="{EC869270-3D3C-455F-A589-9103BBD07F30}"/>
    <cellStyle name="40% - Accent5 2 2 2 5 4" xfId="10454" xr:uid="{D45052E0-00E8-4B58-A3E2-40F1B828AD42}"/>
    <cellStyle name="40% - Accent5 2 2 2 6" xfId="2348" xr:uid="{00000000-0005-0000-0000-000055060000}"/>
    <cellStyle name="40% - Accent5 2 2 2 6 2" xfId="6656" xr:uid="{00000000-0005-0000-0000-000056060000}"/>
    <cellStyle name="40% - Accent5 2 2 2 6 2 2" xfId="15085" xr:uid="{26F1B8E5-C51F-40D2-8B62-326445A13489}"/>
    <cellStyle name="40% - Accent5 2 2 2 6 3" xfId="10867" xr:uid="{931D6777-B1E1-42BE-9BFF-55B9E28E592F}"/>
    <cellStyle name="40% - Accent5 2 2 2 7" xfId="4590" xr:uid="{00000000-0005-0000-0000-000057060000}"/>
    <cellStyle name="40% - Accent5 2 2 2 7 2" xfId="13019" xr:uid="{44037DB2-5ED2-48D1-821A-BDB6E2826FAA}"/>
    <cellStyle name="40% - Accent5 2 2 2 8" xfId="8801" xr:uid="{3C5DEAD5-2D5D-4B7A-B75E-CFBC43213FE4}"/>
    <cellStyle name="40% - Accent5 2 2 3" xfId="653" xr:uid="{00000000-0005-0000-0000-000058060000}"/>
    <cellStyle name="40% - Accent5 2 2 3 2" xfId="2924" xr:uid="{00000000-0005-0000-0000-000059060000}"/>
    <cellStyle name="40% - Accent5 2 2 3 2 2" xfId="7148" xr:uid="{00000000-0005-0000-0000-00005A060000}"/>
    <cellStyle name="40% - Accent5 2 2 3 2 2 2" xfId="15577" xr:uid="{63C1CD11-8B25-45CB-9953-FB1DE324D867}"/>
    <cellStyle name="40% - Accent5 2 2 3 2 3" xfId="11359" xr:uid="{7CE269AD-7D84-46EE-ADD3-054AF5ECB8DA}"/>
    <cellStyle name="40% - Accent5 2 2 3 3" xfId="5003" xr:uid="{00000000-0005-0000-0000-00005B060000}"/>
    <cellStyle name="40% - Accent5 2 2 3 3 2" xfId="13432" xr:uid="{84A57F45-599F-41FB-BCD5-9F662102BBD0}"/>
    <cellStyle name="40% - Accent5 2 2 3 4" xfId="9214" xr:uid="{AEAD5E0A-8398-4335-9E86-D44123A4C261}"/>
    <cellStyle name="40% - Accent5 2 2 4" xfId="1106" xr:uid="{00000000-0005-0000-0000-00005C060000}"/>
    <cellStyle name="40% - Accent5 2 2 4 2" xfId="3337" xr:uid="{00000000-0005-0000-0000-00005D060000}"/>
    <cellStyle name="40% - Accent5 2 2 4 2 2" xfId="7561" xr:uid="{00000000-0005-0000-0000-00005E060000}"/>
    <cellStyle name="40% - Accent5 2 2 4 2 2 2" xfId="15990" xr:uid="{3D6F59A4-706D-4C74-A40D-2AE9E668A0DB}"/>
    <cellStyle name="40% - Accent5 2 2 4 2 3" xfId="11772" xr:uid="{3B78A074-3BE0-409D-AD54-A18C8214C87B}"/>
    <cellStyle name="40% - Accent5 2 2 4 3" xfId="5416" xr:uid="{00000000-0005-0000-0000-00005F060000}"/>
    <cellStyle name="40% - Accent5 2 2 4 3 2" xfId="13845" xr:uid="{EFBC744D-9B20-4129-AAB5-C2CA35601F56}"/>
    <cellStyle name="40% - Accent5 2 2 4 4" xfId="9627" xr:uid="{ED31A479-C4C7-4F49-B4AE-67F36BEDA6DA}"/>
    <cellStyle name="40% - Accent5 2 2 5" xfId="1520" xr:uid="{00000000-0005-0000-0000-000060060000}"/>
    <cellStyle name="40% - Accent5 2 2 5 2" xfId="3750" xr:uid="{00000000-0005-0000-0000-000061060000}"/>
    <cellStyle name="40% - Accent5 2 2 5 2 2" xfId="7974" xr:uid="{00000000-0005-0000-0000-000062060000}"/>
    <cellStyle name="40% - Accent5 2 2 5 2 2 2" xfId="16403" xr:uid="{FB8B0C3F-5723-4486-A895-24F9B15E5280}"/>
    <cellStyle name="40% - Accent5 2 2 5 2 3" xfId="12185" xr:uid="{8F778EFC-2E09-49B2-A2A8-8F67446B0D0B}"/>
    <cellStyle name="40% - Accent5 2 2 5 3" xfId="5829" xr:uid="{00000000-0005-0000-0000-000063060000}"/>
    <cellStyle name="40% - Accent5 2 2 5 3 2" xfId="14258" xr:uid="{C3F9F7FA-CDBB-460C-A23F-3EA485FDB1BA}"/>
    <cellStyle name="40% - Accent5 2 2 5 4" xfId="10040" xr:uid="{8147F056-495E-493C-B28B-0D1E71D417BD}"/>
    <cellStyle name="40% - Accent5 2 2 6" xfId="1934" xr:uid="{00000000-0005-0000-0000-000064060000}"/>
    <cellStyle name="40% - Accent5 2 2 6 2" xfId="4163" xr:uid="{00000000-0005-0000-0000-000065060000}"/>
    <cellStyle name="40% - Accent5 2 2 6 2 2" xfId="8387" xr:uid="{00000000-0005-0000-0000-000066060000}"/>
    <cellStyle name="40% - Accent5 2 2 6 2 2 2" xfId="16816" xr:uid="{F95EC9B6-9FC8-4E1D-91BD-977BBE74F485}"/>
    <cellStyle name="40% - Accent5 2 2 6 2 3" xfId="12598" xr:uid="{B688A362-DA02-4275-9F8D-54E3DCD4E30B}"/>
    <cellStyle name="40% - Accent5 2 2 6 3" xfId="6242" xr:uid="{00000000-0005-0000-0000-000067060000}"/>
    <cellStyle name="40% - Accent5 2 2 6 3 2" xfId="14671" xr:uid="{99989C61-AB49-457D-99D3-C8A1258CF9E1}"/>
    <cellStyle name="40% - Accent5 2 2 6 4" xfId="10453" xr:uid="{CCDF0410-CA5F-40D3-9955-F31BCD5F24B5}"/>
    <cellStyle name="40% - Accent5 2 2 7" xfId="2347" xr:uid="{00000000-0005-0000-0000-000068060000}"/>
    <cellStyle name="40% - Accent5 2 2 7 2" xfId="6655" xr:uid="{00000000-0005-0000-0000-000069060000}"/>
    <cellStyle name="40% - Accent5 2 2 7 2 2" xfId="15084" xr:uid="{A431C85D-BEC5-4471-A576-E9E480ECB98C}"/>
    <cellStyle name="40% - Accent5 2 2 7 3" xfId="10866" xr:uid="{FC45733B-AC2D-49E4-A757-FBDC1439FF91}"/>
    <cellStyle name="40% - Accent5 2 2 8" xfId="4589" xr:uid="{00000000-0005-0000-0000-00006A060000}"/>
    <cellStyle name="40% - Accent5 2 2 8 2" xfId="13018" xr:uid="{FD626799-FB6A-4C05-91EE-C4531DF3BFE0}"/>
    <cellStyle name="40% - Accent5 2 2 9" xfId="8800" xr:uid="{CB568541-D79A-46B6-8266-AEA9FC179878}"/>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2 2 2" xfId="15579" xr:uid="{E5A4D2EA-6CA5-4A45-9C0D-E84067A1BB66}"/>
    <cellStyle name="40% - Accent5 2 3 2 2 3" xfId="11361" xr:uid="{D742362D-80F5-4083-94CF-C2C2D09D4483}"/>
    <cellStyle name="40% - Accent5 2 3 2 3" xfId="5005" xr:uid="{00000000-0005-0000-0000-00006F060000}"/>
    <cellStyle name="40% - Accent5 2 3 2 3 2" xfId="13434" xr:uid="{4BE1303D-7781-4469-88B4-2DE2EC0858D1}"/>
    <cellStyle name="40% - Accent5 2 3 2 4" xfId="9216" xr:uid="{14CEAE08-4EE2-49B4-B949-86C37F604373}"/>
    <cellStyle name="40% - Accent5 2 3 3" xfId="1108" xr:uid="{00000000-0005-0000-0000-000070060000}"/>
    <cellStyle name="40% - Accent5 2 3 3 2" xfId="3339" xr:uid="{00000000-0005-0000-0000-000071060000}"/>
    <cellStyle name="40% - Accent5 2 3 3 2 2" xfId="7563" xr:uid="{00000000-0005-0000-0000-000072060000}"/>
    <cellStyle name="40% - Accent5 2 3 3 2 2 2" xfId="15992" xr:uid="{6C87EA94-B893-42D7-A701-01425C2F4997}"/>
    <cellStyle name="40% - Accent5 2 3 3 2 3" xfId="11774" xr:uid="{63B5C0FF-8A9E-4EF8-BFBC-8A4BFD11833A}"/>
    <cellStyle name="40% - Accent5 2 3 3 3" xfId="5418" xr:uid="{00000000-0005-0000-0000-000073060000}"/>
    <cellStyle name="40% - Accent5 2 3 3 3 2" xfId="13847" xr:uid="{747957C9-9051-4603-8FE6-BE38E287CEA5}"/>
    <cellStyle name="40% - Accent5 2 3 3 4" xfId="9629" xr:uid="{5A782E26-262D-40A8-A0AC-851906C10E16}"/>
    <cellStyle name="40% - Accent5 2 3 4" xfId="1522" xr:uid="{00000000-0005-0000-0000-000074060000}"/>
    <cellStyle name="40% - Accent5 2 3 4 2" xfId="3752" xr:uid="{00000000-0005-0000-0000-000075060000}"/>
    <cellStyle name="40% - Accent5 2 3 4 2 2" xfId="7976" xr:uid="{00000000-0005-0000-0000-000076060000}"/>
    <cellStyle name="40% - Accent5 2 3 4 2 2 2" xfId="16405" xr:uid="{BD8D43B1-7449-44EF-A537-819633EF1B66}"/>
    <cellStyle name="40% - Accent5 2 3 4 2 3" xfId="12187" xr:uid="{3F4FA688-C2A7-4673-BBFA-E52DC5762A95}"/>
    <cellStyle name="40% - Accent5 2 3 4 3" xfId="5831" xr:uid="{00000000-0005-0000-0000-000077060000}"/>
    <cellStyle name="40% - Accent5 2 3 4 3 2" xfId="14260" xr:uid="{944A5A07-4063-4CD3-B68E-400FDA1476CF}"/>
    <cellStyle name="40% - Accent5 2 3 4 4" xfId="10042" xr:uid="{3B10E5DC-7EB1-4537-AD5F-34EDE83B33DC}"/>
    <cellStyle name="40% - Accent5 2 3 5" xfId="1936" xr:uid="{00000000-0005-0000-0000-000078060000}"/>
    <cellStyle name="40% - Accent5 2 3 5 2" xfId="4165" xr:uid="{00000000-0005-0000-0000-000079060000}"/>
    <cellStyle name="40% - Accent5 2 3 5 2 2" xfId="8389" xr:uid="{00000000-0005-0000-0000-00007A060000}"/>
    <cellStyle name="40% - Accent5 2 3 5 2 2 2" xfId="16818" xr:uid="{58C02373-BDDF-44F1-88EB-DB1C33900F23}"/>
    <cellStyle name="40% - Accent5 2 3 5 2 3" xfId="12600" xr:uid="{BD2F2D14-29AE-4E1A-8F96-615E5A57ACE5}"/>
    <cellStyle name="40% - Accent5 2 3 5 3" xfId="6244" xr:uid="{00000000-0005-0000-0000-00007B060000}"/>
    <cellStyle name="40% - Accent5 2 3 5 3 2" xfId="14673" xr:uid="{CFB4ED6C-B8FA-4D6E-AD0F-2F280BAB92FF}"/>
    <cellStyle name="40% - Accent5 2 3 5 4" xfId="10455" xr:uid="{55212462-D9F1-4B9A-92AB-63B8BCB590F2}"/>
    <cellStyle name="40% - Accent5 2 3 6" xfId="2349" xr:uid="{00000000-0005-0000-0000-00007C060000}"/>
    <cellStyle name="40% - Accent5 2 3 6 2" xfId="6657" xr:uid="{00000000-0005-0000-0000-00007D060000}"/>
    <cellStyle name="40% - Accent5 2 3 6 2 2" xfId="15086" xr:uid="{6226CCA3-3030-47CF-967A-D157DC658116}"/>
    <cellStyle name="40% - Accent5 2 3 6 3" xfId="10868" xr:uid="{90151465-7803-435C-9974-BB0A73A80133}"/>
    <cellStyle name="40% - Accent5 2 3 7" xfId="4591" xr:uid="{00000000-0005-0000-0000-00007E060000}"/>
    <cellStyle name="40% - Accent5 2 3 7 2" xfId="13020" xr:uid="{D026404B-9E48-4603-9EAC-B2204D1C4F46}"/>
    <cellStyle name="40% - Accent5 2 3 8" xfId="8802" xr:uid="{A4E3E3DF-94AD-47BC-98DF-FA9A526D118C}"/>
    <cellStyle name="40% - Accent5 2 4" xfId="652" xr:uid="{00000000-0005-0000-0000-00007F060000}"/>
    <cellStyle name="40% - Accent5 2 4 2" xfId="2923" xr:uid="{00000000-0005-0000-0000-000080060000}"/>
    <cellStyle name="40% - Accent5 2 4 2 2" xfId="7147" xr:uid="{00000000-0005-0000-0000-000081060000}"/>
    <cellStyle name="40% - Accent5 2 4 2 2 2" xfId="15576" xr:uid="{FEBC2C85-F315-46EA-8508-CA6570C5218C}"/>
    <cellStyle name="40% - Accent5 2 4 2 3" xfId="11358" xr:uid="{E3AF905B-5BE9-4236-B7FC-4C73F89B22D0}"/>
    <cellStyle name="40% - Accent5 2 4 3" xfId="5002" xr:uid="{00000000-0005-0000-0000-000082060000}"/>
    <cellStyle name="40% - Accent5 2 4 3 2" xfId="13431" xr:uid="{004CED00-E0F2-4D01-AE8D-065D19A5834D}"/>
    <cellStyle name="40% - Accent5 2 4 4" xfId="9213" xr:uid="{6CC379D8-A32D-4940-8F2B-F6D52D4FBBD0}"/>
    <cellStyle name="40% - Accent5 2 5" xfId="1105" xr:uid="{00000000-0005-0000-0000-000083060000}"/>
    <cellStyle name="40% - Accent5 2 5 2" xfId="3336" xr:uid="{00000000-0005-0000-0000-000084060000}"/>
    <cellStyle name="40% - Accent5 2 5 2 2" xfId="7560" xr:uid="{00000000-0005-0000-0000-000085060000}"/>
    <cellStyle name="40% - Accent5 2 5 2 2 2" xfId="15989" xr:uid="{CAE800F1-A1CC-4683-BA10-4698EE232291}"/>
    <cellStyle name="40% - Accent5 2 5 2 3" xfId="11771" xr:uid="{F5EBEBB9-4F5B-479D-9164-8DAF126E0215}"/>
    <cellStyle name="40% - Accent5 2 5 3" xfId="5415" xr:uid="{00000000-0005-0000-0000-000086060000}"/>
    <cellStyle name="40% - Accent5 2 5 3 2" xfId="13844" xr:uid="{1DA566EB-A301-40ED-9365-6A515AB16014}"/>
    <cellStyle name="40% - Accent5 2 5 4" xfId="9626" xr:uid="{497BE290-0CF1-4F61-95FD-E8E93BC67424}"/>
    <cellStyle name="40% - Accent5 2 6" xfId="1519" xr:uid="{00000000-0005-0000-0000-000087060000}"/>
    <cellStyle name="40% - Accent5 2 6 2" xfId="3749" xr:uid="{00000000-0005-0000-0000-000088060000}"/>
    <cellStyle name="40% - Accent5 2 6 2 2" xfId="7973" xr:uid="{00000000-0005-0000-0000-000089060000}"/>
    <cellStyle name="40% - Accent5 2 6 2 2 2" xfId="16402" xr:uid="{DC4555DD-8854-4539-9884-DF641D1D8A0B}"/>
    <cellStyle name="40% - Accent5 2 6 2 3" xfId="12184" xr:uid="{3B48FAF9-E016-405F-A19B-96787E67F460}"/>
    <cellStyle name="40% - Accent5 2 6 3" xfId="5828" xr:uid="{00000000-0005-0000-0000-00008A060000}"/>
    <cellStyle name="40% - Accent5 2 6 3 2" xfId="14257" xr:uid="{93FCFDD7-23E7-4707-B77D-1C519CA5EDAD}"/>
    <cellStyle name="40% - Accent5 2 6 4" xfId="10039" xr:uid="{05FD94E6-992A-407F-BBC0-32123E73ED01}"/>
    <cellStyle name="40% - Accent5 2 7" xfId="1933" xr:uid="{00000000-0005-0000-0000-00008B060000}"/>
    <cellStyle name="40% - Accent5 2 7 2" xfId="4162" xr:uid="{00000000-0005-0000-0000-00008C060000}"/>
    <cellStyle name="40% - Accent5 2 7 2 2" xfId="8386" xr:uid="{00000000-0005-0000-0000-00008D060000}"/>
    <cellStyle name="40% - Accent5 2 7 2 2 2" xfId="16815" xr:uid="{7A71927B-3970-4D99-836D-FF343D885962}"/>
    <cellStyle name="40% - Accent5 2 7 2 3" xfId="12597" xr:uid="{FBA11564-493E-47CD-87CC-4ED9C8AFBBF2}"/>
    <cellStyle name="40% - Accent5 2 7 3" xfId="6241" xr:uid="{00000000-0005-0000-0000-00008E060000}"/>
    <cellStyle name="40% - Accent5 2 7 3 2" xfId="14670" xr:uid="{3FED5779-5E3A-4976-8E41-942944D5AC81}"/>
    <cellStyle name="40% - Accent5 2 7 4" xfId="10452" xr:uid="{31F6A860-8A48-44F8-9FEF-E74790EF1085}"/>
    <cellStyle name="40% - Accent5 2 8" xfId="2346" xr:uid="{00000000-0005-0000-0000-00008F060000}"/>
    <cellStyle name="40% - Accent5 2 8 2" xfId="6654" xr:uid="{00000000-0005-0000-0000-000090060000}"/>
    <cellStyle name="40% - Accent5 2 8 2 2" xfId="15083" xr:uid="{58787BE7-A82E-47DD-8223-2AEA1757BA27}"/>
    <cellStyle name="40% - Accent5 2 8 3" xfId="10865" xr:uid="{5D46F98B-5951-4C3D-B4AC-C896EB768837}"/>
    <cellStyle name="40% - Accent5 2 9" xfId="4588" xr:uid="{00000000-0005-0000-0000-000091060000}"/>
    <cellStyle name="40% - Accent5 2 9 2" xfId="13017" xr:uid="{216C447F-B558-4115-B584-A5E5C9921AB3}"/>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2 2 2" xfId="15581" xr:uid="{F1A131F7-B8D3-47E8-A58C-532885EA4549}"/>
    <cellStyle name="40% - Accent5 3 2 2 2 3" xfId="11363" xr:uid="{E49E1135-C9A4-4F87-88FB-E46FAEE522E5}"/>
    <cellStyle name="40% - Accent5 3 2 2 3" xfId="5007" xr:uid="{00000000-0005-0000-0000-000097060000}"/>
    <cellStyle name="40% - Accent5 3 2 2 3 2" xfId="13436" xr:uid="{C1DD9B3D-A291-476B-8754-83ACC26D7A00}"/>
    <cellStyle name="40% - Accent5 3 2 2 4" xfId="9218" xr:uid="{1ABD1E3A-B76A-48B2-A3C0-12FCB6D5A97E}"/>
    <cellStyle name="40% - Accent5 3 2 3" xfId="1110" xr:uid="{00000000-0005-0000-0000-000098060000}"/>
    <cellStyle name="40% - Accent5 3 2 3 2" xfId="3341" xr:uid="{00000000-0005-0000-0000-000099060000}"/>
    <cellStyle name="40% - Accent5 3 2 3 2 2" xfId="7565" xr:uid="{00000000-0005-0000-0000-00009A060000}"/>
    <cellStyle name="40% - Accent5 3 2 3 2 2 2" xfId="15994" xr:uid="{2BB65DBE-9A46-479F-9C40-022A22B8D177}"/>
    <cellStyle name="40% - Accent5 3 2 3 2 3" xfId="11776" xr:uid="{B20729FC-BC6C-4A1D-BD5D-AB0D68F4B1E4}"/>
    <cellStyle name="40% - Accent5 3 2 3 3" xfId="5420" xr:uid="{00000000-0005-0000-0000-00009B060000}"/>
    <cellStyle name="40% - Accent5 3 2 3 3 2" xfId="13849" xr:uid="{3992624F-AEFA-4A06-B158-06E965E669DF}"/>
    <cellStyle name="40% - Accent5 3 2 3 4" xfId="9631" xr:uid="{21EC0A89-64AC-4571-BCD5-D0865B6721E0}"/>
    <cellStyle name="40% - Accent5 3 2 4" xfId="1524" xr:uid="{00000000-0005-0000-0000-00009C060000}"/>
    <cellStyle name="40% - Accent5 3 2 4 2" xfId="3754" xr:uid="{00000000-0005-0000-0000-00009D060000}"/>
    <cellStyle name="40% - Accent5 3 2 4 2 2" xfId="7978" xr:uid="{00000000-0005-0000-0000-00009E060000}"/>
    <cellStyle name="40% - Accent5 3 2 4 2 2 2" xfId="16407" xr:uid="{BAB3200F-586E-4588-B793-EA1A2961272A}"/>
    <cellStyle name="40% - Accent5 3 2 4 2 3" xfId="12189" xr:uid="{893F46D8-27EE-4102-B25B-1671FC1046B0}"/>
    <cellStyle name="40% - Accent5 3 2 4 3" xfId="5833" xr:uid="{00000000-0005-0000-0000-00009F060000}"/>
    <cellStyle name="40% - Accent5 3 2 4 3 2" xfId="14262" xr:uid="{919FB09C-8994-423B-95A1-A645C2048DA8}"/>
    <cellStyle name="40% - Accent5 3 2 4 4" xfId="10044" xr:uid="{F5081313-CA02-44F9-9AF7-9C16EDA032E8}"/>
    <cellStyle name="40% - Accent5 3 2 5" xfId="1938" xr:uid="{00000000-0005-0000-0000-0000A0060000}"/>
    <cellStyle name="40% - Accent5 3 2 5 2" xfId="4167" xr:uid="{00000000-0005-0000-0000-0000A1060000}"/>
    <cellStyle name="40% - Accent5 3 2 5 2 2" xfId="8391" xr:uid="{00000000-0005-0000-0000-0000A2060000}"/>
    <cellStyle name="40% - Accent5 3 2 5 2 2 2" xfId="16820" xr:uid="{3DD2F0A3-3482-4370-92C7-F528FAE0A996}"/>
    <cellStyle name="40% - Accent5 3 2 5 2 3" xfId="12602" xr:uid="{2AA33326-485F-4911-BCD8-3064878A7F92}"/>
    <cellStyle name="40% - Accent5 3 2 5 3" xfId="6246" xr:uid="{00000000-0005-0000-0000-0000A3060000}"/>
    <cellStyle name="40% - Accent5 3 2 5 3 2" xfId="14675" xr:uid="{60671AE0-A495-4673-B1D9-D16E0FC68D98}"/>
    <cellStyle name="40% - Accent5 3 2 5 4" xfId="10457" xr:uid="{65927636-5EAE-4DD1-8C11-3DABF33E5C6D}"/>
    <cellStyle name="40% - Accent5 3 2 6" xfId="2351" xr:uid="{00000000-0005-0000-0000-0000A4060000}"/>
    <cellStyle name="40% - Accent5 3 2 6 2" xfId="6659" xr:uid="{00000000-0005-0000-0000-0000A5060000}"/>
    <cellStyle name="40% - Accent5 3 2 6 2 2" xfId="15088" xr:uid="{8EAF2A63-6DB9-4064-B947-8A1BEBC132BA}"/>
    <cellStyle name="40% - Accent5 3 2 6 3" xfId="10870" xr:uid="{786A484F-CA18-4E10-8694-B79D24BD9979}"/>
    <cellStyle name="40% - Accent5 3 2 7" xfId="4593" xr:uid="{00000000-0005-0000-0000-0000A6060000}"/>
    <cellStyle name="40% - Accent5 3 2 7 2" xfId="13022" xr:uid="{8DB800FE-A036-47FD-8982-B5E0CCC4DA14}"/>
    <cellStyle name="40% - Accent5 3 2 8" xfId="8804" xr:uid="{9CA01DE9-4242-4570-8747-5F712D85B5B1}"/>
    <cellStyle name="40% - Accent5 3 3" xfId="656" xr:uid="{00000000-0005-0000-0000-0000A7060000}"/>
    <cellStyle name="40% - Accent5 3 3 2" xfId="2927" xr:uid="{00000000-0005-0000-0000-0000A8060000}"/>
    <cellStyle name="40% - Accent5 3 3 2 2" xfId="7151" xr:uid="{00000000-0005-0000-0000-0000A9060000}"/>
    <cellStyle name="40% - Accent5 3 3 2 2 2" xfId="15580" xr:uid="{C6757682-702C-47FB-A4E7-452AF2D8F511}"/>
    <cellStyle name="40% - Accent5 3 3 2 3" xfId="11362" xr:uid="{B10333BD-D35D-4110-80B0-79C2BC431F3F}"/>
    <cellStyle name="40% - Accent5 3 3 3" xfId="5006" xr:uid="{00000000-0005-0000-0000-0000AA060000}"/>
    <cellStyle name="40% - Accent5 3 3 3 2" xfId="13435" xr:uid="{C9566C3F-CD4E-488C-BA68-EBC666AEA773}"/>
    <cellStyle name="40% - Accent5 3 3 4" xfId="9217" xr:uid="{79D987A3-4260-4C3C-A40E-DB8CABE87DD9}"/>
    <cellStyle name="40% - Accent5 3 4" xfId="1109" xr:uid="{00000000-0005-0000-0000-0000AB060000}"/>
    <cellStyle name="40% - Accent5 3 4 2" xfId="3340" xr:uid="{00000000-0005-0000-0000-0000AC060000}"/>
    <cellStyle name="40% - Accent5 3 4 2 2" xfId="7564" xr:uid="{00000000-0005-0000-0000-0000AD060000}"/>
    <cellStyle name="40% - Accent5 3 4 2 2 2" xfId="15993" xr:uid="{D89D2143-3A7E-4E74-B125-F3DE0EFF5E51}"/>
    <cellStyle name="40% - Accent5 3 4 2 3" xfId="11775" xr:uid="{8ECAEB57-8655-4C66-8836-DE0174513FF3}"/>
    <cellStyle name="40% - Accent5 3 4 3" xfId="5419" xr:uid="{00000000-0005-0000-0000-0000AE060000}"/>
    <cellStyle name="40% - Accent5 3 4 3 2" xfId="13848" xr:uid="{4E882722-446C-43A9-8848-6D1E1F5E2EF1}"/>
    <cellStyle name="40% - Accent5 3 4 4" xfId="9630" xr:uid="{9F2CD2A1-9722-40E8-97D2-9D8C56178487}"/>
    <cellStyle name="40% - Accent5 3 5" xfId="1523" xr:uid="{00000000-0005-0000-0000-0000AF060000}"/>
    <cellStyle name="40% - Accent5 3 5 2" xfId="3753" xr:uid="{00000000-0005-0000-0000-0000B0060000}"/>
    <cellStyle name="40% - Accent5 3 5 2 2" xfId="7977" xr:uid="{00000000-0005-0000-0000-0000B1060000}"/>
    <cellStyle name="40% - Accent5 3 5 2 2 2" xfId="16406" xr:uid="{7798C947-BECE-4FB2-A8D9-5176CCA5E4D8}"/>
    <cellStyle name="40% - Accent5 3 5 2 3" xfId="12188" xr:uid="{48BB6649-55D4-4563-B68E-6ECBB225C077}"/>
    <cellStyle name="40% - Accent5 3 5 3" xfId="5832" xr:uid="{00000000-0005-0000-0000-0000B2060000}"/>
    <cellStyle name="40% - Accent5 3 5 3 2" xfId="14261" xr:uid="{29EF2273-DFD0-4F81-A242-F92346F565CF}"/>
    <cellStyle name="40% - Accent5 3 5 4" xfId="10043" xr:uid="{CAE47212-7729-42F7-BAC2-E4EBBB1277B6}"/>
    <cellStyle name="40% - Accent5 3 6" xfId="1937" xr:uid="{00000000-0005-0000-0000-0000B3060000}"/>
    <cellStyle name="40% - Accent5 3 6 2" xfId="4166" xr:uid="{00000000-0005-0000-0000-0000B4060000}"/>
    <cellStyle name="40% - Accent5 3 6 2 2" xfId="8390" xr:uid="{00000000-0005-0000-0000-0000B5060000}"/>
    <cellStyle name="40% - Accent5 3 6 2 2 2" xfId="16819" xr:uid="{0C96452E-D83D-47AF-B963-6C5EC0D297EA}"/>
    <cellStyle name="40% - Accent5 3 6 2 3" xfId="12601" xr:uid="{0F14CCD6-3224-4940-85DC-521799AB2B03}"/>
    <cellStyle name="40% - Accent5 3 6 3" xfId="6245" xr:uid="{00000000-0005-0000-0000-0000B6060000}"/>
    <cellStyle name="40% - Accent5 3 6 3 2" xfId="14674" xr:uid="{AAC476A3-C89E-4FCE-8979-374B3F1B1694}"/>
    <cellStyle name="40% - Accent5 3 6 4" xfId="10456" xr:uid="{10BD90B2-D049-4DB4-982A-D9D535AAA86E}"/>
    <cellStyle name="40% - Accent5 3 7" xfId="2350" xr:uid="{00000000-0005-0000-0000-0000B7060000}"/>
    <cellStyle name="40% - Accent5 3 7 2" xfId="6658" xr:uid="{00000000-0005-0000-0000-0000B8060000}"/>
    <cellStyle name="40% - Accent5 3 7 2 2" xfId="15087" xr:uid="{D8EF3E28-204A-4CE7-88DA-3B0653F23B7F}"/>
    <cellStyle name="40% - Accent5 3 7 3" xfId="10869" xr:uid="{1BF4EE53-C20B-453C-8A20-A7B6AE27CFD4}"/>
    <cellStyle name="40% - Accent5 3 8" xfId="4592" xr:uid="{00000000-0005-0000-0000-0000B9060000}"/>
    <cellStyle name="40% - Accent5 3 8 2" xfId="13021" xr:uid="{F16F48F4-62B8-4829-8533-AE9790A4FF9B}"/>
    <cellStyle name="40% - Accent5 3 9" xfId="8803" xr:uid="{39A95339-0669-41CF-8074-E765A645FC76}"/>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2 2 2" xfId="15582" xr:uid="{16F53D37-F959-4AFC-A6BE-57E131CF4845}"/>
    <cellStyle name="40% - Accent5 4 2 2 3" xfId="11364" xr:uid="{F279F791-C7EC-4AD0-BB96-622692BFA850}"/>
    <cellStyle name="40% - Accent5 4 2 3" xfId="5008" xr:uid="{00000000-0005-0000-0000-0000BE060000}"/>
    <cellStyle name="40% - Accent5 4 2 3 2" xfId="13437" xr:uid="{67E31B02-96B8-4CB9-A310-2D889E8E1AA3}"/>
    <cellStyle name="40% - Accent5 4 2 4" xfId="9219" xr:uid="{4DB169CD-0876-4F59-965D-F34A1D8CD8AD}"/>
    <cellStyle name="40% - Accent5 4 3" xfId="1111" xr:uid="{00000000-0005-0000-0000-0000BF060000}"/>
    <cellStyle name="40% - Accent5 4 3 2" xfId="3342" xr:uid="{00000000-0005-0000-0000-0000C0060000}"/>
    <cellStyle name="40% - Accent5 4 3 2 2" xfId="7566" xr:uid="{00000000-0005-0000-0000-0000C1060000}"/>
    <cellStyle name="40% - Accent5 4 3 2 2 2" xfId="15995" xr:uid="{B104942E-B77B-44EE-8CBB-FE367F8D5B9D}"/>
    <cellStyle name="40% - Accent5 4 3 2 3" xfId="11777" xr:uid="{275BAA0B-88E6-4D3C-B5D2-B9BE92D28CE6}"/>
    <cellStyle name="40% - Accent5 4 3 3" xfId="5421" xr:uid="{00000000-0005-0000-0000-0000C2060000}"/>
    <cellStyle name="40% - Accent5 4 3 3 2" xfId="13850" xr:uid="{CD0E0775-A79F-4552-BCFF-1567071015AC}"/>
    <cellStyle name="40% - Accent5 4 3 4" xfId="9632" xr:uid="{9CC9BF13-FE03-4317-9B26-27E14F722F15}"/>
    <cellStyle name="40% - Accent5 4 4" xfId="1525" xr:uid="{00000000-0005-0000-0000-0000C3060000}"/>
    <cellStyle name="40% - Accent5 4 4 2" xfId="3755" xr:uid="{00000000-0005-0000-0000-0000C4060000}"/>
    <cellStyle name="40% - Accent5 4 4 2 2" xfId="7979" xr:uid="{00000000-0005-0000-0000-0000C5060000}"/>
    <cellStyle name="40% - Accent5 4 4 2 2 2" xfId="16408" xr:uid="{C5565457-1E2A-433A-A639-800E6AA2BFC9}"/>
    <cellStyle name="40% - Accent5 4 4 2 3" xfId="12190" xr:uid="{DA5FCB81-6838-4776-AB1B-BC711C7048F7}"/>
    <cellStyle name="40% - Accent5 4 4 3" xfId="5834" xr:uid="{00000000-0005-0000-0000-0000C6060000}"/>
    <cellStyle name="40% - Accent5 4 4 3 2" xfId="14263" xr:uid="{7F6360DD-8393-413E-A7BE-53B9CD4C822B}"/>
    <cellStyle name="40% - Accent5 4 4 4" xfId="10045" xr:uid="{A0B71134-3D35-4AAB-9F6B-31CB83E9C175}"/>
    <cellStyle name="40% - Accent5 4 5" xfId="1939" xr:uid="{00000000-0005-0000-0000-0000C7060000}"/>
    <cellStyle name="40% - Accent5 4 5 2" xfId="4168" xr:uid="{00000000-0005-0000-0000-0000C8060000}"/>
    <cellStyle name="40% - Accent5 4 5 2 2" xfId="8392" xr:uid="{00000000-0005-0000-0000-0000C9060000}"/>
    <cellStyle name="40% - Accent5 4 5 2 2 2" xfId="16821" xr:uid="{A5551D94-A198-4B5E-A273-BC9F8B1D881F}"/>
    <cellStyle name="40% - Accent5 4 5 2 3" xfId="12603" xr:uid="{6F2EA394-E99D-4C06-B720-485257B571CE}"/>
    <cellStyle name="40% - Accent5 4 5 3" xfId="6247" xr:uid="{00000000-0005-0000-0000-0000CA060000}"/>
    <cellStyle name="40% - Accent5 4 5 3 2" xfId="14676" xr:uid="{53A90EFD-A884-481D-A673-72FFCABFE57A}"/>
    <cellStyle name="40% - Accent5 4 5 4" xfId="10458" xr:uid="{539C58C5-EBE0-4109-8E34-C94E325D9657}"/>
    <cellStyle name="40% - Accent5 4 6" xfId="2352" xr:uid="{00000000-0005-0000-0000-0000CB060000}"/>
    <cellStyle name="40% - Accent5 4 6 2" xfId="6660" xr:uid="{00000000-0005-0000-0000-0000CC060000}"/>
    <cellStyle name="40% - Accent5 4 6 2 2" xfId="15089" xr:uid="{4BF2EC5B-A604-4E3B-9B3C-256FA1594BF3}"/>
    <cellStyle name="40% - Accent5 4 6 3" xfId="10871" xr:uid="{CDF74B49-DD64-4D1C-9829-F5695494A0E9}"/>
    <cellStyle name="40% - Accent5 4 7" xfId="4594" xr:uid="{00000000-0005-0000-0000-0000CD060000}"/>
    <cellStyle name="40% - Accent5 4 7 2" xfId="13023" xr:uid="{51845871-E05B-4910-97FB-4E20F23D1207}"/>
    <cellStyle name="40% - Accent5 4 8" xfId="8805" xr:uid="{EDEBFF68-B822-4811-97AF-05CA3C1FD855}"/>
    <cellStyle name="40% - Accent5 5" xfId="651" xr:uid="{00000000-0005-0000-0000-0000CE060000}"/>
    <cellStyle name="40% - Accent5 5 2" xfId="2922" xr:uid="{00000000-0005-0000-0000-0000CF060000}"/>
    <cellStyle name="40% - Accent5 5 2 2" xfId="7146" xr:uid="{00000000-0005-0000-0000-0000D0060000}"/>
    <cellStyle name="40% - Accent5 5 2 2 2" xfId="15575" xr:uid="{AC273566-B9C6-441F-9294-80C948C2CCCA}"/>
    <cellStyle name="40% - Accent5 5 2 3" xfId="11357" xr:uid="{F738D90F-EAD1-4EB4-BF27-7526624E504B}"/>
    <cellStyle name="40% - Accent5 5 3" xfId="5001" xr:uid="{00000000-0005-0000-0000-0000D1060000}"/>
    <cellStyle name="40% - Accent5 5 3 2" xfId="13430" xr:uid="{28EEA80B-8606-46E5-8DC4-FC64906D56DE}"/>
    <cellStyle name="40% - Accent5 5 4" xfId="9212" xr:uid="{DB927A86-EEC0-4D7C-BEDD-1D349975ECC6}"/>
    <cellStyle name="40% - Accent5 6" xfId="1104" xr:uid="{00000000-0005-0000-0000-0000D2060000}"/>
    <cellStyle name="40% - Accent5 6 2" xfId="3335" xr:uid="{00000000-0005-0000-0000-0000D3060000}"/>
    <cellStyle name="40% - Accent5 6 2 2" xfId="7559" xr:uid="{00000000-0005-0000-0000-0000D4060000}"/>
    <cellStyle name="40% - Accent5 6 2 2 2" xfId="15988" xr:uid="{A30D7695-CC3D-49CA-9F40-793FFC2C46CC}"/>
    <cellStyle name="40% - Accent5 6 2 3" xfId="11770" xr:uid="{10DE1AB6-AB10-4800-9CA8-B70E823B3869}"/>
    <cellStyle name="40% - Accent5 6 3" xfId="5414" xr:uid="{00000000-0005-0000-0000-0000D5060000}"/>
    <cellStyle name="40% - Accent5 6 3 2" xfId="13843" xr:uid="{23E01074-E403-4E76-A4E2-C6EE10D2A965}"/>
    <cellStyle name="40% - Accent5 6 4" xfId="9625" xr:uid="{82157F15-A25D-49A9-9248-8B9F26D12A92}"/>
    <cellStyle name="40% - Accent5 7" xfId="1518" xr:uid="{00000000-0005-0000-0000-0000D6060000}"/>
    <cellStyle name="40% - Accent5 7 2" xfId="3748" xr:uid="{00000000-0005-0000-0000-0000D7060000}"/>
    <cellStyle name="40% - Accent5 7 2 2" xfId="7972" xr:uid="{00000000-0005-0000-0000-0000D8060000}"/>
    <cellStyle name="40% - Accent5 7 2 2 2" xfId="16401" xr:uid="{CF3D115D-0B25-48FB-8EF8-24DB68F65E78}"/>
    <cellStyle name="40% - Accent5 7 2 3" xfId="12183" xr:uid="{2D73EE9A-008A-44AA-9222-0E01948B8616}"/>
    <cellStyle name="40% - Accent5 7 3" xfId="5827" xr:uid="{00000000-0005-0000-0000-0000D9060000}"/>
    <cellStyle name="40% - Accent5 7 3 2" xfId="14256" xr:uid="{E08375BB-81D5-45FD-BBA0-CF1FA24CEF63}"/>
    <cellStyle name="40% - Accent5 7 4" xfId="10038" xr:uid="{B70864C0-C4C6-4AB5-93A8-E780D96B4D56}"/>
    <cellStyle name="40% - Accent5 8" xfId="1932" xr:uid="{00000000-0005-0000-0000-0000DA060000}"/>
    <cellStyle name="40% - Accent5 8 2" xfId="4161" xr:uid="{00000000-0005-0000-0000-0000DB060000}"/>
    <cellStyle name="40% - Accent5 8 2 2" xfId="8385" xr:uid="{00000000-0005-0000-0000-0000DC060000}"/>
    <cellStyle name="40% - Accent5 8 2 2 2" xfId="16814" xr:uid="{F6B21FEF-82C0-4561-8498-1D53E9473656}"/>
    <cellStyle name="40% - Accent5 8 2 3" xfId="12596" xr:uid="{F12042DE-DB01-4116-BB09-134A23D31F2E}"/>
    <cellStyle name="40% - Accent5 8 3" xfId="6240" xr:uid="{00000000-0005-0000-0000-0000DD060000}"/>
    <cellStyle name="40% - Accent5 8 3 2" xfId="14669" xr:uid="{6BCB78FF-7B69-4D5A-AEB2-2252FF7FC63F}"/>
    <cellStyle name="40% - Accent5 8 4" xfId="10451" xr:uid="{5A574078-EF99-4543-952B-10A142451A4F}"/>
    <cellStyle name="40% - Accent5 9" xfId="2345" xr:uid="{00000000-0005-0000-0000-0000DE060000}"/>
    <cellStyle name="40% - Accent5 9 2" xfId="6653" xr:uid="{00000000-0005-0000-0000-0000DF060000}"/>
    <cellStyle name="40% - Accent5 9 2 2" xfId="15082" xr:uid="{291BECF8-F30E-445A-AE1E-9FC4ECAD51F5}"/>
    <cellStyle name="40% - Accent5 9 3" xfId="10864" xr:uid="{2C094DEB-2A30-4F05-ABC0-B1C875098D68}"/>
    <cellStyle name="40% - Accent6" xfId="89" builtinId="51" customBuiltin="1"/>
    <cellStyle name="40% - Accent6 10" xfId="4595" xr:uid="{00000000-0005-0000-0000-0000E1060000}"/>
    <cellStyle name="40% - Accent6 10 2" xfId="13024" xr:uid="{96212694-4B69-4304-A808-4826CCF444A9}"/>
    <cellStyle name="40% - Accent6 11" xfId="8806" xr:uid="{0CA70875-BCBC-4DBF-9D1D-36D879DDDF73}"/>
    <cellStyle name="40% - Accent6 2" xfId="90" xr:uid="{00000000-0005-0000-0000-0000E2060000}"/>
    <cellStyle name="40% - Accent6 2 10" xfId="8807" xr:uid="{197B861C-27C7-47C4-B22D-A171E93AE5BC}"/>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2 2 2" xfId="15586" xr:uid="{C1DD20CF-EC61-4EC4-93AA-0F6AE0403A50}"/>
    <cellStyle name="40% - Accent6 2 2 2 2 2 3" xfId="11368" xr:uid="{BA626B5F-1614-4F81-8197-B86F8739995C}"/>
    <cellStyle name="40% - Accent6 2 2 2 2 3" xfId="5012" xr:uid="{00000000-0005-0000-0000-0000E8060000}"/>
    <cellStyle name="40% - Accent6 2 2 2 2 3 2" xfId="13441" xr:uid="{328176E8-F192-44B0-89DE-BEECD3FEB5D2}"/>
    <cellStyle name="40% - Accent6 2 2 2 2 4" xfId="9223" xr:uid="{EBF27186-7333-4C88-AC9D-80524DA61862}"/>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2 2 2" xfId="15999" xr:uid="{D3D48F21-3E82-421E-9F10-1979D3F61DCA}"/>
    <cellStyle name="40% - Accent6 2 2 2 3 2 3" xfId="11781" xr:uid="{785BCED5-9165-4597-8F66-F10CC817AD7D}"/>
    <cellStyle name="40% - Accent6 2 2 2 3 3" xfId="5425" xr:uid="{00000000-0005-0000-0000-0000EC060000}"/>
    <cellStyle name="40% - Accent6 2 2 2 3 3 2" xfId="13854" xr:uid="{7FD17C3D-68B5-4408-BC83-15A7EB5769AF}"/>
    <cellStyle name="40% - Accent6 2 2 2 3 4" xfId="9636" xr:uid="{A930D5B6-B322-4E45-A4CC-8469C2D00C96}"/>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2 2 2" xfId="16412" xr:uid="{0F9473FE-4106-4121-BFC9-56C4C35BF0FC}"/>
    <cellStyle name="40% - Accent6 2 2 2 4 2 3" xfId="12194" xr:uid="{785BF422-C01F-4BC6-A99A-0D8A00B0065E}"/>
    <cellStyle name="40% - Accent6 2 2 2 4 3" xfId="5838" xr:uid="{00000000-0005-0000-0000-0000F0060000}"/>
    <cellStyle name="40% - Accent6 2 2 2 4 3 2" xfId="14267" xr:uid="{E51FB810-29AD-42EE-A313-CFEE2B8EC082}"/>
    <cellStyle name="40% - Accent6 2 2 2 4 4" xfId="10049" xr:uid="{C67DF9D1-94CB-4779-9D1A-09572A5A5618}"/>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2 2 2" xfId="16825" xr:uid="{09B97FE6-57ED-4C9D-BA08-D78E41CEB773}"/>
    <cellStyle name="40% - Accent6 2 2 2 5 2 3" xfId="12607" xr:uid="{07DBF8FC-5A39-4634-AB6A-29DC25F6138A}"/>
    <cellStyle name="40% - Accent6 2 2 2 5 3" xfId="6251" xr:uid="{00000000-0005-0000-0000-0000F4060000}"/>
    <cellStyle name="40% - Accent6 2 2 2 5 3 2" xfId="14680" xr:uid="{3C0BB0CE-0B67-4B43-A6CE-A1CD987506DB}"/>
    <cellStyle name="40% - Accent6 2 2 2 5 4" xfId="10462" xr:uid="{D7DA78B8-F015-4135-936B-755AAC2D45B1}"/>
    <cellStyle name="40% - Accent6 2 2 2 6" xfId="2356" xr:uid="{00000000-0005-0000-0000-0000F5060000}"/>
    <cellStyle name="40% - Accent6 2 2 2 6 2" xfId="6664" xr:uid="{00000000-0005-0000-0000-0000F6060000}"/>
    <cellStyle name="40% - Accent6 2 2 2 6 2 2" xfId="15093" xr:uid="{C6C31F37-164F-49C3-B9C9-740679C8B5E6}"/>
    <cellStyle name="40% - Accent6 2 2 2 6 3" xfId="10875" xr:uid="{5DB1768C-E23A-482E-A067-3403114FAEA1}"/>
    <cellStyle name="40% - Accent6 2 2 2 7" xfId="4598" xr:uid="{00000000-0005-0000-0000-0000F7060000}"/>
    <cellStyle name="40% - Accent6 2 2 2 7 2" xfId="13027" xr:uid="{B1177733-FA6B-4D99-A841-55B5C2A2EC48}"/>
    <cellStyle name="40% - Accent6 2 2 2 8" xfId="8809" xr:uid="{92D623CE-5DA1-44EB-8E36-5276D55948F0}"/>
    <cellStyle name="40% - Accent6 2 2 3" xfId="661" xr:uid="{00000000-0005-0000-0000-0000F8060000}"/>
    <cellStyle name="40% - Accent6 2 2 3 2" xfId="2932" xr:uid="{00000000-0005-0000-0000-0000F9060000}"/>
    <cellStyle name="40% - Accent6 2 2 3 2 2" xfId="7156" xr:uid="{00000000-0005-0000-0000-0000FA060000}"/>
    <cellStyle name="40% - Accent6 2 2 3 2 2 2" xfId="15585" xr:uid="{D3EC1A3A-143E-400F-A108-90C7D0A2E735}"/>
    <cellStyle name="40% - Accent6 2 2 3 2 3" xfId="11367" xr:uid="{681B3EBE-4076-49E2-8D9E-25E0847AFC8E}"/>
    <cellStyle name="40% - Accent6 2 2 3 3" xfId="5011" xr:uid="{00000000-0005-0000-0000-0000FB060000}"/>
    <cellStyle name="40% - Accent6 2 2 3 3 2" xfId="13440" xr:uid="{DD6C8936-5E7D-4E8A-9AA0-52CFFDD19555}"/>
    <cellStyle name="40% - Accent6 2 2 3 4" xfId="9222" xr:uid="{34F03BE5-D398-4DDB-B947-66AD7ED60ABE}"/>
    <cellStyle name="40% - Accent6 2 2 4" xfId="1114" xr:uid="{00000000-0005-0000-0000-0000FC060000}"/>
    <cellStyle name="40% - Accent6 2 2 4 2" xfId="3345" xr:uid="{00000000-0005-0000-0000-0000FD060000}"/>
    <cellStyle name="40% - Accent6 2 2 4 2 2" xfId="7569" xr:uid="{00000000-0005-0000-0000-0000FE060000}"/>
    <cellStyle name="40% - Accent6 2 2 4 2 2 2" xfId="15998" xr:uid="{55B549B2-304C-4357-BBE4-1FF05149C91D}"/>
    <cellStyle name="40% - Accent6 2 2 4 2 3" xfId="11780" xr:uid="{10BBF7AF-5133-4855-A803-82A4032F5815}"/>
    <cellStyle name="40% - Accent6 2 2 4 3" xfId="5424" xr:uid="{00000000-0005-0000-0000-0000FF060000}"/>
    <cellStyle name="40% - Accent6 2 2 4 3 2" xfId="13853" xr:uid="{732DFB56-FD44-4816-B5AE-955F08C47E2B}"/>
    <cellStyle name="40% - Accent6 2 2 4 4" xfId="9635" xr:uid="{709DFBE7-7AA9-4601-A8BC-EEC3414399B4}"/>
    <cellStyle name="40% - Accent6 2 2 5" xfId="1528" xr:uid="{00000000-0005-0000-0000-000000070000}"/>
    <cellStyle name="40% - Accent6 2 2 5 2" xfId="3758" xr:uid="{00000000-0005-0000-0000-000001070000}"/>
    <cellStyle name="40% - Accent6 2 2 5 2 2" xfId="7982" xr:uid="{00000000-0005-0000-0000-000002070000}"/>
    <cellStyle name="40% - Accent6 2 2 5 2 2 2" xfId="16411" xr:uid="{7CDDA2B0-9820-48D5-B7F1-DF58F4C1E029}"/>
    <cellStyle name="40% - Accent6 2 2 5 2 3" xfId="12193" xr:uid="{A78879C4-3EE1-4205-9F34-F22E43420023}"/>
    <cellStyle name="40% - Accent6 2 2 5 3" xfId="5837" xr:uid="{00000000-0005-0000-0000-000003070000}"/>
    <cellStyle name="40% - Accent6 2 2 5 3 2" xfId="14266" xr:uid="{3E3610A2-E347-47A2-AA9E-77FD969FAACA}"/>
    <cellStyle name="40% - Accent6 2 2 5 4" xfId="10048" xr:uid="{4B7CD22C-D586-4B7E-8CA5-8372AADC18E0}"/>
    <cellStyle name="40% - Accent6 2 2 6" xfId="1942" xr:uid="{00000000-0005-0000-0000-000004070000}"/>
    <cellStyle name="40% - Accent6 2 2 6 2" xfId="4171" xr:uid="{00000000-0005-0000-0000-000005070000}"/>
    <cellStyle name="40% - Accent6 2 2 6 2 2" xfId="8395" xr:uid="{00000000-0005-0000-0000-000006070000}"/>
    <cellStyle name="40% - Accent6 2 2 6 2 2 2" xfId="16824" xr:uid="{DACFD7C3-E7D7-4C5C-98D7-AEA9F1C91F3B}"/>
    <cellStyle name="40% - Accent6 2 2 6 2 3" xfId="12606" xr:uid="{371AB49C-4708-47D4-A898-730FD7544CDC}"/>
    <cellStyle name="40% - Accent6 2 2 6 3" xfId="6250" xr:uid="{00000000-0005-0000-0000-000007070000}"/>
    <cellStyle name="40% - Accent6 2 2 6 3 2" xfId="14679" xr:uid="{7E128631-9809-4E87-BE5F-B37D906B31ED}"/>
    <cellStyle name="40% - Accent6 2 2 6 4" xfId="10461" xr:uid="{FA9D4948-BF1D-484A-986A-DFC666090D09}"/>
    <cellStyle name="40% - Accent6 2 2 7" xfId="2355" xr:uid="{00000000-0005-0000-0000-000008070000}"/>
    <cellStyle name="40% - Accent6 2 2 7 2" xfId="6663" xr:uid="{00000000-0005-0000-0000-000009070000}"/>
    <cellStyle name="40% - Accent6 2 2 7 2 2" xfId="15092" xr:uid="{4199F279-0A10-4433-B143-B76E9D33ACAD}"/>
    <cellStyle name="40% - Accent6 2 2 7 3" xfId="10874" xr:uid="{31ABF246-4E22-4FFD-BA9C-DC3EEC432CAD}"/>
    <cellStyle name="40% - Accent6 2 2 8" xfId="4597" xr:uid="{00000000-0005-0000-0000-00000A070000}"/>
    <cellStyle name="40% - Accent6 2 2 8 2" xfId="13026" xr:uid="{7828BBF2-ADAF-457C-81A9-6652BFBCB4AF}"/>
    <cellStyle name="40% - Accent6 2 2 9" xfId="8808" xr:uid="{CC9E4493-D296-4BF9-8156-45920493B905}"/>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2 2 2" xfId="15587" xr:uid="{9E54D21C-5A5C-42CF-8BB7-F1BC667DBB0E}"/>
    <cellStyle name="40% - Accent6 2 3 2 2 3" xfId="11369" xr:uid="{9D21DEC3-2D49-4FC2-A003-3DB8422991A1}"/>
    <cellStyle name="40% - Accent6 2 3 2 3" xfId="5013" xr:uid="{00000000-0005-0000-0000-00000F070000}"/>
    <cellStyle name="40% - Accent6 2 3 2 3 2" xfId="13442" xr:uid="{B7FF29CB-DFFE-4CB2-8858-C0D616773265}"/>
    <cellStyle name="40% - Accent6 2 3 2 4" xfId="9224" xr:uid="{22C3CDF7-0781-4D21-96B1-A5A6032FA943}"/>
    <cellStyle name="40% - Accent6 2 3 3" xfId="1116" xr:uid="{00000000-0005-0000-0000-000010070000}"/>
    <cellStyle name="40% - Accent6 2 3 3 2" xfId="3347" xr:uid="{00000000-0005-0000-0000-000011070000}"/>
    <cellStyle name="40% - Accent6 2 3 3 2 2" xfId="7571" xr:uid="{00000000-0005-0000-0000-000012070000}"/>
    <cellStyle name="40% - Accent6 2 3 3 2 2 2" xfId="16000" xr:uid="{B59DD645-52EE-4029-B862-0F4A1E4A18B4}"/>
    <cellStyle name="40% - Accent6 2 3 3 2 3" xfId="11782" xr:uid="{5F14D502-8A26-4581-9044-25A945D1631D}"/>
    <cellStyle name="40% - Accent6 2 3 3 3" xfId="5426" xr:uid="{00000000-0005-0000-0000-000013070000}"/>
    <cellStyle name="40% - Accent6 2 3 3 3 2" xfId="13855" xr:uid="{AE7D3D45-23F3-4F16-B600-48AE52BCAA26}"/>
    <cellStyle name="40% - Accent6 2 3 3 4" xfId="9637" xr:uid="{916977C0-3F44-4EF7-B56D-50AC6242AC9E}"/>
    <cellStyle name="40% - Accent6 2 3 4" xfId="1530" xr:uid="{00000000-0005-0000-0000-000014070000}"/>
    <cellStyle name="40% - Accent6 2 3 4 2" xfId="3760" xr:uid="{00000000-0005-0000-0000-000015070000}"/>
    <cellStyle name="40% - Accent6 2 3 4 2 2" xfId="7984" xr:uid="{00000000-0005-0000-0000-000016070000}"/>
    <cellStyle name="40% - Accent6 2 3 4 2 2 2" xfId="16413" xr:uid="{F300357D-7952-4649-88C3-EDB24744C056}"/>
    <cellStyle name="40% - Accent6 2 3 4 2 3" xfId="12195" xr:uid="{B57C3136-F96F-41B7-BD96-D87288D12255}"/>
    <cellStyle name="40% - Accent6 2 3 4 3" xfId="5839" xr:uid="{00000000-0005-0000-0000-000017070000}"/>
    <cellStyle name="40% - Accent6 2 3 4 3 2" xfId="14268" xr:uid="{21E8262A-624D-4C5E-89B3-C5D8719144D6}"/>
    <cellStyle name="40% - Accent6 2 3 4 4" xfId="10050" xr:uid="{A46E6DA7-A2C7-463A-A0D3-7980A34DC005}"/>
    <cellStyle name="40% - Accent6 2 3 5" xfId="1944" xr:uid="{00000000-0005-0000-0000-000018070000}"/>
    <cellStyle name="40% - Accent6 2 3 5 2" xfId="4173" xr:uid="{00000000-0005-0000-0000-000019070000}"/>
    <cellStyle name="40% - Accent6 2 3 5 2 2" xfId="8397" xr:uid="{00000000-0005-0000-0000-00001A070000}"/>
    <cellStyle name="40% - Accent6 2 3 5 2 2 2" xfId="16826" xr:uid="{CC09C8B2-42C0-409C-9FFB-72D39F94CF81}"/>
    <cellStyle name="40% - Accent6 2 3 5 2 3" xfId="12608" xr:uid="{CF26522B-BE58-4959-8597-4D81652CC025}"/>
    <cellStyle name="40% - Accent6 2 3 5 3" xfId="6252" xr:uid="{00000000-0005-0000-0000-00001B070000}"/>
    <cellStyle name="40% - Accent6 2 3 5 3 2" xfId="14681" xr:uid="{F603AB44-DE0D-477C-8FE8-D8249D665C04}"/>
    <cellStyle name="40% - Accent6 2 3 5 4" xfId="10463" xr:uid="{CC7782FA-26DE-4C3F-926F-56E3B37C7F9F}"/>
    <cellStyle name="40% - Accent6 2 3 6" xfId="2357" xr:uid="{00000000-0005-0000-0000-00001C070000}"/>
    <cellStyle name="40% - Accent6 2 3 6 2" xfId="6665" xr:uid="{00000000-0005-0000-0000-00001D070000}"/>
    <cellStyle name="40% - Accent6 2 3 6 2 2" xfId="15094" xr:uid="{85691027-8C54-49CF-A77F-F5FDA0656851}"/>
    <cellStyle name="40% - Accent6 2 3 6 3" xfId="10876" xr:uid="{A7A582C9-096F-4BE0-8B3C-706D06AE9573}"/>
    <cellStyle name="40% - Accent6 2 3 7" xfId="4599" xr:uid="{00000000-0005-0000-0000-00001E070000}"/>
    <cellStyle name="40% - Accent6 2 3 7 2" xfId="13028" xr:uid="{38E08546-9BDF-4167-95E4-F101EF9E2616}"/>
    <cellStyle name="40% - Accent6 2 3 8" xfId="8810" xr:uid="{A1E093A0-1EF4-4658-9CD7-C5D252024137}"/>
    <cellStyle name="40% - Accent6 2 4" xfId="660" xr:uid="{00000000-0005-0000-0000-00001F070000}"/>
    <cellStyle name="40% - Accent6 2 4 2" xfId="2931" xr:uid="{00000000-0005-0000-0000-000020070000}"/>
    <cellStyle name="40% - Accent6 2 4 2 2" xfId="7155" xr:uid="{00000000-0005-0000-0000-000021070000}"/>
    <cellStyle name="40% - Accent6 2 4 2 2 2" xfId="15584" xr:uid="{B84D7E00-1C49-4461-BDEB-558358CD3F10}"/>
    <cellStyle name="40% - Accent6 2 4 2 3" xfId="11366" xr:uid="{2F45CEAA-2847-486A-8867-670165E06D42}"/>
    <cellStyle name="40% - Accent6 2 4 3" xfId="5010" xr:uid="{00000000-0005-0000-0000-000022070000}"/>
    <cellStyle name="40% - Accent6 2 4 3 2" xfId="13439" xr:uid="{0287E301-ADAF-438D-951C-DA9BDE215D9B}"/>
    <cellStyle name="40% - Accent6 2 4 4" xfId="9221" xr:uid="{68F1D1C1-A20B-4AB8-A03D-F63507BC27B3}"/>
    <cellStyle name="40% - Accent6 2 5" xfId="1113" xr:uid="{00000000-0005-0000-0000-000023070000}"/>
    <cellStyle name="40% - Accent6 2 5 2" xfId="3344" xr:uid="{00000000-0005-0000-0000-000024070000}"/>
    <cellStyle name="40% - Accent6 2 5 2 2" xfId="7568" xr:uid="{00000000-0005-0000-0000-000025070000}"/>
    <cellStyle name="40% - Accent6 2 5 2 2 2" xfId="15997" xr:uid="{FD21B6A9-3684-4939-AFFF-7C94A5900F40}"/>
    <cellStyle name="40% - Accent6 2 5 2 3" xfId="11779" xr:uid="{6A97BBCC-7C14-428F-977F-3E311707A8E2}"/>
    <cellStyle name="40% - Accent6 2 5 3" xfId="5423" xr:uid="{00000000-0005-0000-0000-000026070000}"/>
    <cellStyle name="40% - Accent6 2 5 3 2" xfId="13852" xr:uid="{D09E00A3-E0EA-4F4F-80D5-A1CB1B9FCEA4}"/>
    <cellStyle name="40% - Accent6 2 5 4" xfId="9634" xr:uid="{6289830B-CB45-4670-977E-EC960FCA3B21}"/>
    <cellStyle name="40% - Accent6 2 6" xfId="1527" xr:uid="{00000000-0005-0000-0000-000027070000}"/>
    <cellStyle name="40% - Accent6 2 6 2" xfId="3757" xr:uid="{00000000-0005-0000-0000-000028070000}"/>
    <cellStyle name="40% - Accent6 2 6 2 2" xfId="7981" xr:uid="{00000000-0005-0000-0000-000029070000}"/>
    <cellStyle name="40% - Accent6 2 6 2 2 2" xfId="16410" xr:uid="{66DCED89-F169-4069-97C3-9AF9E448CCD7}"/>
    <cellStyle name="40% - Accent6 2 6 2 3" xfId="12192" xr:uid="{95A7B5C6-A305-4B9A-A3E6-CE27B27A8C60}"/>
    <cellStyle name="40% - Accent6 2 6 3" xfId="5836" xr:uid="{00000000-0005-0000-0000-00002A070000}"/>
    <cellStyle name="40% - Accent6 2 6 3 2" xfId="14265" xr:uid="{E5FCCAD9-6260-451F-BA12-6D1A6C2C7F05}"/>
    <cellStyle name="40% - Accent6 2 6 4" xfId="10047" xr:uid="{886FCF64-8FAE-4016-BE70-B2A09E551327}"/>
    <cellStyle name="40% - Accent6 2 7" xfId="1941" xr:uid="{00000000-0005-0000-0000-00002B070000}"/>
    <cellStyle name="40% - Accent6 2 7 2" xfId="4170" xr:uid="{00000000-0005-0000-0000-00002C070000}"/>
    <cellStyle name="40% - Accent6 2 7 2 2" xfId="8394" xr:uid="{00000000-0005-0000-0000-00002D070000}"/>
    <cellStyle name="40% - Accent6 2 7 2 2 2" xfId="16823" xr:uid="{7EB46EDD-7D9A-4AE0-948F-61D3BB5D1C06}"/>
    <cellStyle name="40% - Accent6 2 7 2 3" xfId="12605" xr:uid="{1FE0A9CA-5B0E-4D9F-8E3A-A9F6533FD9F5}"/>
    <cellStyle name="40% - Accent6 2 7 3" xfId="6249" xr:uid="{00000000-0005-0000-0000-00002E070000}"/>
    <cellStyle name="40% - Accent6 2 7 3 2" xfId="14678" xr:uid="{EB295774-D82C-4B9B-9F28-10CDF0868200}"/>
    <cellStyle name="40% - Accent6 2 7 4" xfId="10460" xr:uid="{FD4F2AC7-D731-456C-9BA2-C0A4DCC232D6}"/>
    <cellStyle name="40% - Accent6 2 8" xfId="2354" xr:uid="{00000000-0005-0000-0000-00002F070000}"/>
    <cellStyle name="40% - Accent6 2 8 2" xfId="6662" xr:uid="{00000000-0005-0000-0000-000030070000}"/>
    <cellStyle name="40% - Accent6 2 8 2 2" xfId="15091" xr:uid="{0C468AF4-1413-44A9-8DBD-CD85B7363EA0}"/>
    <cellStyle name="40% - Accent6 2 8 3" xfId="10873" xr:uid="{0756E9E7-92AA-4F66-A42D-3F843300CE90}"/>
    <cellStyle name="40% - Accent6 2 9" xfId="4596" xr:uid="{00000000-0005-0000-0000-000031070000}"/>
    <cellStyle name="40% - Accent6 2 9 2" xfId="13025" xr:uid="{3BCD2A1A-11D4-441D-B95F-9C02DFD3C84E}"/>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2 2 2" xfId="15589" xr:uid="{089244EB-5921-46BA-8AEF-A7F6698F41FE}"/>
    <cellStyle name="40% - Accent6 3 2 2 2 3" xfId="11371" xr:uid="{72CB1FB0-7CA5-4CD6-B299-2B5B1BEDEBCC}"/>
    <cellStyle name="40% - Accent6 3 2 2 3" xfId="5015" xr:uid="{00000000-0005-0000-0000-000037070000}"/>
    <cellStyle name="40% - Accent6 3 2 2 3 2" xfId="13444" xr:uid="{C8A3A8E2-1ABA-4E49-9F4F-91B5DA886EAB}"/>
    <cellStyle name="40% - Accent6 3 2 2 4" xfId="9226" xr:uid="{9001FABB-3CD0-4F22-A592-3C2354E0525C}"/>
    <cellStyle name="40% - Accent6 3 2 3" xfId="1118" xr:uid="{00000000-0005-0000-0000-000038070000}"/>
    <cellStyle name="40% - Accent6 3 2 3 2" xfId="3349" xr:uid="{00000000-0005-0000-0000-000039070000}"/>
    <cellStyle name="40% - Accent6 3 2 3 2 2" xfId="7573" xr:uid="{00000000-0005-0000-0000-00003A070000}"/>
    <cellStyle name="40% - Accent6 3 2 3 2 2 2" xfId="16002" xr:uid="{958C8BA5-597C-48D6-9C2B-2337E8E37F35}"/>
    <cellStyle name="40% - Accent6 3 2 3 2 3" xfId="11784" xr:uid="{C432DC21-8FFF-4759-BC9A-3A0D5F5CD0C9}"/>
    <cellStyle name="40% - Accent6 3 2 3 3" xfId="5428" xr:uid="{00000000-0005-0000-0000-00003B070000}"/>
    <cellStyle name="40% - Accent6 3 2 3 3 2" xfId="13857" xr:uid="{AC66228A-E097-4922-A406-3B63EBE5EB8B}"/>
    <cellStyle name="40% - Accent6 3 2 3 4" xfId="9639" xr:uid="{6AD010E1-FC17-42BB-8B9C-92B8B2B62680}"/>
    <cellStyle name="40% - Accent6 3 2 4" xfId="1532" xr:uid="{00000000-0005-0000-0000-00003C070000}"/>
    <cellStyle name="40% - Accent6 3 2 4 2" xfId="3762" xr:uid="{00000000-0005-0000-0000-00003D070000}"/>
    <cellStyle name="40% - Accent6 3 2 4 2 2" xfId="7986" xr:uid="{00000000-0005-0000-0000-00003E070000}"/>
    <cellStyle name="40% - Accent6 3 2 4 2 2 2" xfId="16415" xr:uid="{3BE4A340-E60C-4D3A-9D13-F9B456F34F0A}"/>
    <cellStyle name="40% - Accent6 3 2 4 2 3" xfId="12197" xr:uid="{8E3F53FC-C476-47F8-B510-79CB4A6423C9}"/>
    <cellStyle name="40% - Accent6 3 2 4 3" xfId="5841" xr:uid="{00000000-0005-0000-0000-00003F070000}"/>
    <cellStyle name="40% - Accent6 3 2 4 3 2" xfId="14270" xr:uid="{8A6A0692-C7A4-47FD-9EEF-BA98D33CA919}"/>
    <cellStyle name="40% - Accent6 3 2 4 4" xfId="10052" xr:uid="{5AE98594-6F01-4B5E-9673-D6FFC485BA24}"/>
    <cellStyle name="40% - Accent6 3 2 5" xfId="1946" xr:uid="{00000000-0005-0000-0000-000040070000}"/>
    <cellStyle name="40% - Accent6 3 2 5 2" xfId="4175" xr:uid="{00000000-0005-0000-0000-000041070000}"/>
    <cellStyle name="40% - Accent6 3 2 5 2 2" xfId="8399" xr:uid="{00000000-0005-0000-0000-000042070000}"/>
    <cellStyle name="40% - Accent6 3 2 5 2 2 2" xfId="16828" xr:uid="{29BB27B9-A056-4568-9E4E-1BF2EE10A9CB}"/>
    <cellStyle name="40% - Accent6 3 2 5 2 3" xfId="12610" xr:uid="{D500F9BD-5B0C-4AC7-8B72-8B584D4DFBCA}"/>
    <cellStyle name="40% - Accent6 3 2 5 3" xfId="6254" xr:uid="{00000000-0005-0000-0000-000043070000}"/>
    <cellStyle name="40% - Accent6 3 2 5 3 2" xfId="14683" xr:uid="{09BD5583-BD2B-4183-BBBB-D142F450BC59}"/>
    <cellStyle name="40% - Accent6 3 2 5 4" xfId="10465" xr:uid="{2A12A6DF-38F2-4621-880C-63D652ED8219}"/>
    <cellStyle name="40% - Accent6 3 2 6" xfId="2359" xr:uid="{00000000-0005-0000-0000-000044070000}"/>
    <cellStyle name="40% - Accent6 3 2 6 2" xfId="6667" xr:uid="{00000000-0005-0000-0000-000045070000}"/>
    <cellStyle name="40% - Accent6 3 2 6 2 2" xfId="15096" xr:uid="{C91D4136-8981-4A02-85AB-59FF9AD80CED}"/>
    <cellStyle name="40% - Accent6 3 2 6 3" xfId="10878" xr:uid="{92151B59-606E-4B3E-A121-4C8A699F8951}"/>
    <cellStyle name="40% - Accent6 3 2 7" xfId="4601" xr:uid="{00000000-0005-0000-0000-000046070000}"/>
    <cellStyle name="40% - Accent6 3 2 7 2" xfId="13030" xr:uid="{E4118464-8226-4375-ADFA-3100D248570D}"/>
    <cellStyle name="40% - Accent6 3 2 8" xfId="8812" xr:uid="{EF0B2CC3-A9E9-4B49-B5BE-5FF1382308D9}"/>
    <cellStyle name="40% - Accent6 3 3" xfId="664" xr:uid="{00000000-0005-0000-0000-000047070000}"/>
    <cellStyle name="40% - Accent6 3 3 2" xfId="2935" xr:uid="{00000000-0005-0000-0000-000048070000}"/>
    <cellStyle name="40% - Accent6 3 3 2 2" xfId="7159" xr:uid="{00000000-0005-0000-0000-000049070000}"/>
    <cellStyle name="40% - Accent6 3 3 2 2 2" xfId="15588" xr:uid="{E52BE7EE-F087-429D-88A3-9D3248DA6DE1}"/>
    <cellStyle name="40% - Accent6 3 3 2 3" xfId="11370" xr:uid="{65E11282-B8F4-4885-8207-2F8CA832797D}"/>
    <cellStyle name="40% - Accent6 3 3 3" xfId="5014" xr:uid="{00000000-0005-0000-0000-00004A070000}"/>
    <cellStyle name="40% - Accent6 3 3 3 2" xfId="13443" xr:uid="{A94C6109-E147-4256-ACBD-B75B046FAF32}"/>
    <cellStyle name="40% - Accent6 3 3 4" xfId="9225" xr:uid="{36E2DF01-918E-41A3-BB01-E261A708AB28}"/>
    <cellStyle name="40% - Accent6 3 4" xfId="1117" xr:uid="{00000000-0005-0000-0000-00004B070000}"/>
    <cellStyle name="40% - Accent6 3 4 2" xfId="3348" xr:uid="{00000000-0005-0000-0000-00004C070000}"/>
    <cellStyle name="40% - Accent6 3 4 2 2" xfId="7572" xr:uid="{00000000-0005-0000-0000-00004D070000}"/>
    <cellStyle name="40% - Accent6 3 4 2 2 2" xfId="16001" xr:uid="{F4668B04-F6E6-4F22-B1F6-046B99055EC5}"/>
    <cellStyle name="40% - Accent6 3 4 2 3" xfId="11783" xr:uid="{90B065E3-0FAC-4200-B92E-3D722542DFCA}"/>
    <cellStyle name="40% - Accent6 3 4 3" xfId="5427" xr:uid="{00000000-0005-0000-0000-00004E070000}"/>
    <cellStyle name="40% - Accent6 3 4 3 2" xfId="13856" xr:uid="{EB5C2FA3-2DFC-4175-AA12-62CEB2C11EBA}"/>
    <cellStyle name="40% - Accent6 3 4 4" xfId="9638" xr:uid="{0FE702E8-0A40-467D-ABA5-3092EF9F261C}"/>
    <cellStyle name="40% - Accent6 3 5" xfId="1531" xr:uid="{00000000-0005-0000-0000-00004F070000}"/>
    <cellStyle name="40% - Accent6 3 5 2" xfId="3761" xr:uid="{00000000-0005-0000-0000-000050070000}"/>
    <cellStyle name="40% - Accent6 3 5 2 2" xfId="7985" xr:uid="{00000000-0005-0000-0000-000051070000}"/>
    <cellStyle name="40% - Accent6 3 5 2 2 2" xfId="16414" xr:uid="{9F7D6F17-C75A-4D94-9D55-15D712F5D8C6}"/>
    <cellStyle name="40% - Accent6 3 5 2 3" xfId="12196" xr:uid="{90443FB3-4A25-4C99-9915-CD86BACBDCA4}"/>
    <cellStyle name="40% - Accent6 3 5 3" xfId="5840" xr:uid="{00000000-0005-0000-0000-000052070000}"/>
    <cellStyle name="40% - Accent6 3 5 3 2" xfId="14269" xr:uid="{4083BE6A-D1C8-4B77-84D0-AD28F3DD581F}"/>
    <cellStyle name="40% - Accent6 3 5 4" xfId="10051" xr:uid="{6AFF4E5A-9194-466F-B0CF-6078CC5A6579}"/>
    <cellStyle name="40% - Accent6 3 6" xfId="1945" xr:uid="{00000000-0005-0000-0000-000053070000}"/>
    <cellStyle name="40% - Accent6 3 6 2" xfId="4174" xr:uid="{00000000-0005-0000-0000-000054070000}"/>
    <cellStyle name="40% - Accent6 3 6 2 2" xfId="8398" xr:uid="{00000000-0005-0000-0000-000055070000}"/>
    <cellStyle name="40% - Accent6 3 6 2 2 2" xfId="16827" xr:uid="{ED2FE7A3-6007-48AB-95B3-88DB29285D31}"/>
    <cellStyle name="40% - Accent6 3 6 2 3" xfId="12609" xr:uid="{9B35EB8E-C567-4571-ACD0-F64F17B8575F}"/>
    <cellStyle name="40% - Accent6 3 6 3" xfId="6253" xr:uid="{00000000-0005-0000-0000-000056070000}"/>
    <cellStyle name="40% - Accent6 3 6 3 2" xfId="14682" xr:uid="{F0434C2B-A0D5-4D94-8C0B-DA1AE2BA1B4A}"/>
    <cellStyle name="40% - Accent6 3 6 4" xfId="10464" xr:uid="{3BA1C47C-9E66-412B-B268-83B8B38C3864}"/>
    <cellStyle name="40% - Accent6 3 7" xfId="2358" xr:uid="{00000000-0005-0000-0000-000057070000}"/>
    <cellStyle name="40% - Accent6 3 7 2" xfId="6666" xr:uid="{00000000-0005-0000-0000-000058070000}"/>
    <cellStyle name="40% - Accent6 3 7 2 2" xfId="15095" xr:uid="{05CF8BBD-6C02-4B9C-AE5E-8E72DD4F2C8E}"/>
    <cellStyle name="40% - Accent6 3 7 3" xfId="10877" xr:uid="{8E143019-F0D3-4A0F-994B-E1B654166FD3}"/>
    <cellStyle name="40% - Accent6 3 8" xfId="4600" xr:uid="{00000000-0005-0000-0000-000059070000}"/>
    <cellStyle name="40% - Accent6 3 8 2" xfId="13029" xr:uid="{853F649E-B610-428F-8DCA-735934FAA99B}"/>
    <cellStyle name="40% - Accent6 3 9" xfId="8811" xr:uid="{0DF7204F-B853-438D-8BDC-609D406E3F62}"/>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2 2 2" xfId="15590" xr:uid="{2E2B2EB9-A98F-410C-A8F5-60B81BD95D8D}"/>
    <cellStyle name="40% - Accent6 4 2 2 3" xfId="11372" xr:uid="{3B218627-B75E-4451-8ECF-47279A97E4F9}"/>
    <cellStyle name="40% - Accent6 4 2 3" xfId="5016" xr:uid="{00000000-0005-0000-0000-00005E070000}"/>
    <cellStyle name="40% - Accent6 4 2 3 2" xfId="13445" xr:uid="{F04ADCE1-87C9-4741-AE30-8B3BE75CDF55}"/>
    <cellStyle name="40% - Accent6 4 2 4" xfId="9227" xr:uid="{1FDB00A8-EF90-42BF-8A0F-69E4AD445F00}"/>
    <cellStyle name="40% - Accent6 4 3" xfId="1119" xr:uid="{00000000-0005-0000-0000-00005F070000}"/>
    <cellStyle name="40% - Accent6 4 3 2" xfId="3350" xr:uid="{00000000-0005-0000-0000-000060070000}"/>
    <cellStyle name="40% - Accent6 4 3 2 2" xfId="7574" xr:uid="{00000000-0005-0000-0000-000061070000}"/>
    <cellStyle name="40% - Accent6 4 3 2 2 2" xfId="16003" xr:uid="{DA9417AC-8153-4966-B9EA-342F71965D46}"/>
    <cellStyle name="40% - Accent6 4 3 2 3" xfId="11785" xr:uid="{57CACA33-147E-4B13-8078-55F344F8B4A5}"/>
    <cellStyle name="40% - Accent6 4 3 3" xfId="5429" xr:uid="{00000000-0005-0000-0000-000062070000}"/>
    <cellStyle name="40% - Accent6 4 3 3 2" xfId="13858" xr:uid="{307E45FA-B2B5-47CF-B032-06AE00BB02AC}"/>
    <cellStyle name="40% - Accent6 4 3 4" xfId="9640" xr:uid="{464B7987-4435-4FB6-B311-513A105FC9A7}"/>
    <cellStyle name="40% - Accent6 4 4" xfId="1533" xr:uid="{00000000-0005-0000-0000-000063070000}"/>
    <cellStyle name="40% - Accent6 4 4 2" xfId="3763" xr:uid="{00000000-0005-0000-0000-000064070000}"/>
    <cellStyle name="40% - Accent6 4 4 2 2" xfId="7987" xr:uid="{00000000-0005-0000-0000-000065070000}"/>
    <cellStyle name="40% - Accent6 4 4 2 2 2" xfId="16416" xr:uid="{BFD4914B-B09F-49B6-89F2-DFE5FCF7E66F}"/>
    <cellStyle name="40% - Accent6 4 4 2 3" xfId="12198" xr:uid="{CD778187-675A-4774-A2F6-50F183675AD1}"/>
    <cellStyle name="40% - Accent6 4 4 3" xfId="5842" xr:uid="{00000000-0005-0000-0000-000066070000}"/>
    <cellStyle name="40% - Accent6 4 4 3 2" xfId="14271" xr:uid="{89966C9F-7B67-401D-B36B-D77F34A7253E}"/>
    <cellStyle name="40% - Accent6 4 4 4" xfId="10053" xr:uid="{D6E3EA01-15B2-443D-BE22-732D0C12A8D5}"/>
    <cellStyle name="40% - Accent6 4 5" xfId="1947" xr:uid="{00000000-0005-0000-0000-000067070000}"/>
    <cellStyle name="40% - Accent6 4 5 2" xfId="4176" xr:uid="{00000000-0005-0000-0000-000068070000}"/>
    <cellStyle name="40% - Accent6 4 5 2 2" xfId="8400" xr:uid="{00000000-0005-0000-0000-000069070000}"/>
    <cellStyle name="40% - Accent6 4 5 2 2 2" xfId="16829" xr:uid="{41498A01-BDFE-4971-9584-E064E55BF452}"/>
    <cellStyle name="40% - Accent6 4 5 2 3" xfId="12611" xr:uid="{8DCE1E8B-36CD-4A5C-BD05-EA74E86C3813}"/>
    <cellStyle name="40% - Accent6 4 5 3" xfId="6255" xr:uid="{00000000-0005-0000-0000-00006A070000}"/>
    <cellStyle name="40% - Accent6 4 5 3 2" xfId="14684" xr:uid="{AE309832-4F13-4EC0-919B-9A6751D8627F}"/>
    <cellStyle name="40% - Accent6 4 5 4" xfId="10466" xr:uid="{C9ABEC90-26B2-4627-BD97-08EADA6A563F}"/>
    <cellStyle name="40% - Accent6 4 6" xfId="2360" xr:uid="{00000000-0005-0000-0000-00006B070000}"/>
    <cellStyle name="40% - Accent6 4 6 2" xfId="6668" xr:uid="{00000000-0005-0000-0000-00006C070000}"/>
    <cellStyle name="40% - Accent6 4 6 2 2" xfId="15097" xr:uid="{17FA0350-E5F3-40DF-A5A1-22D009C75594}"/>
    <cellStyle name="40% - Accent6 4 6 3" xfId="10879" xr:uid="{698C49A8-DBFC-4172-BA53-C07DD3124720}"/>
    <cellStyle name="40% - Accent6 4 7" xfId="4602" xr:uid="{00000000-0005-0000-0000-00006D070000}"/>
    <cellStyle name="40% - Accent6 4 7 2" xfId="13031" xr:uid="{EEC34340-60F3-4E3D-8C31-41FDF34D3C18}"/>
    <cellStyle name="40% - Accent6 4 8" xfId="8813" xr:uid="{87037968-2711-43FE-AD79-2B6D35CEF3EC}"/>
    <cellStyle name="40% - Accent6 5" xfId="659" xr:uid="{00000000-0005-0000-0000-00006E070000}"/>
    <cellStyle name="40% - Accent6 5 2" xfId="2930" xr:uid="{00000000-0005-0000-0000-00006F070000}"/>
    <cellStyle name="40% - Accent6 5 2 2" xfId="7154" xr:uid="{00000000-0005-0000-0000-000070070000}"/>
    <cellStyle name="40% - Accent6 5 2 2 2" xfId="15583" xr:uid="{520AB1B8-AE77-4EB2-A0B5-BBA72DC7D97D}"/>
    <cellStyle name="40% - Accent6 5 2 3" xfId="11365" xr:uid="{888EBC6B-29F8-48D8-B04C-9F6E2891D930}"/>
    <cellStyle name="40% - Accent6 5 3" xfId="5009" xr:uid="{00000000-0005-0000-0000-000071070000}"/>
    <cellStyle name="40% - Accent6 5 3 2" xfId="13438" xr:uid="{780C94B1-438F-443A-B232-758ECB864155}"/>
    <cellStyle name="40% - Accent6 5 4" xfId="9220" xr:uid="{24A609A3-F7A4-407B-A622-04D3365B9533}"/>
    <cellStyle name="40% - Accent6 6" xfId="1112" xr:uid="{00000000-0005-0000-0000-000072070000}"/>
    <cellStyle name="40% - Accent6 6 2" xfId="3343" xr:uid="{00000000-0005-0000-0000-000073070000}"/>
    <cellStyle name="40% - Accent6 6 2 2" xfId="7567" xr:uid="{00000000-0005-0000-0000-000074070000}"/>
    <cellStyle name="40% - Accent6 6 2 2 2" xfId="15996" xr:uid="{FDA2B0D7-2324-427F-8031-7DF7573A28F3}"/>
    <cellStyle name="40% - Accent6 6 2 3" xfId="11778" xr:uid="{F8D19809-4B47-4B59-83C4-97C7050EC623}"/>
    <cellStyle name="40% - Accent6 6 3" xfId="5422" xr:uid="{00000000-0005-0000-0000-000075070000}"/>
    <cellStyle name="40% - Accent6 6 3 2" xfId="13851" xr:uid="{0D679607-F82A-4E91-890F-1C2A37B7AA68}"/>
    <cellStyle name="40% - Accent6 6 4" xfId="9633" xr:uid="{E94E1F6B-7BFF-476A-B12A-0B0E91445AF7}"/>
    <cellStyle name="40% - Accent6 7" xfId="1526" xr:uid="{00000000-0005-0000-0000-000076070000}"/>
    <cellStyle name="40% - Accent6 7 2" xfId="3756" xr:uid="{00000000-0005-0000-0000-000077070000}"/>
    <cellStyle name="40% - Accent6 7 2 2" xfId="7980" xr:uid="{00000000-0005-0000-0000-000078070000}"/>
    <cellStyle name="40% - Accent6 7 2 2 2" xfId="16409" xr:uid="{9808D544-0543-4EA8-B07A-90B7DCBB70B6}"/>
    <cellStyle name="40% - Accent6 7 2 3" xfId="12191" xr:uid="{9C70CFB7-5EB7-4389-A05D-1CCED1999955}"/>
    <cellStyle name="40% - Accent6 7 3" xfId="5835" xr:uid="{00000000-0005-0000-0000-000079070000}"/>
    <cellStyle name="40% - Accent6 7 3 2" xfId="14264" xr:uid="{0CA92BDC-8874-4B68-92E3-3240048B93BB}"/>
    <cellStyle name="40% - Accent6 7 4" xfId="10046" xr:uid="{2256DC5C-77CC-47E3-A570-D3AF1AC7441B}"/>
    <cellStyle name="40% - Accent6 8" xfId="1940" xr:uid="{00000000-0005-0000-0000-00007A070000}"/>
    <cellStyle name="40% - Accent6 8 2" xfId="4169" xr:uid="{00000000-0005-0000-0000-00007B070000}"/>
    <cellStyle name="40% - Accent6 8 2 2" xfId="8393" xr:uid="{00000000-0005-0000-0000-00007C070000}"/>
    <cellStyle name="40% - Accent6 8 2 2 2" xfId="16822" xr:uid="{63F92577-D04D-4A00-96AB-208EF8940284}"/>
    <cellStyle name="40% - Accent6 8 2 3" xfId="12604" xr:uid="{A8CD8C2C-F406-44E0-9557-C873B8734322}"/>
    <cellStyle name="40% - Accent6 8 3" xfId="6248" xr:uid="{00000000-0005-0000-0000-00007D070000}"/>
    <cellStyle name="40% - Accent6 8 3 2" xfId="14677" xr:uid="{8907135A-0B93-428C-B395-F177FA928F7C}"/>
    <cellStyle name="40% - Accent6 8 4" xfId="10459" xr:uid="{46167954-E13E-4429-90A5-BEA13D657132}"/>
    <cellStyle name="40% - Accent6 9" xfId="2353" xr:uid="{00000000-0005-0000-0000-00007E070000}"/>
    <cellStyle name="40% - Accent6 9 2" xfId="6661" xr:uid="{00000000-0005-0000-0000-00007F070000}"/>
    <cellStyle name="40% - Accent6 9 2 2" xfId="15090" xr:uid="{26F6D8EA-8543-4548-9F55-B3ABCD88A67F}"/>
    <cellStyle name="40% - Accent6 9 3" xfId="10872" xr:uid="{8FB0475A-2C11-438A-A8A2-18F2FDFC986C}"/>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0 2 2" xfId="15415" xr:uid="{74A52D52-0886-4F96-AD37-9544411DF4B0}"/>
    <cellStyle name="Comma 4 2 2 2 10 3" xfId="11197" xr:uid="{D3578558-F58B-4CAC-B796-37F8552F545E}"/>
    <cellStyle name="Comma 4 2 2 2 11" xfId="4603" xr:uid="{00000000-0005-0000-0000-0000A3070000}"/>
    <cellStyle name="Comma 4 2 2 2 11 2" xfId="13032" xr:uid="{4978B7A3-A73F-4ADE-A1ED-1FD7AE92148C}"/>
    <cellStyle name="Comma 4 2 2 2 12" xfId="8814" xr:uid="{9B78EE06-89B3-4536-A1C2-CFFE9624D425}"/>
    <cellStyle name="Comma 4 2 2 2 2" xfId="129" xr:uid="{00000000-0005-0000-0000-0000A4070000}"/>
    <cellStyle name="Comma 4 2 2 2 2 10" xfId="4604" xr:uid="{00000000-0005-0000-0000-0000A5070000}"/>
    <cellStyle name="Comma 4 2 2 2 2 10 2" xfId="13033" xr:uid="{B254FE4E-0B69-43B4-B7AF-2CCDA523B3C6}"/>
    <cellStyle name="Comma 4 2 2 2 2 11" xfId="8815" xr:uid="{FEF3641C-51CC-445F-85AC-DAFF21315249}"/>
    <cellStyle name="Comma 4 2 2 2 2 2" xfId="130" xr:uid="{00000000-0005-0000-0000-0000A6070000}"/>
    <cellStyle name="Comma 4 2 2 2 2 2 10" xfId="8816" xr:uid="{0AD39C55-EABE-4A00-B6F7-CEB052E61883}"/>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2 2 2" xfId="15593" xr:uid="{58171469-FE8B-47E0-B3AA-D6E279A48B2F}"/>
    <cellStyle name="Comma 4 2 2 2 2 2 2 2 3" xfId="11375" xr:uid="{7D0DDE31-8DB2-4508-8A87-D7DEDC48299D}"/>
    <cellStyle name="Comma 4 2 2 2 2 2 2 3" xfId="5019" xr:uid="{00000000-0005-0000-0000-0000AA070000}"/>
    <cellStyle name="Comma 4 2 2 2 2 2 2 3 2" xfId="13448" xr:uid="{C5A2FBDE-8A15-4944-BD62-24694088B186}"/>
    <cellStyle name="Comma 4 2 2 2 2 2 2 4" xfId="9230" xr:uid="{B905BCC4-008D-4B13-8F55-154A0561A4D7}"/>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2 2 2" xfId="16006" xr:uid="{44C60F97-73A1-45A0-ADC4-B476016E30E5}"/>
    <cellStyle name="Comma 4 2 2 2 2 2 3 2 3" xfId="11788" xr:uid="{D0C0151E-EDB3-4B47-B179-E600F1CCBFAA}"/>
    <cellStyle name="Comma 4 2 2 2 2 2 3 3" xfId="5432" xr:uid="{00000000-0005-0000-0000-0000AE070000}"/>
    <cellStyle name="Comma 4 2 2 2 2 2 3 3 2" xfId="13861" xr:uid="{5362286E-B9EF-4184-BE1A-52A44DC61D30}"/>
    <cellStyle name="Comma 4 2 2 2 2 2 3 4" xfId="9643" xr:uid="{928C05E3-3621-4211-9A35-5374DD58454F}"/>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2 2 2" xfId="16419" xr:uid="{21116FF3-5200-47A5-BE8D-474BF981B86A}"/>
    <cellStyle name="Comma 4 2 2 2 2 2 4 2 3" xfId="12201" xr:uid="{C3EE6CC7-FD9D-428E-B045-7F9400DA679E}"/>
    <cellStyle name="Comma 4 2 2 2 2 2 4 3" xfId="5845" xr:uid="{00000000-0005-0000-0000-0000B2070000}"/>
    <cellStyle name="Comma 4 2 2 2 2 2 4 3 2" xfId="14274" xr:uid="{C0BE233C-A9ED-4C09-9DB0-AF6803E93470}"/>
    <cellStyle name="Comma 4 2 2 2 2 2 4 4" xfId="10056" xr:uid="{0B25C0CD-DAC8-4E54-B3C2-81A5A94C519C}"/>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2 2 2" xfId="16832" xr:uid="{7D10A899-6C00-4D78-8C1F-0D83A2685EA8}"/>
    <cellStyle name="Comma 4 2 2 2 2 2 5 2 3" xfId="12614" xr:uid="{430775D7-C71E-46E6-8501-825CEDE5396D}"/>
    <cellStyle name="Comma 4 2 2 2 2 2 5 3" xfId="6258" xr:uid="{00000000-0005-0000-0000-0000B6070000}"/>
    <cellStyle name="Comma 4 2 2 2 2 2 5 3 2" xfId="14687" xr:uid="{5A6B1530-BA83-4D4F-A0DC-6A77F497008A}"/>
    <cellStyle name="Comma 4 2 2 2 2 2 5 4" xfId="10469" xr:uid="{25886CCB-D2C0-46D7-B19F-972A167D5A1E}"/>
    <cellStyle name="Comma 4 2 2 2 2 2 6" xfId="2385" xr:uid="{00000000-0005-0000-0000-0000B7070000}"/>
    <cellStyle name="Comma 4 2 2 2 2 2 6 2" xfId="6671" xr:uid="{00000000-0005-0000-0000-0000B8070000}"/>
    <cellStyle name="Comma 4 2 2 2 2 2 6 2 2" xfId="15100" xr:uid="{8A645CC9-A20E-4BEE-857D-7E53FC26A5DF}"/>
    <cellStyle name="Comma 4 2 2 2 2 2 6 3" xfId="10882" xr:uid="{8B26FF01-72F4-4785-912D-9FEB2776A1CF}"/>
    <cellStyle name="Comma 4 2 2 2 2 2 7" xfId="2380" xr:uid="{00000000-0005-0000-0000-0000B9070000}"/>
    <cellStyle name="Comma 4 2 2 2 2 2 8" xfId="2763" xr:uid="{00000000-0005-0000-0000-0000BA070000}"/>
    <cellStyle name="Comma 4 2 2 2 2 2 8 2" xfId="6988" xr:uid="{00000000-0005-0000-0000-0000BB070000}"/>
    <cellStyle name="Comma 4 2 2 2 2 2 8 2 2" xfId="15417" xr:uid="{22D6C8B8-2648-45B0-8025-AA9BA3239C71}"/>
    <cellStyle name="Comma 4 2 2 2 2 2 8 3" xfId="11199" xr:uid="{CC354638-83AB-41B5-842B-C454C4AE460A}"/>
    <cellStyle name="Comma 4 2 2 2 2 2 9" xfId="4605" xr:uid="{00000000-0005-0000-0000-0000BC070000}"/>
    <cellStyle name="Comma 4 2 2 2 2 2 9 2" xfId="13034" xr:uid="{6DBF5115-AB71-499E-B901-E35936628994}"/>
    <cellStyle name="Comma 4 2 2 2 2 3" xfId="668" xr:uid="{00000000-0005-0000-0000-0000BD070000}"/>
    <cellStyle name="Comma 4 2 2 2 2 3 2" xfId="2939" xr:uid="{00000000-0005-0000-0000-0000BE070000}"/>
    <cellStyle name="Comma 4 2 2 2 2 3 2 2" xfId="7163" xr:uid="{00000000-0005-0000-0000-0000BF070000}"/>
    <cellStyle name="Comma 4 2 2 2 2 3 2 2 2" xfId="15592" xr:uid="{BA040568-1444-4DEF-A4FB-7AFE592C6428}"/>
    <cellStyle name="Comma 4 2 2 2 2 3 2 3" xfId="11374" xr:uid="{84A77739-BD26-48E0-B646-FAB986BBBFFD}"/>
    <cellStyle name="Comma 4 2 2 2 2 3 3" xfId="5018" xr:uid="{00000000-0005-0000-0000-0000C0070000}"/>
    <cellStyle name="Comma 4 2 2 2 2 3 3 2" xfId="13447" xr:uid="{EC32887B-B49A-4258-800E-6B7648AA5733}"/>
    <cellStyle name="Comma 4 2 2 2 2 3 4" xfId="9229" xr:uid="{4CB07A4F-0947-46D3-A512-29433E4E7F73}"/>
    <cellStyle name="Comma 4 2 2 2 2 4" xfId="1121" xr:uid="{00000000-0005-0000-0000-0000C1070000}"/>
    <cellStyle name="Comma 4 2 2 2 2 4 2" xfId="3352" xr:uid="{00000000-0005-0000-0000-0000C2070000}"/>
    <cellStyle name="Comma 4 2 2 2 2 4 2 2" xfId="7576" xr:uid="{00000000-0005-0000-0000-0000C3070000}"/>
    <cellStyle name="Comma 4 2 2 2 2 4 2 2 2" xfId="16005" xr:uid="{96D97217-199F-43AA-9D9A-8699A9B5FAF0}"/>
    <cellStyle name="Comma 4 2 2 2 2 4 2 3" xfId="11787" xr:uid="{0E6A7752-885E-425C-AB27-A50E2AD34B89}"/>
    <cellStyle name="Comma 4 2 2 2 2 4 3" xfId="5431" xr:uid="{00000000-0005-0000-0000-0000C4070000}"/>
    <cellStyle name="Comma 4 2 2 2 2 4 3 2" xfId="13860" xr:uid="{A2188CBC-95DF-43BD-A58F-38434106A554}"/>
    <cellStyle name="Comma 4 2 2 2 2 4 4" xfId="9642" xr:uid="{74265197-BBEA-4640-99B2-5E18BEBE2540}"/>
    <cellStyle name="Comma 4 2 2 2 2 5" xfId="1535" xr:uid="{00000000-0005-0000-0000-0000C5070000}"/>
    <cellStyle name="Comma 4 2 2 2 2 5 2" xfId="3765" xr:uid="{00000000-0005-0000-0000-0000C6070000}"/>
    <cellStyle name="Comma 4 2 2 2 2 5 2 2" xfId="7989" xr:uid="{00000000-0005-0000-0000-0000C7070000}"/>
    <cellStyle name="Comma 4 2 2 2 2 5 2 2 2" xfId="16418" xr:uid="{B3B03EFB-53F0-48D9-ABB1-9D9C6DF376F1}"/>
    <cellStyle name="Comma 4 2 2 2 2 5 2 3" xfId="12200" xr:uid="{4853845F-162F-4045-AE54-9CECD4F8065E}"/>
    <cellStyle name="Comma 4 2 2 2 2 5 3" xfId="5844" xr:uid="{00000000-0005-0000-0000-0000C8070000}"/>
    <cellStyle name="Comma 4 2 2 2 2 5 3 2" xfId="14273" xr:uid="{A8860851-CE34-4452-BA0F-BEB7D44C66F2}"/>
    <cellStyle name="Comma 4 2 2 2 2 5 4" xfId="10055" xr:uid="{BCA05C02-9E64-4DEB-ABFF-473A6A69695B}"/>
    <cellStyle name="Comma 4 2 2 2 2 6" xfId="1949" xr:uid="{00000000-0005-0000-0000-0000C9070000}"/>
    <cellStyle name="Comma 4 2 2 2 2 6 2" xfId="4178" xr:uid="{00000000-0005-0000-0000-0000CA070000}"/>
    <cellStyle name="Comma 4 2 2 2 2 6 2 2" xfId="8402" xr:uid="{00000000-0005-0000-0000-0000CB070000}"/>
    <cellStyle name="Comma 4 2 2 2 2 6 2 2 2" xfId="16831" xr:uid="{5C9B5E11-986A-4F72-9CA8-FAB3B8BC583D}"/>
    <cellStyle name="Comma 4 2 2 2 2 6 2 3" xfId="12613" xr:uid="{AFD5A4B3-0A80-42F9-A9A7-D951ED067304}"/>
    <cellStyle name="Comma 4 2 2 2 2 6 3" xfId="6257" xr:uid="{00000000-0005-0000-0000-0000CC070000}"/>
    <cellStyle name="Comma 4 2 2 2 2 6 3 2" xfId="14686" xr:uid="{97FD3449-EB7F-43DC-8C47-6B20F54CE084}"/>
    <cellStyle name="Comma 4 2 2 2 2 6 4" xfId="10468" xr:uid="{46096AE2-654F-4E65-A025-3FEECC0F01ED}"/>
    <cellStyle name="Comma 4 2 2 2 2 7" xfId="2384" xr:uid="{00000000-0005-0000-0000-0000CD070000}"/>
    <cellStyle name="Comma 4 2 2 2 2 7 2" xfId="6670" xr:uid="{00000000-0005-0000-0000-0000CE070000}"/>
    <cellStyle name="Comma 4 2 2 2 2 7 2 2" xfId="15099" xr:uid="{3353FC0D-65F6-43D4-800F-7C6A826B7210}"/>
    <cellStyle name="Comma 4 2 2 2 2 7 3" xfId="10881" xr:uid="{92C7B20D-71F2-4C0E-908F-5C94076485C8}"/>
    <cellStyle name="Comma 4 2 2 2 2 8" xfId="2381" xr:uid="{00000000-0005-0000-0000-0000CF070000}"/>
    <cellStyle name="Comma 4 2 2 2 2 9" xfId="2762" xr:uid="{00000000-0005-0000-0000-0000D0070000}"/>
    <cellStyle name="Comma 4 2 2 2 2 9 2" xfId="6987" xr:uid="{00000000-0005-0000-0000-0000D1070000}"/>
    <cellStyle name="Comma 4 2 2 2 2 9 2 2" xfId="15416" xr:uid="{6C44F1BE-6039-4050-BEAE-A85730C317CB}"/>
    <cellStyle name="Comma 4 2 2 2 2 9 3" xfId="11198" xr:uid="{71B31106-9601-49F3-B4ED-5589E92F219E}"/>
    <cellStyle name="Comma 4 2 2 2 3" xfId="131" xr:uid="{00000000-0005-0000-0000-0000D2070000}"/>
    <cellStyle name="Comma 4 2 2 2 3 10" xfId="8817" xr:uid="{CE84388F-A6D2-4014-B407-1084B717AF3F}"/>
    <cellStyle name="Comma 4 2 2 2 3 2" xfId="670" xr:uid="{00000000-0005-0000-0000-0000D3070000}"/>
    <cellStyle name="Comma 4 2 2 2 3 2 2" xfId="2941" xr:uid="{00000000-0005-0000-0000-0000D4070000}"/>
    <cellStyle name="Comma 4 2 2 2 3 2 2 2" xfId="7165" xr:uid="{00000000-0005-0000-0000-0000D5070000}"/>
    <cellStyle name="Comma 4 2 2 2 3 2 2 2 2" xfId="15594" xr:uid="{9A24533A-1822-47AD-B2D7-88A048EB3C34}"/>
    <cellStyle name="Comma 4 2 2 2 3 2 2 3" xfId="11376" xr:uid="{2D7B76EB-5D54-4E71-BE89-DEB2B9CD66BE}"/>
    <cellStyle name="Comma 4 2 2 2 3 2 3" xfId="5020" xr:uid="{00000000-0005-0000-0000-0000D6070000}"/>
    <cellStyle name="Comma 4 2 2 2 3 2 3 2" xfId="13449" xr:uid="{18AB86FA-988B-45D2-8162-EDFC6B9B0D6A}"/>
    <cellStyle name="Comma 4 2 2 2 3 2 4" xfId="9231" xr:uid="{D42AC926-A324-4E28-B63C-FD4410F71196}"/>
    <cellStyle name="Comma 4 2 2 2 3 3" xfId="1123" xr:uid="{00000000-0005-0000-0000-0000D7070000}"/>
    <cellStyle name="Comma 4 2 2 2 3 3 2" xfId="3354" xr:uid="{00000000-0005-0000-0000-0000D8070000}"/>
    <cellStyle name="Comma 4 2 2 2 3 3 2 2" xfId="7578" xr:uid="{00000000-0005-0000-0000-0000D9070000}"/>
    <cellStyle name="Comma 4 2 2 2 3 3 2 2 2" xfId="16007" xr:uid="{51BFABE6-BC9D-4E6B-A716-9CD5BD0EA23D}"/>
    <cellStyle name="Comma 4 2 2 2 3 3 2 3" xfId="11789" xr:uid="{3FA52B65-1CD9-4AF1-9F50-B5A88BBE9531}"/>
    <cellStyle name="Comma 4 2 2 2 3 3 3" xfId="5433" xr:uid="{00000000-0005-0000-0000-0000DA070000}"/>
    <cellStyle name="Comma 4 2 2 2 3 3 3 2" xfId="13862" xr:uid="{AC58F3EC-47C7-4A0C-9CE0-BDD2B5CAE5FB}"/>
    <cellStyle name="Comma 4 2 2 2 3 3 4" xfId="9644" xr:uid="{03630483-CDF2-4E01-9874-30422FAC7254}"/>
    <cellStyle name="Comma 4 2 2 2 3 4" xfId="1537" xr:uid="{00000000-0005-0000-0000-0000DB070000}"/>
    <cellStyle name="Comma 4 2 2 2 3 4 2" xfId="3767" xr:uid="{00000000-0005-0000-0000-0000DC070000}"/>
    <cellStyle name="Comma 4 2 2 2 3 4 2 2" xfId="7991" xr:uid="{00000000-0005-0000-0000-0000DD070000}"/>
    <cellStyle name="Comma 4 2 2 2 3 4 2 2 2" xfId="16420" xr:uid="{A51465F5-0984-4C7C-BEB1-F9ED4EFDB53A}"/>
    <cellStyle name="Comma 4 2 2 2 3 4 2 3" xfId="12202" xr:uid="{55488ADE-D596-4A76-B334-D64B698F8292}"/>
    <cellStyle name="Comma 4 2 2 2 3 4 3" xfId="5846" xr:uid="{00000000-0005-0000-0000-0000DE070000}"/>
    <cellStyle name="Comma 4 2 2 2 3 4 3 2" xfId="14275" xr:uid="{ACEBCAB7-5840-46A5-8174-37386C12EC64}"/>
    <cellStyle name="Comma 4 2 2 2 3 4 4" xfId="10057" xr:uid="{B25EFE2E-1AD4-4686-9053-F72D1699E5AB}"/>
    <cellStyle name="Comma 4 2 2 2 3 5" xfId="1951" xr:uid="{00000000-0005-0000-0000-0000DF070000}"/>
    <cellStyle name="Comma 4 2 2 2 3 5 2" xfId="4180" xr:uid="{00000000-0005-0000-0000-0000E0070000}"/>
    <cellStyle name="Comma 4 2 2 2 3 5 2 2" xfId="8404" xr:uid="{00000000-0005-0000-0000-0000E1070000}"/>
    <cellStyle name="Comma 4 2 2 2 3 5 2 2 2" xfId="16833" xr:uid="{E1E0D968-B11C-4490-9384-F9295454B69A}"/>
    <cellStyle name="Comma 4 2 2 2 3 5 2 3" xfId="12615" xr:uid="{D8E37285-7CFD-4B54-8B8A-34ACE8762DEA}"/>
    <cellStyle name="Comma 4 2 2 2 3 5 3" xfId="6259" xr:uid="{00000000-0005-0000-0000-0000E2070000}"/>
    <cellStyle name="Comma 4 2 2 2 3 5 3 2" xfId="14688" xr:uid="{B3A614EE-9DFB-4203-8A4E-B814ED1C2AC1}"/>
    <cellStyle name="Comma 4 2 2 2 3 5 4" xfId="10470" xr:uid="{8E1DDEFF-E8A5-4A43-A376-F91871019F65}"/>
    <cellStyle name="Comma 4 2 2 2 3 6" xfId="2386" xr:uid="{00000000-0005-0000-0000-0000E3070000}"/>
    <cellStyle name="Comma 4 2 2 2 3 6 2" xfId="6672" xr:uid="{00000000-0005-0000-0000-0000E4070000}"/>
    <cellStyle name="Comma 4 2 2 2 3 6 2 2" xfId="15101" xr:uid="{BFEDDBD0-7118-47AE-9884-C5AB5134A2D5}"/>
    <cellStyle name="Comma 4 2 2 2 3 6 3" xfId="10883" xr:uid="{CC6F4177-2DAE-4734-8F64-7A8E1135303C}"/>
    <cellStyle name="Comma 4 2 2 2 3 7" xfId="2379" xr:uid="{00000000-0005-0000-0000-0000E5070000}"/>
    <cellStyle name="Comma 4 2 2 2 3 8" xfId="2764" xr:uid="{00000000-0005-0000-0000-0000E6070000}"/>
    <cellStyle name="Comma 4 2 2 2 3 8 2" xfId="6989" xr:uid="{00000000-0005-0000-0000-0000E7070000}"/>
    <cellStyle name="Comma 4 2 2 2 3 8 2 2" xfId="15418" xr:uid="{A2BD0837-E434-451B-8ACC-C85F923C2A0E}"/>
    <cellStyle name="Comma 4 2 2 2 3 8 3" xfId="11200" xr:uid="{DE5361F6-DC19-4451-8CD5-5E30EE96ACDD}"/>
    <cellStyle name="Comma 4 2 2 2 3 9" xfId="4606" xr:uid="{00000000-0005-0000-0000-0000E8070000}"/>
    <cellStyle name="Comma 4 2 2 2 3 9 2" xfId="13035" xr:uid="{AD72B940-179F-4758-A8B8-860B8D96C07E}"/>
    <cellStyle name="Comma 4 2 2 2 4" xfId="667" xr:uid="{00000000-0005-0000-0000-0000E9070000}"/>
    <cellStyle name="Comma 4 2 2 2 4 2" xfId="2938" xr:uid="{00000000-0005-0000-0000-0000EA070000}"/>
    <cellStyle name="Comma 4 2 2 2 4 2 2" xfId="7162" xr:uid="{00000000-0005-0000-0000-0000EB070000}"/>
    <cellStyle name="Comma 4 2 2 2 4 2 2 2" xfId="15591" xr:uid="{1553F97D-DFE8-4BE2-BEE5-B9988FED1CD4}"/>
    <cellStyle name="Comma 4 2 2 2 4 2 3" xfId="11373" xr:uid="{B6F5D54D-5B8D-48F0-99DF-25E0D50949A9}"/>
    <cellStyle name="Comma 4 2 2 2 4 3" xfId="5017" xr:uid="{00000000-0005-0000-0000-0000EC070000}"/>
    <cellStyle name="Comma 4 2 2 2 4 3 2" xfId="13446" xr:uid="{CAC99072-0E01-4F32-BAE3-88206D9612CB}"/>
    <cellStyle name="Comma 4 2 2 2 4 4" xfId="9228" xr:uid="{87A337BC-0C64-4F4C-97EF-797516FADFCB}"/>
    <cellStyle name="Comma 4 2 2 2 5" xfId="1120" xr:uid="{00000000-0005-0000-0000-0000ED070000}"/>
    <cellStyle name="Comma 4 2 2 2 5 2" xfId="3351" xr:uid="{00000000-0005-0000-0000-0000EE070000}"/>
    <cellStyle name="Comma 4 2 2 2 5 2 2" xfId="7575" xr:uid="{00000000-0005-0000-0000-0000EF070000}"/>
    <cellStyle name="Comma 4 2 2 2 5 2 2 2" xfId="16004" xr:uid="{1588D960-022D-4710-BC8C-D6F5C8F65947}"/>
    <cellStyle name="Comma 4 2 2 2 5 2 3" xfId="11786" xr:uid="{9532B5BF-E801-422C-8D21-0431DE00DC6F}"/>
    <cellStyle name="Comma 4 2 2 2 5 3" xfId="5430" xr:uid="{00000000-0005-0000-0000-0000F0070000}"/>
    <cellStyle name="Comma 4 2 2 2 5 3 2" xfId="13859" xr:uid="{F8F58A9C-0F61-4A1B-BD00-E22176579E79}"/>
    <cellStyle name="Comma 4 2 2 2 5 4" xfId="9641" xr:uid="{3B8F4B8D-4B5B-4F12-AFBD-9EBE9853FF24}"/>
    <cellStyle name="Comma 4 2 2 2 6" xfId="1534" xr:uid="{00000000-0005-0000-0000-0000F1070000}"/>
    <cellStyle name="Comma 4 2 2 2 6 2" xfId="3764" xr:uid="{00000000-0005-0000-0000-0000F2070000}"/>
    <cellStyle name="Comma 4 2 2 2 6 2 2" xfId="7988" xr:uid="{00000000-0005-0000-0000-0000F3070000}"/>
    <cellStyle name="Comma 4 2 2 2 6 2 2 2" xfId="16417" xr:uid="{41306BAA-DE79-486C-8C6E-6E4FCD44F1EA}"/>
    <cellStyle name="Comma 4 2 2 2 6 2 3" xfId="12199" xr:uid="{4B1CCA2F-F8C5-416B-A556-103F8E0F5462}"/>
    <cellStyle name="Comma 4 2 2 2 6 3" xfId="5843" xr:uid="{00000000-0005-0000-0000-0000F4070000}"/>
    <cellStyle name="Comma 4 2 2 2 6 3 2" xfId="14272" xr:uid="{2EBD7020-0C56-4073-8605-619F0002BDD4}"/>
    <cellStyle name="Comma 4 2 2 2 6 4" xfId="10054" xr:uid="{A00CAD69-8AEC-4D35-97EC-79AFBCD308A3}"/>
    <cellStyle name="Comma 4 2 2 2 7" xfId="1948" xr:uid="{00000000-0005-0000-0000-0000F5070000}"/>
    <cellStyle name="Comma 4 2 2 2 7 2" xfId="4177" xr:uid="{00000000-0005-0000-0000-0000F6070000}"/>
    <cellStyle name="Comma 4 2 2 2 7 2 2" xfId="8401" xr:uid="{00000000-0005-0000-0000-0000F7070000}"/>
    <cellStyle name="Comma 4 2 2 2 7 2 2 2" xfId="16830" xr:uid="{EA0AC286-50F0-441B-AD75-7CA23ACD18C8}"/>
    <cellStyle name="Comma 4 2 2 2 7 2 3" xfId="12612" xr:uid="{BA7C3686-FC10-40A1-87F0-F301299715A7}"/>
    <cellStyle name="Comma 4 2 2 2 7 3" xfId="6256" xr:uid="{00000000-0005-0000-0000-0000F8070000}"/>
    <cellStyle name="Comma 4 2 2 2 7 3 2" xfId="14685" xr:uid="{B9818F4B-7077-47F0-BF02-49FC80CD248A}"/>
    <cellStyle name="Comma 4 2 2 2 7 4" xfId="10467" xr:uid="{6549D061-2DF7-43B3-928F-349E6B38F43B}"/>
    <cellStyle name="Comma 4 2 2 2 8" xfId="2383" xr:uid="{00000000-0005-0000-0000-0000F9070000}"/>
    <cellStyle name="Comma 4 2 2 2 8 2" xfId="6669" xr:uid="{00000000-0005-0000-0000-0000FA070000}"/>
    <cellStyle name="Comma 4 2 2 2 8 2 2" xfId="15098" xr:uid="{B7F196F0-E476-48D6-8CA3-36C2ADF777D5}"/>
    <cellStyle name="Comma 4 2 2 2 8 3" xfId="10880" xr:uid="{4D946E76-EEF9-44E3-BBA6-309E8AD6CC09}"/>
    <cellStyle name="Comma 4 2 2 2 9" xfId="2382" xr:uid="{00000000-0005-0000-0000-0000FB070000}"/>
    <cellStyle name="Comma 4 2 2 3" xfId="132" xr:uid="{00000000-0005-0000-0000-0000FC070000}"/>
    <cellStyle name="Comma 4 2 2 3 10" xfId="4607" xr:uid="{00000000-0005-0000-0000-0000FD070000}"/>
    <cellStyle name="Comma 4 2 2 3 10 2" xfId="13036" xr:uid="{C64E0441-CA98-4B08-BB61-2BEACE5FDFD2}"/>
    <cellStyle name="Comma 4 2 2 3 11" xfId="8818" xr:uid="{D710B4F5-72F1-4549-BDBC-36634B2ED093}"/>
    <cellStyle name="Comma 4 2 2 3 2" xfId="133" xr:uid="{00000000-0005-0000-0000-0000FE070000}"/>
    <cellStyle name="Comma 4 2 2 3 2 10" xfId="8819" xr:uid="{0071D5B0-4304-4285-B53F-9C8248EB51C7}"/>
    <cellStyle name="Comma 4 2 2 3 2 2" xfId="672" xr:uid="{00000000-0005-0000-0000-0000FF070000}"/>
    <cellStyle name="Comma 4 2 2 3 2 2 2" xfId="2943" xr:uid="{00000000-0005-0000-0000-000000080000}"/>
    <cellStyle name="Comma 4 2 2 3 2 2 2 2" xfId="7167" xr:uid="{00000000-0005-0000-0000-000001080000}"/>
    <cellStyle name="Comma 4 2 2 3 2 2 2 2 2" xfId="15596" xr:uid="{F8CD592E-9ECA-4C6F-BB86-CE62BE23400B}"/>
    <cellStyle name="Comma 4 2 2 3 2 2 2 3" xfId="11378" xr:uid="{48B3DF2D-7F3F-41DA-A835-A77EDF71A76C}"/>
    <cellStyle name="Comma 4 2 2 3 2 2 3" xfId="5022" xr:uid="{00000000-0005-0000-0000-000002080000}"/>
    <cellStyle name="Comma 4 2 2 3 2 2 3 2" xfId="13451" xr:uid="{2CBCFE6A-F120-4FBD-862D-053DCCA4C5B3}"/>
    <cellStyle name="Comma 4 2 2 3 2 2 4" xfId="9233" xr:uid="{B0F241BF-FC1C-4080-A7D8-A16B903053FF}"/>
    <cellStyle name="Comma 4 2 2 3 2 3" xfId="1125" xr:uid="{00000000-0005-0000-0000-000003080000}"/>
    <cellStyle name="Comma 4 2 2 3 2 3 2" xfId="3356" xr:uid="{00000000-0005-0000-0000-000004080000}"/>
    <cellStyle name="Comma 4 2 2 3 2 3 2 2" xfId="7580" xr:uid="{00000000-0005-0000-0000-000005080000}"/>
    <cellStyle name="Comma 4 2 2 3 2 3 2 2 2" xfId="16009" xr:uid="{C8C4B38D-A244-4EBA-B9BD-2C0DD6F938BE}"/>
    <cellStyle name="Comma 4 2 2 3 2 3 2 3" xfId="11791" xr:uid="{566A6124-D4AF-4503-A808-58C1E9F0805E}"/>
    <cellStyle name="Comma 4 2 2 3 2 3 3" xfId="5435" xr:uid="{00000000-0005-0000-0000-000006080000}"/>
    <cellStyle name="Comma 4 2 2 3 2 3 3 2" xfId="13864" xr:uid="{0AD028DF-59A3-490F-A3B1-81D627463231}"/>
    <cellStyle name="Comma 4 2 2 3 2 3 4" xfId="9646" xr:uid="{DD6B6731-3F20-4187-B35F-9D0EE1CBC56E}"/>
    <cellStyle name="Comma 4 2 2 3 2 4" xfId="1539" xr:uid="{00000000-0005-0000-0000-000007080000}"/>
    <cellStyle name="Comma 4 2 2 3 2 4 2" xfId="3769" xr:uid="{00000000-0005-0000-0000-000008080000}"/>
    <cellStyle name="Comma 4 2 2 3 2 4 2 2" xfId="7993" xr:uid="{00000000-0005-0000-0000-000009080000}"/>
    <cellStyle name="Comma 4 2 2 3 2 4 2 2 2" xfId="16422" xr:uid="{1E5FFD58-8C64-43FA-8CFF-8C858A975268}"/>
    <cellStyle name="Comma 4 2 2 3 2 4 2 3" xfId="12204" xr:uid="{014FF513-9C87-4A06-8298-DB08A1E94FFB}"/>
    <cellStyle name="Comma 4 2 2 3 2 4 3" xfId="5848" xr:uid="{00000000-0005-0000-0000-00000A080000}"/>
    <cellStyle name="Comma 4 2 2 3 2 4 3 2" xfId="14277" xr:uid="{D41C5744-4289-4C55-9A1D-C6BCE4A3A298}"/>
    <cellStyle name="Comma 4 2 2 3 2 4 4" xfId="10059" xr:uid="{E8C88FCD-8BB0-4D89-B4FF-D3407D39B26B}"/>
    <cellStyle name="Comma 4 2 2 3 2 5" xfId="1953" xr:uid="{00000000-0005-0000-0000-00000B080000}"/>
    <cellStyle name="Comma 4 2 2 3 2 5 2" xfId="4182" xr:uid="{00000000-0005-0000-0000-00000C080000}"/>
    <cellStyle name="Comma 4 2 2 3 2 5 2 2" xfId="8406" xr:uid="{00000000-0005-0000-0000-00000D080000}"/>
    <cellStyle name="Comma 4 2 2 3 2 5 2 2 2" xfId="16835" xr:uid="{E51AE1A3-C304-40C6-86EF-84AAB632A176}"/>
    <cellStyle name="Comma 4 2 2 3 2 5 2 3" xfId="12617" xr:uid="{3E4E2FFB-A7C6-400D-9280-A978EAE7F580}"/>
    <cellStyle name="Comma 4 2 2 3 2 5 3" xfId="6261" xr:uid="{00000000-0005-0000-0000-00000E080000}"/>
    <cellStyle name="Comma 4 2 2 3 2 5 3 2" xfId="14690" xr:uid="{EF09F205-7CE0-4B73-853C-F6B42BC7AE06}"/>
    <cellStyle name="Comma 4 2 2 3 2 5 4" xfId="10472" xr:uid="{814E3482-3928-4BB5-AC41-FC4C8711EA47}"/>
    <cellStyle name="Comma 4 2 2 3 2 6" xfId="2388" xr:uid="{00000000-0005-0000-0000-00000F080000}"/>
    <cellStyle name="Comma 4 2 2 3 2 6 2" xfId="6674" xr:uid="{00000000-0005-0000-0000-000010080000}"/>
    <cellStyle name="Comma 4 2 2 3 2 6 2 2" xfId="15103" xr:uid="{49B9BF98-8C0A-4BA4-B579-AB3FD804EE4F}"/>
    <cellStyle name="Comma 4 2 2 3 2 6 3" xfId="10885" xr:uid="{DCFA83C0-F628-4DF3-86A0-7C25ADC8D525}"/>
    <cellStyle name="Comma 4 2 2 3 2 7" xfId="2377" xr:uid="{00000000-0005-0000-0000-000011080000}"/>
    <cellStyle name="Comma 4 2 2 3 2 8" xfId="2766" xr:uid="{00000000-0005-0000-0000-000012080000}"/>
    <cellStyle name="Comma 4 2 2 3 2 8 2" xfId="6991" xr:uid="{00000000-0005-0000-0000-000013080000}"/>
    <cellStyle name="Comma 4 2 2 3 2 8 2 2" xfId="15420" xr:uid="{D8714B37-0290-4ECE-8367-1FB7A47411E1}"/>
    <cellStyle name="Comma 4 2 2 3 2 8 3" xfId="11202" xr:uid="{890675AF-BA24-4934-9634-EBF54A9CD3D8}"/>
    <cellStyle name="Comma 4 2 2 3 2 9" xfId="4608" xr:uid="{00000000-0005-0000-0000-000014080000}"/>
    <cellStyle name="Comma 4 2 2 3 2 9 2" xfId="13037" xr:uid="{66EE24B2-1768-4658-A667-43FD1AA9B07C}"/>
    <cellStyle name="Comma 4 2 2 3 3" xfId="671" xr:uid="{00000000-0005-0000-0000-000015080000}"/>
    <cellStyle name="Comma 4 2 2 3 3 2" xfId="2942" xr:uid="{00000000-0005-0000-0000-000016080000}"/>
    <cellStyle name="Comma 4 2 2 3 3 2 2" xfId="7166" xr:uid="{00000000-0005-0000-0000-000017080000}"/>
    <cellStyle name="Comma 4 2 2 3 3 2 2 2" xfId="15595" xr:uid="{EB8539F8-5D3E-4C54-9F2C-2338B18E6E62}"/>
    <cellStyle name="Comma 4 2 2 3 3 2 3" xfId="11377" xr:uid="{D65FD89E-1D98-4B0B-9B57-A7D312D6CE58}"/>
    <cellStyle name="Comma 4 2 2 3 3 3" xfId="5021" xr:uid="{00000000-0005-0000-0000-000018080000}"/>
    <cellStyle name="Comma 4 2 2 3 3 3 2" xfId="13450" xr:uid="{D1EDDE13-8BBA-46FD-8CDE-C185E4D08BAD}"/>
    <cellStyle name="Comma 4 2 2 3 3 4" xfId="9232" xr:uid="{6D09AC27-005C-4B65-BD89-823B7F1EAFE9}"/>
    <cellStyle name="Comma 4 2 2 3 4" xfId="1124" xr:uid="{00000000-0005-0000-0000-000019080000}"/>
    <cellStyle name="Comma 4 2 2 3 4 2" xfId="3355" xr:uid="{00000000-0005-0000-0000-00001A080000}"/>
    <cellStyle name="Comma 4 2 2 3 4 2 2" xfId="7579" xr:uid="{00000000-0005-0000-0000-00001B080000}"/>
    <cellStyle name="Comma 4 2 2 3 4 2 2 2" xfId="16008" xr:uid="{5E2937EA-FCA2-4941-9F17-6933E356509A}"/>
    <cellStyle name="Comma 4 2 2 3 4 2 3" xfId="11790" xr:uid="{23282AB2-4615-4DDD-BD73-0169F3BF430B}"/>
    <cellStyle name="Comma 4 2 2 3 4 3" xfId="5434" xr:uid="{00000000-0005-0000-0000-00001C080000}"/>
    <cellStyle name="Comma 4 2 2 3 4 3 2" xfId="13863" xr:uid="{0FB3F274-4DF6-4CDD-ABB9-2E0B1CE38B90}"/>
    <cellStyle name="Comma 4 2 2 3 4 4" xfId="9645" xr:uid="{715AC69C-1D16-4602-9509-127A00034EE2}"/>
    <cellStyle name="Comma 4 2 2 3 5" xfId="1538" xr:uid="{00000000-0005-0000-0000-00001D080000}"/>
    <cellStyle name="Comma 4 2 2 3 5 2" xfId="3768" xr:uid="{00000000-0005-0000-0000-00001E080000}"/>
    <cellStyle name="Comma 4 2 2 3 5 2 2" xfId="7992" xr:uid="{00000000-0005-0000-0000-00001F080000}"/>
    <cellStyle name="Comma 4 2 2 3 5 2 2 2" xfId="16421" xr:uid="{8BF6BFEC-488C-4A23-80A7-0A87A4224C07}"/>
    <cellStyle name="Comma 4 2 2 3 5 2 3" xfId="12203" xr:uid="{2940362F-8DE4-4599-8CCA-DD61545FF643}"/>
    <cellStyle name="Comma 4 2 2 3 5 3" xfId="5847" xr:uid="{00000000-0005-0000-0000-000020080000}"/>
    <cellStyle name="Comma 4 2 2 3 5 3 2" xfId="14276" xr:uid="{2A750FBA-BDD0-4B92-AF1E-B0E10F99FD5F}"/>
    <cellStyle name="Comma 4 2 2 3 5 4" xfId="10058" xr:uid="{2C01041F-1AB3-4F7C-AE53-12914235EB7E}"/>
    <cellStyle name="Comma 4 2 2 3 6" xfId="1952" xr:uid="{00000000-0005-0000-0000-000021080000}"/>
    <cellStyle name="Comma 4 2 2 3 6 2" xfId="4181" xr:uid="{00000000-0005-0000-0000-000022080000}"/>
    <cellStyle name="Comma 4 2 2 3 6 2 2" xfId="8405" xr:uid="{00000000-0005-0000-0000-000023080000}"/>
    <cellStyle name="Comma 4 2 2 3 6 2 2 2" xfId="16834" xr:uid="{2995A323-19C9-4FEC-BDA4-7B4AFCB060A1}"/>
    <cellStyle name="Comma 4 2 2 3 6 2 3" xfId="12616" xr:uid="{7CD99DC6-58A6-4BDE-921A-307E7ED34887}"/>
    <cellStyle name="Comma 4 2 2 3 6 3" xfId="6260" xr:uid="{00000000-0005-0000-0000-000024080000}"/>
    <cellStyle name="Comma 4 2 2 3 6 3 2" xfId="14689" xr:uid="{64015576-07EF-47F9-95EF-907892862001}"/>
    <cellStyle name="Comma 4 2 2 3 6 4" xfId="10471" xr:uid="{582817D7-1578-4CC6-91CB-FC0A87A97970}"/>
    <cellStyle name="Comma 4 2 2 3 7" xfId="2387" xr:uid="{00000000-0005-0000-0000-000025080000}"/>
    <cellStyle name="Comma 4 2 2 3 7 2" xfId="6673" xr:uid="{00000000-0005-0000-0000-000026080000}"/>
    <cellStyle name="Comma 4 2 2 3 7 2 2" xfId="15102" xr:uid="{AD1C7E34-879A-47E2-AEF6-09C3EFFD3F96}"/>
    <cellStyle name="Comma 4 2 2 3 7 3" xfId="10884" xr:uid="{1E91E74C-8F14-4ED9-8F0D-0919AE876336}"/>
    <cellStyle name="Comma 4 2 2 3 8" xfId="2378" xr:uid="{00000000-0005-0000-0000-000027080000}"/>
    <cellStyle name="Comma 4 2 2 3 9" xfId="2765" xr:uid="{00000000-0005-0000-0000-000028080000}"/>
    <cellStyle name="Comma 4 2 2 3 9 2" xfId="6990" xr:uid="{00000000-0005-0000-0000-000029080000}"/>
    <cellStyle name="Comma 4 2 2 3 9 2 2" xfId="15419" xr:uid="{50AFFC1D-FFD6-4B87-9C33-F863D388F291}"/>
    <cellStyle name="Comma 4 2 2 3 9 3" xfId="11201" xr:uid="{622DA77F-021D-45A7-8731-10A989AA9274}"/>
    <cellStyle name="Comma 4 2 2 4" xfId="134" xr:uid="{00000000-0005-0000-0000-00002A080000}"/>
    <cellStyle name="Comma 4 2 2 4 10" xfId="8820" xr:uid="{13B4C4F4-3893-4E8B-A2E3-82E5CA22E11F}"/>
    <cellStyle name="Comma 4 2 2 4 2" xfId="673" xr:uid="{00000000-0005-0000-0000-00002B080000}"/>
    <cellStyle name="Comma 4 2 2 4 2 2" xfId="2944" xr:uid="{00000000-0005-0000-0000-00002C080000}"/>
    <cellStyle name="Comma 4 2 2 4 2 2 2" xfId="7168" xr:uid="{00000000-0005-0000-0000-00002D080000}"/>
    <cellStyle name="Comma 4 2 2 4 2 2 2 2" xfId="15597" xr:uid="{E9480478-FF5E-4630-8847-E6B91FDE2130}"/>
    <cellStyle name="Comma 4 2 2 4 2 2 3" xfId="11379" xr:uid="{0CFE2EDD-94FA-4BA4-BB09-F1F5D5449D0B}"/>
    <cellStyle name="Comma 4 2 2 4 2 3" xfId="5023" xr:uid="{00000000-0005-0000-0000-00002E080000}"/>
    <cellStyle name="Comma 4 2 2 4 2 3 2" xfId="13452" xr:uid="{59E3C96C-6EA3-43C8-9288-BB93F016E160}"/>
    <cellStyle name="Comma 4 2 2 4 2 4" xfId="9234" xr:uid="{59B613B3-45D4-4F4A-8CFA-D41EBDDCA5FE}"/>
    <cellStyle name="Comma 4 2 2 4 3" xfId="1126" xr:uid="{00000000-0005-0000-0000-00002F080000}"/>
    <cellStyle name="Comma 4 2 2 4 3 2" xfId="3357" xr:uid="{00000000-0005-0000-0000-000030080000}"/>
    <cellStyle name="Comma 4 2 2 4 3 2 2" xfId="7581" xr:uid="{00000000-0005-0000-0000-000031080000}"/>
    <cellStyle name="Comma 4 2 2 4 3 2 2 2" xfId="16010" xr:uid="{D371B2EB-8540-457F-99AE-D027C5D6FF51}"/>
    <cellStyle name="Comma 4 2 2 4 3 2 3" xfId="11792" xr:uid="{110765AD-2DF4-44C9-8B9F-C8AFC5B58B20}"/>
    <cellStyle name="Comma 4 2 2 4 3 3" xfId="5436" xr:uid="{00000000-0005-0000-0000-000032080000}"/>
    <cellStyle name="Comma 4 2 2 4 3 3 2" xfId="13865" xr:uid="{1F9D1FEB-C1E4-4C72-82A2-2BC3AD1815B9}"/>
    <cellStyle name="Comma 4 2 2 4 3 4" xfId="9647" xr:uid="{B96F8C77-66BD-4FB6-B17C-BE53D3839913}"/>
    <cellStyle name="Comma 4 2 2 4 4" xfId="1540" xr:uid="{00000000-0005-0000-0000-000033080000}"/>
    <cellStyle name="Comma 4 2 2 4 4 2" xfId="3770" xr:uid="{00000000-0005-0000-0000-000034080000}"/>
    <cellStyle name="Comma 4 2 2 4 4 2 2" xfId="7994" xr:uid="{00000000-0005-0000-0000-000035080000}"/>
    <cellStyle name="Comma 4 2 2 4 4 2 2 2" xfId="16423" xr:uid="{F1D64739-F82C-496F-AED9-02E87237DBD0}"/>
    <cellStyle name="Comma 4 2 2 4 4 2 3" xfId="12205" xr:uid="{FDE9A972-9C4C-44D6-A063-244A1E531727}"/>
    <cellStyle name="Comma 4 2 2 4 4 3" xfId="5849" xr:uid="{00000000-0005-0000-0000-000036080000}"/>
    <cellStyle name="Comma 4 2 2 4 4 3 2" xfId="14278" xr:uid="{51D2DD45-4980-4D43-B7B5-466C23DFF9CA}"/>
    <cellStyle name="Comma 4 2 2 4 4 4" xfId="10060" xr:uid="{D754B02B-8F73-49A2-B816-917344BD7DB4}"/>
    <cellStyle name="Comma 4 2 2 4 5" xfId="1954" xr:uid="{00000000-0005-0000-0000-000037080000}"/>
    <cellStyle name="Comma 4 2 2 4 5 2" xfId="4183" xr:uid="{00000000-0005-0000-0000-000038080000}"/>
    <cellStyle name="Comma 4 2 2 4 5 2 2" xfId="8407" xr:uid="{00000000-0005-0000-0000-000039080000}"/>
    <cellStyle name="Comma 4 2 2 4 5 2 2 2" xfId="16836" xr:uid="{41BAE892-5740-4781-835F-F4D8DD21D406}"/>
    <cellStyle name="Comma 4 2 2 4 5 2 3" xfId="12618" xr:uid="{BD90001B-C2BA-48AD-AB75-7361D69E9FCC}"/>
    <cellStyle name="Comma 4 2 2 4 5 3" xfId="6262" xr:uid="{00000000-0005-0000-0000-00003A080000}"/>
    <cellStyle name="Comma 4 2 2 4 5 3 2" xfId="14691" xr:uid="{03982DFA-9A91-4459-BD25-0E4A7C7E4305}"/>
    <cellStyle name="Comma 4 2 2 4 5 4" xfId="10473" xr:uid="{E47BC5F8-C348-4489-93DB-E1AF3E61DFCE}"/>
    <cellStyle name="Comma 4 2 2 4 6" xfId="2389" xr:uid="{00000000-0005-0000-0000-00003B080000}"/>
    <cellStyle name="Comma 4 2 2 4 6 2" xfId="6675" xr:uid="{00000000-0005-0000-0000-00003C080000}"/>
    <cellStyle name="Comma 4 2 2 4 6 2 2" xfId="15104" xr:uid="{8A88B35E-9E55-4C01-B426-4E66CB8B92EE}"/>
    <cellStyle name="Comma 4 2 2 4 6 3" xfId="10886" xr:uid="{481896F0-EE73-4FD9-AF73-7B98553E545E}"/>
    <cellStyle name="Comma 4 2 2 4 7" xfId="2376" xr:uid="{00000000-0005-0000-0000-00003D080000}"/>
    <cellStyle name="Comma 4 2 2 4 8" xfId="2767" xr:uid="{00000000-0005-0000-0000-00003E080000}"/>
    <cellStyle name="Comma 4 2 2 4 8 2" xfId="6992" xr:uid="{00000000-0005-0000-0000-00003F080000}"/>
    <cellStyle name="Comma 4 2 2 4 8 2 2" xfId="15421" xr:uid="{1354B780-6B8C-4624-B716-7E3C9DCB8BE2}"/>
    <cellStyle name="Comma 4 2 2 4 8 3" xfId="11203" xr:uid="{5CB548D6-0B04-485F-9271-48CE3B9E1102}"/>
    <cellStyle name="Comma 4 2 2 4 9" xfId="4609" xr:uid="{00000000-0005-0000-0000-000040080000}"/>
    <cellStyle name="Comma 4 2 2 4 9 2" xfId="13038" xr:uid="{64473F47-E96E-4D84-8029-A4EA86C730DA}"/>
    <cellStyle name="Comma 4 2 2 5" xfId="135" xr:uid="{00000000-0005-0000-0000-000041080000}"/>
    <cellStyle name="Comma 4 2 2 5 10" xfId="8821" xr:uid="{CCFA8D69-A1BF-4D27-983C-60AFC076F739}"/>
    <cellStyle name="Comma 4 2 2 5 2" xfId="674" xr:uid="{00000000-0005-0000-0000-000042080000}"/>
    <cellStyle name="Comma 4 2 2 5 2 2" xfId="2945" xr:uid="{00000000-0005-0000-0000-000043080000}"/>
    <cellStyle name="Comma 4 2 2 5 2 2 2" xfId="7169" xr:uid="{00000000-0005-0000-0000-000044080000}"/>
    <cellStyle name="Comma 4 2 2 5 2 2 2 2" xfId="15598" xr:uid="{F226ECEF-8722-4851-922D-C6ACB599EE45}"/>
    <cellStyle name="Comma 4 2 2 5 2 2 3" xfId="11380" xr:uid="{68E4F83A-E78C-452C-B4C7-ECE6A761BFE9}"/>
    <cellStyle name="Comma 4 2 2 5 2 3" xfId="5024" xr:uid="{00000000-0005-0000-0000-000045080000}"/>
    <cellStyle name="Comma 4 2 2 5 2 3 2" xfId="13453" xr:uid="{97970D3F-B040-4001-9CCD-D82557D018A4}"/>
    <cellStyle name="Comma 4 2 2 5 2 4" xfId="9235" xr:uid="{D55E7586-D713-4D35-8EAB-FF54084512C9}"/>
    <cellStyle name="Comma 4 2 2 5 3" xfId="1127" xr:uid="{00000000-0005-0000-0000-000046080000}"/>
    <cellStyle name="Comma 4 2 2 5 3 2" xfId="3358" xr:uid="{00000000-0005-0000-0000-000047080000}"/>
    <cellStyle name="Comma 4 2 2 5 3 2 2" xfId="7582" xr:uid="{00000000-0005-0000-0000-000048080000}"/>
    <cellStyle name="Comma 4 2 2 5 3 2 2 2" xfId="16011" xr:uid="{1182C68C-23FF-4F6A-B229-F1D33F5E6BF3}"/>
    <cellStyle name="Comma 4 2 2 5 3 2 3" xfId="11793" xr:uid="{217D2832-6B5F-4622-86EC-325E05520338}"/>
    <cellStyle name="Comma 4 2 2 5 3 3" xfId="5437" xr:uid="{00000000-0005-0000-0000-000049080000}"/>
    <cellStyle name="Comma 4 2 2 5 3 3 2" xfId="13866" xr:uid="{DA1816BA-C378-4AD7-A4EE-862A998D8764}"/>
    <cellStyle name="Comma 4 2 2 5 3 4" xfId="9648" xr:uid="{C63385E6-75BC-4705-AD70-BECB2C629F53}"/>
    <cellStyle name="Comma 4 2 2 5 4" xfId="1541" xr:uid="{00000000-0005-0000-0000-00004A080000}"/>
    <cellStyle name="Comma 4 2 2 5 4 2" xfId="3771" xr:uid="{00000000-0005-0000-0000-00004B080000}"/>
    <cellStyle name="Comma 4 2 2 5 4 2 2" xfId="7995" xr:uid="{00000000-0005-0000-0000-00004C080000}"/>
    <cellStyle name="Comma 4 2 2 5 4 2 2 2" xfId="16424" xr:uid="{637A776E-ADCD-4A7A-BE82-B0C61B4B16F6}"/>
    <cellStyle name="Comma 4 2 2 5 4 2 3" xfId="12206" xr:uid="{86D802F1-D496-4F41-808F-0860D1474BD1}"/>
    <cellStyle name="Comma 4 2 2 5 4 3" xfId="5850" xr:uid="{00000000-0005-0000-0000-00004D080000}"/>
    <cellStyle name="Comma 4 2 2 5 4 3 2" xfId="14279" xr:uid="{D715533C-AF75-4F0A-B083-DBCBBEF68487}"/>
    <cellStyle name="Comma 4 2 2 5 4 4" xfId="10061" xr:uid="{5E6F1179-53FD-49CC-9732-AE10F6C88530}"/>
    <cellStyle name="Comma 4 2 2 5 5" xfId="1955" xr:uid="{00000000-0005-0000-0000-00004E080000}"/>
    <cellStyle name="Comma 4 2 2 5 5 2" xfId="4184" xr:uid="{00000000-0005-0000-0000-00004F080000}"/>
    <cellStyle name="Comma 4 2 2 5 5 2 2" xfId="8408" xr:uid="{00000000-0005-0000-0000-000050080000}"/>
    <cellStyle name="Comma 4 2 2 5 5 2 2 2" xfId="16837" xr:uid="{F104D89B-1886-4881-824D-CF51B8F50DD0}"/>
    <cellStyle name="Comma 4 2 2 5 5 2 3" xfId="12619" xr:uid="{0E8B513A-29EE-4C8E-AE69-1E3C771C038D}"/>
    <cellStyle name="Comma 4 2 2 5 5 3" xfId="6263" xr:uid="{00000000-0005-0000-0000-000051080000}"/>
    <cellStyle name="Comma 4 2 2 5 5 3 2" xfId="14692" xr:uid="{D5109FFA-0FEF-47F5-A2F1-7542A3DBA49B}"/>
    <cellStyle name="Comma 4 2 2 5 5 4" xfId="10474" xr:uid="{78C43FA2-8B63-43BF-9C97-E10EF297AF40}"/>
    <cellStyle name="Comma 4 2 2 5 6" xfId="2390" xr:uid="{00000000-0005-0000-0000-000052080000}"/>
    <cellStyle name="Comma 4 2 2 5 6 2" xfId="6676" xr:uid="{00000000-0005-0000-0000-000053080000}"/>
    <cellStyle name="Comma 4 2 2 5 6 2 2" xfId="15105" xr:uid="{8F43E628-605D-4BE0-8EDE-5A95C79559E6}"/>
    <cellStyle name="Comma 4 2 2 5 6 3" xfId="10887" xr:uid="{DB6C562D-7C3A-47FF-B8A2-850C14A0419D}"/>
    <cellStyle name="Comma 4 2 2 5 7" xfId="2375" xr:uid="{00000000-0005-0000-0000-000054080000}"/>
    <cellStyle name="Comma 4 2 2 5 8" xfId="2768" xr:uid="{00000000-0005-0000-0000-000055080000}"/>
    <cellStyle name="Comma 4 2 2 5 8 2" xfId="6993" xr:uid="{00000000-0005-0000-0000-000056080000}"/>
    <cellStyle name="Comma 4 2 2 5 8 2 2" xfId="15422" xr:uid="{BD7AAEF3-DA57-48DD-A08E-99C980299651}"/>
    <cellStyle name="Comma 4 2 2 5 8 3" xfId="11204" xr:uid="{E6421BD0-10AA-46F3-A3C1-24857D0A4A6C}"/>
    <cellStyle name="Comma 4 2 2 5 9" xfId="4610" xr:uid="{00000000-0005-0000-0000-000057080000}"/>
    <cellStyle name="Comma 4 2 2 5 9 2" xfId="13039" xr:uid="{6B9D683E-337B-4964-9248-F7ACA1AA7848}"/>
    <cellStyle name="Comma 4 2 3" xfId="136" xr:uid="{00000000-0005-0000-0000-000058080000}"/>
    <cellStyle name="Comma 4 2 3 10" xfId="2769" xr:uid="{00000000-0005-0000-0000-000059080000}"/>
    <cellStyle name="Comma 4 2 3 10 2" xfId="6994" xr:uid="{00000000-0005-0000-0000-00005A080000}"/>
    <cellStyle name="Comma 4 2 3 10 2 2" xfId="15423" xr:uid="{3CDC1EDA-794D-40EF-BAD8-70D23EC6E46C}"/>
    <cellStyle name="Comma 4 2 3 10 3" xfId="11205" xr:uid="{DD644218-E112-4065-B25D-577FA8FC5E29}"/>
    <cellStyle name="Comma 4 2 3 11" xfId="4611" xr:uid="{00000000-0005-0000-0000-00005B080000}"/>
    <cellStyle name="Comma 4 2 3 11 2" xfId="13040" xr:uid="{9E4ECC7E-7AE4-47D7-9F72-64934858804B}"/>
    <cellStyle name="Comma 4 2 3 12" xfId="8822" xr:uid="{C7A8619C-C4F1-4F14-9A7D-4940891B2E29}"/>
    <cellStyle name="Comma 4 2 3 2" xfId="137" xr:uid="{00000000-0005-0000-0000-00005C080000}"/>
    <cellStyle name="Comma 4 2 3 2 10" xfId="4612" xr:uid="{00000000-0005-0000-0000-00005D080000}"/>
    <cellStyle name="Comma 4 2 3 2 10 2" xfId="13041" xr:uid="{CBCCB34F-3CE2-4A94-9340-8DB19AEADD46}"/>
    <cellStyle name="Comma 4 2 3 2 11" xfId="8823" xr:uid="{4B5E8006-0D30-4251-B683-7C8363C45992}"/>
    <cellStyle name="Comma 4 2 3 2 2" xfId="138" xr:uid="{00000000-0005-0000-0000-00005E080000}"/>
    <cellStyle name="Comma 4 2 3 2 2 10" xfId="8824" xr:uid="{2A9DB3BD-10BB-41F2-9661-E50A792207CB}"/>
    <cellStyle name="Comma 4 2 3 2 2 2" xfId="677" xr:uid="{00000000-0005-0000-0000-00005F080000}"/>
    <cellStyle name="Comma 4 2 3 2 2 2 2" xfId="2948" xr:uid="{00000000-0005-0000-0000-000060080000}"/>
    <cellStyle name="Comma 4 2 3 2 2 2 2 2" xfId="7172" xr:uid="{00000000-0005-0000-0000-000061080000}"/>
    <cellStyle name="Comma 4 2 3 2 2 2 2 2 2" xfId="15601" xr:uid="{BC79A3AE-919F-4018-93D2-42D39FF3996D}"/>
    <cellStyle name="Comma 4 2 3 2 2 2 2 3" xfId="11383" xr:uid="{B4BBCBDE-3C0C-4B5D-A14A-E8D72D97A443}"/>
    <cellStyle name="Comma 4 2 3 2 2 2 3" xfId="5027" xr:uid="{00000000-0005-0000-0000-000062080000}"/>
    <cellStyle name="Comma 4 2 3 2 2 2 3 2" xfId="13456" xr:uid="{B13FBB7F-1DB3-453E-9EC0-F0440FD3575C}"/>
    <cellStyle name="Comma 4 2 3 2 2 2 4" xfId="9238" xr:uid="{79892771-4428-488C-B6DA-3BAE89CC35EC}"/>
    <cellStyle name="Comma 4 2 3 2 2 3" xfId="1130" xr:uid="{00000000-0005-0000-0000-000063080000}"/>
    <cellStyle name="Comma 4 2 3 2 2 3 2" xfId="3361" xr:uid="{00000000-0005-0000-0000-000064080000}"/>
    <cellStyle name="Comma 4 2 3 2 2 3 2 2" xfId="7585" xr:uid="{00000000-0005-0000-0000-000065080000}"/>
    <cellStyle name="Comma 4 2 3 2 2 3 2 2 2" xfId="16014" xr:uid="{253A6F79-E63B-4E03-9628-282A1E79EE5E}"/>
    <cellStyle name="Comma 4 2 3 2 2 3 2 3" xfId="11796" xr:uid="{8B1D1695-1A7C-412D-9DD4-DFFC84F14A13}"/>
    <cellStyle name="Comma 4 2 3 2 2 3 3" xfId="5440" xr:uid="{00000000-0005-0000-0000-000066080000}"/>
    <cellStyle name="Comma 4 2 3 2 2 3 3 2" xfId="13869" xr:uid="{E22E0A07-83F4-4E4A-83AB-F4F010C7273B}"/>
    <cellStyle name="Comma 4 2 3 2 2 3 4" xfId="9651" xr:uid="{A2998750-6826-4087-A466-37B41CE9774D}"/>
    <cellStyle name="Comma 4 2 3 2 2 4" xfId="1544" xr:uid="{00000000-0005-0000-0000-000067080000}"/>
    <cellStyle name="Comma 4 2 3 2 2 4 2" xfId="3774" xr:uid="{00000000-0005-0000-0000-000068080000}"/>
    <cellStyle name="Comma 4 2 3 2 2 4 2 2" xfId="7998" xr:uid="{00000000-0005-0000-0000-000069080000}"/>
    <cellStyle name="Comma 4 2 3 2 2 4 2 2 2" xfId="16427" xr:uid="{BCF7BC3E-9861-4E70-B214-7E00610309DD}"/>
    <cellStyle name="Comma 4 2 3 2 2 4 2 3" xfId="12209" xr:uid="{5AA098EA-476F-4AEE-A8EF-781AA589367A}"/>
    <cellStyle name="Comma 4 2 3 2 2 4 3" xfId="5853" xr:uid="{00000000-0005-0000-0000-00006A080000}"/>
    <cellStyle name="Comma 4 2 3 2 2 4 3 2" xfId="14282" xr:uid="{DCEAA490-6C7F-40BE-839C-B6BE1449FF38}"/>
    <cellStyle name="Comma 4 2 3 2 2 4 4" xfId="10064" xr:uid="{954B3927-65C2-47D0-8DAB-8932961F1D81}"/>
    <cellStyle name="Comma 4 2 3 2 2 5" xfId="1958" xr:uid="{00000000-0005-0000-0000-00006B080000}"/>
    <cellStyle name="Comma 4 2 3 2 2 5 2" xfId="4187" xr:uid="{00000000-0005-0000-0000-00006C080000}"/>
    <cellStyle name="Comma 4 2 3 2 2 5 2 2" xfId="8411" xr:uid="{00000000-0005-0000-0000-00006D080000}"/>
    <cellStyle name="Comma 4 2 3 2 2 5 2 2 2" xfId="16840" xr:uid="{849A0FEA-C287-49B8-9E3F-424099E3014C}"/>
    <cellStyle name="Comma 4 2 3 2 2 5 2 3" xfId="12622" xr:uid="{65DB36CA-AA69-4588-B2BA-757CC549463F}"/>
    <cellStyle name="Comma 4 2 3 2 2 5 3" xfId="6266" xr:uid="{00000000-0005-0000-0000-00006E080000}"/>
    <cellStyle name="Comma 4 2 3 2 2 5 3 2" xfId="14695" xr:uid="{8FF151BD-E4BE-438E-AD9F-FEA91324DF78}"/>
    <cellStyle name="Comma 4 2 3 2 2 5 4" xfId="10477" xr:uid="{848058CB-D24B-443F-AD71-3A05960A4383}"/>
    <cellStyle name="Comma 4 2 3 2 2 6" xfId="2393" xr:uid="{00000000-0005-0000-0000-00006F080000}"/>
    <cellStyle name="Comma 4 2 3 2 2 6 2" xfId="6679" xr:uid="{00000000-0005-0000-0000-000070080000}"/>
    <cellStyle name="Comma 4 2 3 2 2 6 2 2" xfId="15108" xr:uid="{7528E958-909E-4EB8-B7C8-CCF3020DBD90}"/>
    <cellStyle name="Comma 4 2 3 2 2 6 3" xfId="10890" xr:uid="{BEF20187-CAA1-4FFC-811B-9DDC225445C9}"/>
    <cellStyle name="Comma 4 2 3 2 2 7" xfId="2372" xr:uid="{00000000-0005-0000-0000-000071080000}"/>
    <cellStyle name="Comma 4 2 3 2 2 8" xfId="2771" xr:uid="{00000000-0005-0000-0000-000072080000}"/>
    <cellStyle name="Comma 4 2 3 2 2 8 2" xfId="6996" xr:uid="{00000000-0005-0000-0000-000073080000}"/>
    <cellStyle name="Comma 4 2 3 2 2 8 2 2" xfId="15425" xr:uid="{742EDE33-DCC5-4B35-AE91-790BAC1CE38C}"/>
    <cellStyle name="Comma 4 2 3 2 2 8 3" xfId="11207" xr:uid="{421AF401-B0B7-4ACD-9601-E8DE5BD2CD75}"/>
    <cellStyle name="Comma 4 2 3 2 2 9" xfId="4613" xr:uid="{00000000-0005-0000-0000-000074080000}"/>
    <cellStyle name="Comma 4 2 3 2 2 9 2" xfId="13042" xr:uid="{54429E76-362F-4946-8E13-EB919C28CDF3}"/>
    <cellStyle name="Comma 4 2 3 2 3" xfId="676" xr:uid="{00000000-0005-0000-0000-000075080000}"/>
    <cellStyle name="Comma 4 2 3 2 3 2" xfId="2947" xr:uid="{00000000-0005-0000-0000-000076080000}"/>
    <cellStyle name="Comma 4 2 3 2 3 2 2" xfId="7171" xr:uid="{00000000-0005-0000-0000-000077080000}"/>
    <cellStyle name="Comma 4 2 3 2 3 2 2 2" xfId="15600" xr:uid="{4026025C-5A57-493F-B2EB-28357ED1AFDE}"/>
    <cellStyle name="Comma 4 2 3 2 3 2 3" xfId="11382" xr:uid="{8C9031E2-CBD0-48C0-A10A-9B9FFEFFC0CD}"/>
    <cellStyle name="Comma 4 2 3 2 3 3" xfId="5026" xr:uid="{00000000-0005-0000-0000-000078080000}"/>
    <cellStyle name="Comma 4 2 3 2 3 3 2" xfId="13455" xr:uid="{D51A6A01-9D8D-4CDA-A0A9-3AE3D4462C69}"/>
    <cellStyle name="Comma 4 2 3 2 3 4" xfId="9237" xr:uid="{FB8F5542-B309-4236-9D56-C4B52454D232}"/>
    <cellStyle name="Comma 4 2 3 2 4" xfId="1129" xr:uid="{00000000-0005-0000-0000-000079080000}"/>
    <cellStyle name="Comma 4 2 3 2 4 2" xfId="3360" xr:uid="{00000000-0005-0000-0000-00007A080000}"/>
    <cellStyle name="Comma 4 2 3 2 4 2 2" xfId="7584" xr:uid="{00000000-0005-0000-0000-00007B080000}"/>
    <cellStyle name="Comma 4 2 3 2 4 2 2 2" xfId="16013" xr:uid="{094B662F-7F39-44B2-B5DE-0B4A5A7DB347}"/>
    <cellStyle name="Comma 4 2 3 2 4 2 3" xfId="11795" xr:uid="{5E400EDE-42FD-4450-89A6-5D487305F069}"/>
    <cellStyle name="Comma 4 2 3 2 4 3" xfId="5439" xr:uid="{00000000-0005-0000-0000-00007C080000}"/>
    <cellStyle name="Comma 4 2 3 2 4 3 2" xfId="13868" xr:uid="{D1C43E8B-004F-4004-B05C-09BB4AF47A29}"/>
    <cellStyle name="Comma 4 2 3 2 4 4" xfId="9650" xr:uid="{E978FCC2-2093-4239-B73D-C892CA615F23}"/>
    <cellStyle name="Comma 4 2 3 2 5" xfId="1543" xr:uid="{00000000-0005-0000-0000-00007D080000}"/>
    <cellStyle name="Comma 4 2 3 2 5 2" xfId="3773" xr:uid="{00000000-0005-0000-0000-00007E080000}"/>
    <cellStyle name="Comma 4 2 3 2 5 2 2" xfId="7997" xr:uid="{00000000-0005-0000-0000-00007F080000}"/>
    <cellStyle name="Comma 4 2 3 2 5 2 2 2" xfId="16426" xr:uid="{F86F2D47-AF15-4F13-AEFD-98CCA334C286}"/>
    <cellStyle name="Comma 4 2 3 2 5 2 3" xfId="12208" xr:uid="{75D8DCE2-EB37-4D35-9853-E4004A983974}"/>
    <cellStyle name="Comma 4 2 3 2 5 3" xfId="5852" xr:uid="{00000000-0005-0000-0000-000080080000}"/>
    <cellStyle name="Comma 4 2 3 2 5 3 2" xfId="14281" xr:uid="{FAA554CA-A743-404E-9969-BA9B21841284}"/>
    <cellStyle name="Comma 4 2 3 2 5 4" xfId="10063" xr:uid="{B423DB52-98F3-45D9-B716-897FD2225A54}"/>
    <cellStyle name="Comma 4 2 3 2 6" xfId="1957" xr:uid="{00000000-0005-0000-0000-000081080000}"/>
    <cellStyle name="Comma 4 2 3 2 6 2" xfId="4186" xr:uid="{00000000-0005-0000-0000-000082080000}"/>
    <cellStyle name="Comma 4 2 3 2 6 2 2" xfId="8410" xr:uid="{00000000-0005-0000-0000-000083080000}"/>
    <cellStyle name="Comma 4 2 3 2 6 2 2 2" xfId="16839" xr:uid="{2B651F9D-BAEC-4478-9401-6F3C73922456}"/>
    <cellStyle name="Comma 4 2 3 2 6 2 3" xfId="12621" xr:uid="{6347B3C5-0ADD-4F5A-9623-D7158533AF1E}"/>
    <cellStyle name="Comma 4 2 3 2 6 3" xfId="6265" xr:uid="{00000000-0005-0000-0000-000084080000}"/>
    <cellStyle name="Comma 4 2 3 2 6 3 2" xfId="14694" xr:uid="{33442BD6-71BD-4DBD-B4C0-530D96E5500B}"/>
    <cellStyle name="Comma 4 2 3 2 6 4" xfId="10476" xr:uid="{AE845D67-B055-4626-AB04-46847DE9EA3E}"/>
    <cellStyle name="Comma 4 2 3 2 7" xfId="2392" xr:uid="{00000000-0005-0000-0000-000085080000}"/>
    <cellStyle name="Comma 4 2 3 2 7 2" xfId="6678" xr:uid="{00000000-0005-0000-0000-000086080000}"/>
    <cellStyle name="Comma 4 2 3 2 7 2 2" xfId="15107" xr:uid="{0DC50BF9-FEAA-4C71-BBE5-AF88A4B96D3C}"/>
    <cellStyle name="Comma 4 2 3 2 7 3" xfId="10889" xr:uid="{4136A9F6-E672-4497-B68F-1046BDC61507}"/>
    <cellStyle name="Comma 4 2 3 2 8" xfId="2373" xr:uid="{00000000-0005-0000-0000-000087080000}"/>
    <cellStyle name="Comma 4 2 3 2 9" xfId="2770" xr:uid="{00000000-0005-0000-0000-000088080000}"/>
    <cellStyle name="Comma 4 2 3 2 9 2" xfId="6995" xr:uid="{00000000-0005-0000-0000-000089080000}"/>
    <cellStyle name="Comma 4 2 3 2 9 2 2" xfId="15424" xr:uid="{D7ABD599-9755-48FE-ABC2-F50C951729D5}"/>
    <cellStyle name="Comma 4 2 3 2 9 3" xfId="11206" xr:uid="{5F2BCC75-96DB-4B7E-A94D-06C5506D0688}"/>
    <cellStyle name="Comma 4 2 3 3" xfId="139" xr:uid="{00000000-0005-0000-0000-00008A080000}"/>
    <cellStyle name="Comma 4 2 3 3 10" xfId="8825" xr:uid="{12BC514C-9F14-4390-BD96-E43AF4C01BEC}"/>
    <cellStyle name="Comma 4 2 3 3 2" xfId="678" xr:uid="{00000000-0005-0000-0000-00008B080000}"/>
    <cellStyle name="Comma 4 2 3 3 2 2" xfId="2949" xr:uid="{00000000-0005-0000-0000-00008C080000}"/>
    <cellStyle name="Comma 4 2 3 3 2 2 2" xfId="7173" xr:uid="{00000000-0005-0000-0000-00008D080000}"/>
    <cellStyle name="Comma 4 2 3 3 2 2 2 2" xfId="15602" xr:uid="{39FC1B78-66EA-4378-8ED8-FFF45BB164B8}"/>
    <cellStyle name="Comma 4 2 3 3 2 2 3" xfId="11384" xr:uid="{A0F7E36F-7D85-4CC2-987F-66E5073B3736}"/>
    <cellStyle name="Comma 4 2 3 3 2 3" xfId="5028" xr:uid="{00000000-0005-0000-0000-00008E080000}"/>
    <cellStyle name="Comma 4 2 3 3 2 3 2" xfId="13457" xr:uid="{237473B6-8C92-4964-BD94-084F8B77E08E}"/>
    <cellStyle name="Comma 4 2 3 3 2 4" xfId="9239" xr:uid="{CC386F04-86AC-4573-AC00-0BFF783EF749}"/>
    <cellStyle name="Comma 4 2 3 3 3" xfId="1131" xr:uid="{00000000-0005-0000-0000-00008F080000}"/>
    <cellStyle name="Comma 4 2 3 3 3 2" xfId="3362" xr:uid="{00000000-0005-0000-0000-000090080000}"/>
    <cellStyle name="Comma 4 2 3 3 3 2 2" xfId="7586" xr:uid="{00000000-0005-0000-0000-000091080000}"/>
    <cellStyle name="Comma 4 2 3 3 3 2 2 2" xfId="16015" xr:uid="{42E1A239-B3B4-4DC0-B1E4-E94A1E2E531C}"/>
    <cellStyle name="Comma 4 2 3 3 3 2 3" xfId="11797" xr:uid="{0D77EAC1-0700-43B5-8DE7-F0276AB005B2}"/>
    <cellStyle name="Comma 4 2 3 3 3 3" xfId="5441" xr:uid="{00000000-0005-0000-0000-000092080000}"/>
    <cellStyle name="Comma 4 2 3 3 3 3 2" xfId="13870" xr:uid="{AB719BFB-956B-4EDA-8FE5-96B950605C3E}"/>
    <cellStyle name="Comma 4 2 3 3 3 4" xfId="9652" xr:uid="{68CCA50F-3B61-4926-882B-AB62D09F9B53}"/>
    <cellStyle name="Comma 4 2 3 3 4" xfId="1545" xr:uid="{00000000-0005-0000-0000-000093080000}"/>
    <cellStyle name="Comma 4 2 3 3 4 2" xfId="3775" xr:uid="{00000000-0005-0000-0000-000094080000}"/>
    <cellStyle name="Comma 4 2 3 3 4 2 2" xfId="7999" xr:uid="{00000000-0005-0000-0000-000095080000}"/>
    <cellStyle name="Comma 4 2 3 3 4 2 2 2" xfId="16428" xr:uid="{E7E7E42D-E7B7-4D50-A2C1-F9C272DA781E}"/>
    <cellStyle name="Comma 4 2 3 3 4 2 3" xfId="12210" xr:uid="{71D6C3AE-4A85-49AC-93EB-9ECB02D2645B}"/>
    <cellStyle name="Comma 4 2 3 3 4 3" xfId="5854" xr:uid="{00000000-0005-0000-0000-000096080000}"/>
    <cellStyle name="Comma 4 2 3 3 4 3 2" xfId="14283" xr:uid="{FFB68853-5C54-4677-9583-8E5D3A04035A}"/>
    <cellStyle name="Comma 4 2 3 3 4 4" xfId="10065" xr:uid="{82C91176-D30E-4CDD-8338-2B3AEC168942}"/>
    <cellStyle name="Comma 4 2 3 3 5" xfId="1959" xr:uid="{00000000-0005-0000-0000-000097080000}"/>
    <cellStyle name="Comma 4 2 3 3 5 2" xfId="4188" xr:uid="{00000000-0005-0000-0000-000098080000}"/>
    <cellStyle name="Comma 4 2 3 3 5 2 2" xfId="8412" xr:uid="{00000000-0005-0000-0000-000099080000}"/>
    <cellStyle name="Comma 4 2 3 3 5 2 2 2" xfId="16841" xr:uid="{5758D854-4C99-49F8-943B-4DCEE7714DC7}"/>
    <cellStyle name="Comma 4 2 3 3 5 2 3" xfId="12623" xr:uid="{6D537F3E-839A-49AF-A61D-05F961F9CAC8}"/>
    <cellStyle name="Comma 4 2 3 3 5 3" xfId="6267" xr:uid="{00000000-0005-0000-0000-00009A080000}"/>
    <cellStyle name="Comma 4 2 3 3 5 3 2" xfId="14696" xr:uid="{034AEE54-5FE8-4638-94EB-7FC742F6EE2A}"/>
    <cellStyle name="Comma 4 2 3 3 5 4" xfId="10478" xr:uid="{40E90EF5-EF37-4FCF-8F73-1EE9F7123DC6}"/>
    <cellStyle name="Comma 4 2 3 3 6" xfId="2394" xr:uid="{00000000-0005-0000-0000-00009B080000}"/>
    <cellStyle name="Comma 4 2 3 3 6 2" xfId="6680" xr:uid="{00000000-0005-0000-0000-00009C080000}"/>
    <cellStyle name="Comma 4 2 3 3 6 2 2" xfId="15109" xr:uid="{E08B2C8B-3A20-4ED8-8EC0-1D5DCC4C9A8B}"/>
    <cellStyle name="Comma 4 2 3 3 6 3" xfId="10891" xr:uid="{455208B9-0556-44B3-9BBB-9F38E946D4BA}"/>
    <cellStyle name="Comma 4 2 3 3 7" xfId="2371" xr:uid="{00000000-0005-0000-0000-00009D080000}"/>
    <cellStyle name="Comma 4 2 3 3 8" xfId="2772" xr:uid="{00000000-0005-0000-0000-00009E080000}"/>
    <cellStyle name="Comma 4 2 3 3 8 2" xfId="6997" xr:uid="{00000000-0005-0000-0000-00009F080000}"/>
    <cellStyle name="Comma 4 2 3 3 8 2 2" xfId="15426" xr:uid="{49821940-8DE3-4DEB-9BCA-2820E9644DEA}"/>
    <cellStyle name="Comma 4 2 3 3 8 3" xfId="11208" xr:uid="{0424C917-8C29-4EBC-BDBF-0F5FF537D6A9}"/>
    <cellStyle name="Comma 4 2 3 3 9" xfId="4614" xr:uid="{00000000-0005-0000-0000-0000A0080000}"/>
    <cellStyle name="Comma 4 2 3 3 9 2" xfId="13043" xr:uid="{A14A5637-CC69-42AB-B61B-69973963DBFF}"/>
    <cellStyle name="Comma 4 2 3 4" xfId="675" xr:uid="{00000000-0005-0000-0000-0000A1080000}"/>
    <cellStyle name="Comma 4 2 3 4 2" xfId="2946" xr:uid="{00000000-0005-0000-0000-0000A2080000}"/>
    <cellStyle name="Comma 4 2 3 4 2 2" xfId="7170" xr:uid="{00000000-0005-0000-0000-0000A3080000}"/>
    <cellStyle name="Comma 4 2 3 4 2 2 2" xfId="15599" xr:uid="{59B11E06-9263-44BB-91D3-A85C69DF4C16}"/>
    <cellStyle name="Comma 4 2 3 4 2 3" xfId="11381" xr:uid="{CEA1EE38-C84B-45BD-A240-C4840075072E}"/>
    <cellStyle name="Comma 4 2 3 4 3" xfId="5025" xr:uid="{00000000-0005-0000-0000-0000A4080000}"/>
    <cellStyle name="Comma 4 2 3 4 3 2" xfId="13454" xr:uid="{B8926832-E929-4EBA-B08B-86C61D533E94}"/>
    <cellStyle name="Comma 4 2 3 4 4" xfId="9236" xr:uid="{AB57ABCA-56B5-450E-8202-4E1A551BABFE}"/>
    <cellStyle name="Comma 4 2 3 5" xfId="1128" xr:uid="{00000000-0005-0000-0000-0000A5080000}"/>
    <cellStyle name="Comma 4 2 3 5 2" xfId="3359" xr:uid="{00000000-0005-0000-0000-0000A6080000}"/>
    <cellStyle name="Comma 4 2 3 5 2 2" xfId="7583" xr:uid="{00000000-0005-0000-0000-0000A7080000}"/>
    <cellStyle name="Comma 4 2 3 5 2 2 2" xfId="16012" xr:uid="{A95471F8-6F3C-4476-8207-1FB3660FF0C2}"/>
    <cellStyle name="Comma 4 2 3 5 2 3" xfId="11794" xr:uid="{17A4A5D4-42DA-4F75-ACCD-C3BD8F7CFA06}"/>
    <cellStyle name="Comma 4 2 3 5 3" xfId="5438" xr:uid="{00000000-0005-0000-0000-0000A8080000}"/>
    <cellStyle name="Comma 4 2 3 5 3 2" xfId="13867" xr:uid="{3327394E-707B-411F-9651-CB40CD19E9E3}"/>
    <cellStyle name="Comma 4 2 3 5 4" xfId="9649" xr:uid="{CD443B38-0879-4DF3-9880-671D851FC60B}"/>
    <cellStyle name="Comma 4 2 3 6" xfId="1542" xr:uid="{00000000-0005-0000-0000-0000A9080000}"/>
    <cellStyle name="Comma 4 2 3 6 2" xfId="3772" xr:uid="{00000000-0005-0000-0000-0000AA080000}"/>
    <cellStyle name="Comma 4 2 3 6 2 2" xfId="7996" xr:uid="{00000000-0005-0000-0000-0000AB080000}"/>
    <cellStyle name="Comma 4 2 3 6 2 2 2" xfId="16425" xr:uid="{EFB4B254-91EA-45CF-ADC1-9E470D365134}"/>
    <cellStyle name="Comma 4 2 3 6 2 3" xfId="12207" xr:uid="{170A69A5-9ADD-4CB2-89DE-46ADE3D0E0F3}"/>
    <cellStyle name="Comma 4 2 3 6 3" xfId="5851" xr:uid="{00000000-0005-0000-0000-0000AC080000}"/>
    <cellStyle name="Comma 4 2 3 6 3 2" xfId="14280" xr:uid="{EF004B4E-06E1-4E36-84D9-A571A4DF04C7}"/>
    <cellStyle name="Comma 4 2 3 6 4" xfId="10062" xr:uid="{19F5F30F-8BA2-4D6E-80FC-74E466383BFE}"/>
    <cellStyle name="Comma 4 2 3 7" xfId="1956" xr:uid="{00000000-0005-0000-0000-0000AD080000}"/>
    <cellStyle name="Comma 4 2 3 7 2" xfId="4185" xr:uid="{00000000-0005-0000-0000-0000AE080000}"/>
    <cellStyle name="Comma 4 2 3 7 2 2" xfId="8409" xr:uid="{00000000-0005-0000-0000-0000AF080000}"/>
    <cellStyle name="Comma 4 2 3 7 2 2 2" xfId="16838" xr:uid="{D273AC1E-8752-4C36-85F4-81F04C31E317}"/>
    <cellStyle name="Comma 4 2 3 7 2 3" xfId="12620" xr:uid="{ED507678-05D7-404F-AD2B-0B026392838D}"/>
    <cellStyle name="Comma 4 2 3 7 3" xfId="6264" xr:uid="{00000000-0005-0000-0000-0000B0080000}"/>
    <cellStyle name="Comma 4 2 3 7 3 2" xfId="14693" xr:uid="{27760525-0F38-412F-AB95-D3EEC8FC6729}"/>
    <cellStyle name="Comma 4 2 3 7 4" xfId="10475" xr:uid="{953AC78C-7CE7-4470-B6E3-AB324DFB9033}"/>
    <cellStyle name="Comma 4 2 3 8" xfId="2391" xr:uid="{00000000-0005-0000-0000-0000B1080000}"/>
    <cellStyle name="Comma 4 2 3 8 2" xfId="6677" xr:uid="{00000000-0005-0000-0000-0000B2080000}"/>
    <cellStyle name="Comma 4 2 3 8 2 2" xfId="15106" xr:uid="{98B04A7A-D07E-4E0C-B8C6-7A2A345EF7C9}"/>
    <cellStyle name="Comma 4 2 3 8 3" xfId="10888" xr:uid="{B5FAF84B-FF8A-4AA8-8D06-629A0847D78C}"/>
    <cellStyle name="Comma 4 2 3 9" xfId="2374" xr:uid="{00000000-0005-0000-0000-0000B3080000}"/>
    <cellStyle name="Comma 4 2 4" xfId="140" xr:uid="{00000000-0005-0000-0000-0000B4080000}"/>
    <cellStyle name="Comma 4 2 4 10" xfId="4615" xr:uid="{00000000-0005-0000-0000-0000B5080000}"/>
    <cellStyle name="Comma 4 2 4 10 2" xfId="13044" xr:uid="{7046E037-3EAB-4FEF-9700-B0FF45979A3D}"/>
    <cellStyle name="Comma 4 2 4 11" xfId="8826" xr:uid="{EC301A4B-D5EB-4A91-A10A-BC4ECB3B4668}"/>
    <cellStyle name="Comma 4 2 4 2" xfId="141" xr:uid="{00000000-0005-0000-0000-0000B6080000}"/>
    <cellStyle name="Comma 4 2 4 2 10" xfId="8827" xr:uid="{A7AA93BC-54B3-4E9F-A4F2-FCBA1C1CE63D}"/>
    <cellStyle name="Comma 4 2 4 2 2" xfId="680" xr:uid="{00000000-0005-0000-0000-0000B7080000}"/>
    <cellStyle name="Comma 4 2 4 2 2 2" xfId="2951" xr:uid="{00000000-0005-0000-0000-0000B8080000}"/>
    <cellStyle name="Comma 4 2 4 2 2 2 2" xfId="7175" xr:uid="{00000000-0005-0000-0000-0000B9080000}"/>
    <cellStyle name="Comma 4 2 4 2 2 2 2 2" xfId="15604" xr:uid="{2426AEB4-BE89-47DF-B7AF-CFF3816003B1}"/>
    <cellStyle name="Comma 4 2 4 2 2 2 3" xfId="11386" xr:uid="{73045D34-84DA-45D0-99B3-1F9C241E75F6}"/>
    <cellStyle name="Comma 4 2 4 2 2 3" xfId="5030" xr:uid="{00000000-0005-0000-0000-0000BA080000}"/>
    <cellStyle name="Comma 4 2 4 2 2 3 2" xfId="13459" xr:uid="{88B26260-5890-42E1-A9F2-33241D57B38C}"/>
    <cellStyle name="Comma 4 2 4 2 2 4" xfId="9241" xr:uid="{E49619FB-744E-45A9-929E-58E5DB30A35A}"/>
    <cellStyle name="Comma 4 2 4 2 3" xfId="1133" xr:uid="{00000000-0005-0000-0000-0000BB080000}"/>
    <cellStyle name="Comma 4 2 4 2 3 2" xfId="3364" xr:uid="{00000000-0005-0000-0000-0000BC080000}"/>
    <cellStyle name="Comma 4 2 4 2 3 2 2" xfId="7588" xr:uid="{00000000-0005-0000-0000-0000BD080000}"/>
    <cellStyle name="Comma 4 2 4 2 3 2 2 2" xfId="16017" xr:uid="{8BE34BD6-A5C9-4A8D-8C68-F9DE00DEAA6D}"/>
    <cellStyle name="Comma 4 2 4 2 3 2 3" xfId="11799" xr:uid="{9ED62A43-6C7C-4857-B222-FB7FE8E21872}"/>
    <cellStyle name="Comma 4 2 4 2 3 3" xfId="5443" xr:uid="{00000000-0005-0000-0000-0000BE080000}"/>
    <cellStyle name="Comma 4 2 4 2 3 3 2" xfId="13872" xr:uid="{2B091FAA-D1BF-4800-8DA1-ACFFCAAF512B}"/>
    <cellStyle name="Comma 4 2 4 2 3 4" xfId="9654" xr:uid="{02F42264-A1AF-432B-AB63-3C8445E28580}"/>
    <cellStyle name="Comma 4 2 4 2 4" xfId="1547" xr:uid="{00000000-0005-0000-0000-0000BF080000}"/>
    <cellStyle name="Comma 4 2 4 2 4 2" xfId="3777" xr:uid="{00000000-0005-0000-0000-0000C0080000}"/>
    <cellStyle name="Comma 4 2 4 2 4 2 2" xfId="8001" xr:uid="{00000000-0005-0000-0000-0000C1080000}"/>
    <cellStyle name="Comma 4 2 4 2 4 2 2 2" xfId="16430" xr:uid="{63ED60AC-62EF-4D00-A64D-50E5C79467E8}"/>
    <cellStyle name="Comma 4 2 4 2 4 2 3" xfId="12212" xr:uid="{D18B0867-5F62-4D3F-89BF-D0DE298E114A}"/>
    <cellStyle name="Comma 4 2 4 2 4 3" xfId="5856" xr:uid="{00000000-0005-0000-0000-0000C2080000}"/>
    <cellStyle name="Comma 4 2 4 2 4 3 2" xfId="14285" xr:uid="{2BE5CEE4-05BF-4445-82CA-EC4B9085B613}"/>
    <cellStyle name="Comma 4 2 4 2 4 4" xfId="10067" xr:uid="{3D0ABEA3-F0D1-4614-A195-EDAB6EA5CBC9}"/>
    <cellStyle name="Comma 4 2 4 2 5" xfId="1961" xr:uid="{00000000-0005-0000-0000-0000C3080000}"/>
    <cellStyle name="Comma 4 2 4 2 5 2" xfId="4190" xr:uid="{00000000-0005-0000-0000-0000C4080000}"/>
    <cellStyle name="Comma 4 2 4 2 5 2 2" xfId="8414" xr:uid="{00000000-0005-0000-0000-0000C5080000}"/>
    <cellStyle name="Comma 4 2 4 2 5 2 2 2" xfId="16843" xr:uid="{C658D651-E5D7-4F60-9BFB-4C7CC0734385}"/>
    <cellStyle name="Comma 4 2 4 2 5 2 3" xfId="12625" xr:uid="{BE7683BB-CD98-467E-A459-98CB56FA27CC}"/>
    <cellStyle name="Comma 4 2 4 2 5 3" xfId="6269" xr:uid="{00000000-0005-0000-0000-0000C6080000}"/>
    <cellStyle name="Comma 4 2 4 2 5 3 2" xfId="14698" xr:uid="{DA53B466-DB32-496B-AE83-E1F1CEB87C7E}"/>
    <cellStyle name="Comma 4 2 4 2 5 4" xfId="10480" xr:uid="{8EFA2E74-331F-46B7-AE54-C5452D1329A9}"/>
    <cellStyle name="Comma 4 2 4 2 6" xfId="2396" xr:uid="{00000000-0005-0000-0000-0000C7080000}"/>
    <cellStyle name="Comma 4 2 4 2 6 2" xfId="6682" xr:uid="{00000000-0005-0000-0000-0000C8080000}"/>
    <cellStyle name="Comma 4 2 4 2 6 2 2" xfId="15111" xr:uid="{417F67A0-FDC0-4017-B8E9-2809659E2306}"/>
    <cellStyle name="Comma 4 2 4 2 6 3" xfId="10893" xr:uid="{CA956CA5-3D51-4AA3-8676-2C5ADA858DBC}"/>
    <cellStyle name="Comma 4 2 4 2 7" xfId="2369" xr:uid="{00000000-0005-0000-0000-0000C9080000}"/>
    <cellStyle name="Comma 4 2 4 2 8" xfId="2774" xr:uid="{00000000-0005-0000-0000-0000CA080000}"/>
    <cellStyle name="Comma 4 2 4 2 8 2" xfId="6999" xr:uid="{00000000-0005-0000-0000-0000CB080000}"/>
    <cellStyle name="Comma 4 2 4 2 8 2 2" xfId="15428" xr:uid="{D3286164-E4E4-4484-B541-6A75175FBEB4}"/>
    <cellStyle name="Comma 4 2 4 2 8 3" xfId="11210" xr:uid="{C9A273D1-0EF2-445F-94DF-4718BC388069}"/>
    <cellStyle name="Comma 4 2 4 2 9" xfId="4616" xr:uid="{00000000-0005-0000-0000-0000CC080000}"/>
    <cellStyle name="Comma 4 2 4 2 9 2" xfId="13045" xr:uid="{1DA43FAE-D7A3-4EB8-B89D-764CE3ECFFDF}"/>
    <cellStyle name="Comma 4 2 4 3" xfId="679" xr:uid="{00000000-0005-0000-0000-0000CD080000}"/>
    <cellStyle name="Comma 4 2 4 3 2" xfId="2950" xr:uid="{00000000-0005-0000-0000-0000CE080000}"/>
    <cellStyle name="Comma 4 2 4 3 2 2" xfId="7174" xr:uid="{00000000-0005-0000-0000-0000CF080000}"/>
    <cellStyle name="Comma 4 2 4 3 2 2 2" xfId="15603" xr:uid="{C0A41166-29A2-47E1-9127-CF8C838C75C1}"/>
    <cellStyle name="Comma 4 2 4 3 2 3" xfId="11385" xr:uid="{55BC952A-044F-498D-B569-D8036C73C6E6}"/>
    <cellStyle name="Comma 4 2 4 3 3" xfId="5029" xr:uid="{00000000-0005-0000-0000-0000D0080000}"/>
    <cellStyle name="Comma 4 2 4 3 3 2" xfId="13458" xr:uid="{CDA4F898-7D21-43E4-9560-F42D69617744}"/>
    <cellStyle name="Comma 4 2 4 3 4" xfId="9240" xr:uid="{9D03C7A6-CE05-4180-A6A4-308DA455F1BA}"/>
    <cellStyle name="Comma 4 2 4 4" xfId="1132" xr:uid="{00000000-0005-0000-0000-0000D1080000}"/>
    <cellStyle name="Comma 4 2 4 4 2" xfId="3363" xr:uid="{00000000-0005-0000-0000-0000D2080000}"/>
    <cellStyle name="Comma 4 2 4 4 2 2" xfId="7587" xr:uid="{00000000-0005-0000-0000-0000D3080000}"/>
    <cellStyle name="Comma 4 2 4 4 2 2 2" xfId="16016" xr:uid="{8A34CE68-88CE-41F4-8906-5004E998E651}"/>
    <cellStyle name="Comma 4 2 4 4 2 3" xfId="11798" xr:uid="{38C6AFB6-4146-4695-8CE7-A34B64FB89F5}"/>
    <cellStyle name="Comma 4 2 4 4 3" xfId="5442" xr:uid="{00000000-0005-0000-0000-0000D4080000}"/>
    <cellStyle name="Comma 4 2 4 4 3 2" xfId="13871" xr:uid="{925221C9-1D51-4DB1-AA48-7D87ACDC1812}"/>
    <cellStyle name="Comma 4 2 4 4 4" xfId="9653" xr:uid="{D42B5E62-826C-4AD7-97F1-3E7596CBA1B6}"/>
    <cellStyle name="Comma 4 2 4 5" xfId="1546" xr:uid="{00000000-0005-0000-0000-0000D5080000}"/>
    <cellStyle name="Comma 4 2 4 5 2" xfId="3776" xr:uid="{00000000-0005-0000-0000-0000D6080000}"/>
    <cellStyle name="Comma 4 2 4 5 2 2" xfId="8000" xr:uid="{00000000-0005-0000-0000-0000D7080000}"/>
    <cellStyle name="Comma 4 2 4 5 2 2 2" xfId="16429" xr:uid="{AFD29FC8-56D8-4853-A5C3-78F9749F7C67}"/>
    <cellStyle name="Comma 4 2 4 5 2 3" xfId="12211" xr:uid="{D287D40F-CCA6-44FB-8481-14A3398B9D5D}"/>
    <cellStyle name="Comma 4 2 4 5 3" xfId="5855" xr:uid="{00000000-0005-0000-0000-0000D8080000}"/>
    <cellStyle name="Comma 4 2 4 5 3 2" xfId="14284" xr:uid="{8B7BA4BE-6521-4C85-95E4-3E3E05DA4EC2}"/>
    <cellStyle name="Comma 4 2 4 5 4" xfId="10066" xr:uid="{F2288321-9790-4D6C-9171-051AFB123C19}"/>
    <cellStyle name="Comma 4 2 4 6" xfId="1960" xr:uid="{00000000-0005-0000-0000-0000D9080000}"/>
    <cellStyle name="Comma 4 2 4 6 2" xfId="4189" xr:uid="{00000000-0005-0000-0000-0000DA080000}"/>
    <cellStyle name="Comma 4 2 4 6 2 2" xfId="8413" xr:uid="{00000000-0005-0000-0000-0000DB080000}"/>
    <cellStyle name="Comma 4 2 4 6 2 2 2" xfId="16842" xr:uid="{61A25BF9-623D-49A1-A731-BFD07F68928B}"/>
    <cellStyle name="Comma 4 2 4 6 2 3" xfId="12624" xr:uid="{6763D299-5508-4397-88A2-62F2A961ABF3}"/>
    <cellStyle name="Comma 4 2 4 6 3" xfId="6268" xr:uid="{00000000-0005-0000-0000-0000DC080000}"/>
    <cellStyle name="Comma 4 2 4 6 3 2" xfId="14697" xr:uid="{8553CDFC-263D-4175-948F-480D85CB577D}"/>
    <cellStyle name="Comma 4 2 4 6 4" xfId="10479" xr:uid="{821E5474-71BB-4178-A4AE-25E50425FCDA}"/>
    <cellStyle name="Comma 4 2 4 7" xfId="2395" xr:uid="{00000000-0005-0000-0000-0000DD080000}"/>
    <cellStyle name="Comma 4 2 4 7 2" xfId="6681" xr:uid="{00000000-0005-0000-0000-0000DE080000}"/>
    <cellStyle name="Comma 4 2 4 7 2 2" xfId="15110" xr:uid="{F3B987C2-77AB-4496-9161-E614779646E0}"/>
    <cellStyle name="Comma 4 2 4 7 3" xfId="10892" xr:uid="{54847781-5FB5-4724-84B1-26136FF3B316}"/>
    <cellStyle name="Comma 4 2 4 8" xfId="2370" xr:uid="{00000000-0005-0000-0000-0000DF080000}"/>
    <cellStyle name="Comma 4 2 4 9" xfId="2773" xr:uid="{00000000-0005-0000-0000-0000E0080000}"/>
    <cellStyle name="Comma 4 2 4 9 2" xfId="6998" xr:uid="{00000000-0005-0000-0000-0000E1080000}"/>
    <cellStyle name="Comma 4 2 4 9 2 2" xfId="15427" xr:uid="{72E644DC-E4BE-483E-A0BC-F3AC50C7D326}"/>
    <cellStyle name="Comma 4 2 4 9 3" xfId="11209" xr:uid="{7D873FAC-03B7-42E1-A0AA-5ACDEE426F2C}"/>
    <cellStyle name="Comma 4 2 5" xfId="142" xr:uid="{00000000-0005-0000-0000-0000E2080000}"/>
    <cellStyle name="Comma 4 2 5 10" xfId="8828" xr:uid="{F640D8E2-8502-4DD0-9CBB-D0C3964584F8}"/>
    <cellStyle name="Comma 4 2 5 2" xfId="681" xr:uid="{00000000-0005-0000-0000-0000E3080000}"/>
    <cellStyle name="Comma 4 2 5 2 2" xfId="2952" xr:uid="{00000000-0005-0000-0000-0000E4080000}"/>
    <cellStyle name="Comma 4 2 5 2 2 2" xfId="7176" xr:uid="{00000000-0005-0000-0000-0000E5080000}"/>
    <cellStyle name="Comma 4 2 5 2 2 2 2" xfId="15605" xr:uid="{F23E4D65-4439-4382-B9C5-FDFBD1344420}"/>
    <cellStyle name="Comma 4 2 5 2 2 3" xfId="11387" xr:uid="{2A1C1858-4B09-4A7F-B1D7-E7EAEB1A044E}"/>
    <cellStyle name="Comma 4 2 5 2 3" xfId="5031" xr:uid="{00000000-0005-0000-0000-0000E6080000}"/>
    <cellStyle name="Comma 4 2 5 2 3 2" xfId="13460" xr:uid="{5DCECF6B-3421-4064-9582-084CEBCE289A}"/>
    <cellStyle name="Comma 4 2 5 2 4" xfId="9242" xr:uid="{E7D1E479-EBDE-4D15-90C8-813F9F12DF79}"/>
    <cellStyle name="Comma 4 2 5 3" xfId="1134" xr:uid="{00000000-0005-0000-0000-0000E7080000}"/>
    <cellStyle name="Comma 4 2 5 3 2" xfId="3365" xr:uid="{00000000-0005-0000-0000-0000E8080000}"/>
    <cellStyle name="Comma 4 2 5 3 2 2" xfId="7589" xr:uid="{00000000-0005-0000-0000-0000E9080000}"/>
    <cellStyle name="Comma 4 2 5 3 2 2 2" xfId="16018" xr:uid="{4508A1D0-BEA2-470F-8FD5-22BF9BD6D07F}"/>
    <cellStyle name="Comma 4 2 5 3 2 3" xfId="11800" xr:uid="{FB116DE1-EAE7-47AF-8688-BDAEAD95FE92}"/>
    <cellStyle name="Comma 4 2 5 3 3" xfId="5444" xr:uid="{00000000-0005-0000-0000-0000EA080000}"/>
    <cellStyle name="Comma 4 2 5 3 3 2" xfId="13873" xr:uid="{B5891F26-3FBD-46AA-AB31-044C2DA0D305}"/>
    <cellStyle name="Comma 4 2 5 3 4" xfId="9655" xr:uid="{9AEBEFF9-FC7A-4397-8238-E3935B0D2475}"/>
    <cellStyle name="Comma 4 2 5 4" xfId="1548" xr:uid="{00000000-0005-0000-0000-0000EB080000}"/>
    <cellStyle name="Comma 4 2 5 4 2" xfId="3778" xr:uid="{00000000-0005-0000-0000-0000EC080000}"/>
    <cellStyle name="Comma 4 2 5 4 2 2" xfId="8002" xr:uid="{00000000-0005-0000-0000-0000ED080000}"/>
    <cellStyle name="Comma 4 2 5 4 2 2 2" xfId="16431" xr:uid="{EB53AE34-6C50-481D-B72F-03230778A69C}"/>
    <cellStyle name="Comma 4 2 5 4 2 3" xfId="12213" xr:uid="{EC4EC02B-6D62-433B-AC85-B4F1A9DF4CEF}"/>
    <cellStyle name="Comma 4 2 5 4 3" xfId="5857" xr:uid="{00000000-0005-0000-0000-0000EE080000}"/>
    <cellStyle name="Comma 4 2 5 4 3 2" xfId="14286" xr:uid="{9DA27358-937C-4219-BAC4-820EC0F755FA}"/>
    <cellStyle name="Comma 4 2 5 4 4" xfId="10068" xr:uid="{933DB426-4D17-4CF0-9F2E-E7ADA20AB755}"/>
    <cellStyle name="Comma 4 2 5 5" xfId="1962" xr:uid="{00000000-0005-0000-0000-0000EF080000}"/>
    <cellStyle name="Comma 4 2 5 5 2" xfId="4191" xr:uid="{00000000-0005-0000-0000-0000F0080000}"/>
    <cellStyle name="Comma 4 2 5 5 2 2" xfId="8415" xr:uid="{00000000-0005-0000-0000-0000F1080000}"/>
    <cellStyle name="Comma 4 2 5 5 2 2 2" xfId="16844" xr:uid="{CE11E0D6-F6F1-4F83-8F56-E0C6D0B690C6}"/>
    <cellStyle name="Comma 4 2 5 5 2 3" xfId="12626" xr:uid="{9FB3E6D1-8B81-4913-BA15-FB021B892BCA}"/>
    <cellStyle name="Comma 4 2 5 5 3" xfId="6270" xr:uid="{00000000-0005-0000-0000-0000F2080000}"/>
    <cellStyle name="Comma 4 2 5 5 3 2" xfId="14699" xr:uid="{B609AFD7-8051-42F9-9E39-9C5341867433}"/>
    <cellStyle name="Comma 4 2 5 5 4" xfId="10481" xr:uid="{E0977A2B-B94F-4DA4-974A-78CAC3A72A73}"/>
    <cellStyle name="Comma 4 2 5 6" xfId="2397" xr:uid="{00000000-0005-0000-0000-0000F3080000}"/>
    <cellStyle name="Comma 4 2 5 6 2" xfId="6683" xr:uid="{00000000-0005-0000-0000-0000F4080000}"/>
    <cellStyle name="Comma 4 2 5 6 2 2" xfId="15112" xr:uid="{5D73FA4E-AD75-42B9-850C-692B26C1CBC9}"/>
    <cellStyle name="Comma 4 2 5 6 3" xfId="10894" xr:uid="{B71CEE2B-2C56-4083-BED5-75FA0801E75C}"/>
    <cellStyle name="Comma 4 2 5 7" xfId="2368" xr:uid="{00000000-0005-0000-0000-0000F5080000}"/>
    <cellStyle name="Comma 4 2 5 8" xfId="2775" xr:uid="{00000000-0005-0000-0000-0000F6080000}"/>
    <cellStyle name="Comma 4 2 5 8 2" xfId="7000" xr:uid="{00000000-0005-0000-0000-0000F7080000}"/>
    <cellStyle name="Comma 4 2 5 8 2 2" xfId="15429" xr:uid="{F288EF8D-5C6B-4B54-BB9B-FC22868CD407}"/>
    <cellStyle name="Comma 4 2 5 8 3" xfId="11211" xr:uid="{422D57CE-6FFA-4AC5-A409-51E1B92EAF9A}"/>
    <cellStyle name="Comma 4 2 5 9" xfId="4617" xr:uid="{00000000-0005-0000-0000-0000F8080000}"/>
    <cellStyle name="Comma 4 2 5 9 2" xfId="13046" xr:uid="{DD152AA3-3AB4-425E-8608-0FCDF1CDBA53}"/>
    <cellStyle name="Comma 4 2 6" xfId="143" xr:uid="{00000000-0005-0000-0000-0000F9080000}"/>
    <cellStyle name="Comma 4 2 6 10" xfId="8829" xr:uid="{989E734C-9798-4109-A87C-392A23D74075}"/>
    <cellStyle name="Comma 4 2 6 2" xfId="682" xr:uid="{00000000-0005-0000-0000-0000FA080000}"/>
    <cellStyle name="Comma 4 2 6 2 2" xfId="2953" xr:uid="{00000000-0005-0000-0000-0000FB080000}"/>
    <cellStyle name="Comma 4 2 6 2 2 2" xfId="7177" xr:uid="{00000000-0005-0000-0000-0000FC080000}"/>
    <cellStyle name="Comma 4 2 6 2 2 2 2" xfId="15606" xr:uid="{5268E752-DEE8-46DA-949E-6D893E33C14D}"/>
    <cellStyle name="Comma 4 2 6 2 2 3" xfId="11388" xr:uid="{A06B2172-E31D-487E-9EC5-816AE4444E34}"/>
    <cellStyle name="Comma 4 2 6 2 3" xfId="5032" xr:uid="{00000000-0005-0000-0000-0000FD080000}"/>
    <cellStyle name="Comma 4 2 6 2 3 2" xfId="13461" xr:uid="{BDEFBEC8-B825-4C1A-87E0-0CEF4EA9EF24}"/>
    <cellStyle name="Comma 4 2 6 2 4" xfId="9243" xr:uid="{2EE329C8-EFF8-44AA-BE55-7E128C9AC15D}"/>
    <cellStyle name="Comma 4 2 6 3" xfId="1135" xr:uid="{00000000-0005-0000-0000-0000FE080000}"/>
    <cellStyle name="Comma 4 2 6 3 2" xfId="3366" xr:uid="{00000000-0005-0000-0000-0000FF080000}"/>
    <cellStyle name="Comma 4 2 6 3 2 2" xfId="7590" xr:uid="{00000000-0005-0000-0000-000000090000}"/>
    <cellStyle name="Comma 4 2 6 3 2 2 2" xfId="16019" xr:uid="{8D3C1A1C-11DC-4367-B110-F5DE7E970673}"/>
    <cellStyle name="Comma 4 2 6 3 2 3" xfId="11801" xr:uid="{5FF0753E-6455-4F5B-B6BD-2D7C8B20F13C}"/>
    <cellStyle name="Comma 4 2 6 3 3" xfId="5445" xr:uid="{00000000-0005-0000-0000-000001090000}"/>
    <cellStyle name="Comma 4 2 6 3 3 2" xfId="13874" xr:uid="{9813A682-4B91-40B7-8DD2-1A62A7F27D17}"/>
    <cellStyle name="Comma 4 2 6 3 4" xfId="9656" xr:uid="{8D85AB36-474C-47FD-B8BE-BAAB772A8E7B}"/>
    <cellStyle name="Comma 4 2 6 4" xfId="1549" xr:uid="{00000000-0005-0000-0000-000002090000}"/>
    <cellStyle name="Comma 4 2 6 4 2" xfId="3779" xr:uid="{00000000-0005-0000-0000-000003090000}"/>
    <cellStyle name="Comma 4 2 6 4 2 2" xfId="8003" xr:uid="{00000000-0005-0000-0000-000004090000}"/>
    <cellStyle name="Comma 4 2 6 4 2 2 2" xfId="16432" xr:uid="{D262DB88-3B4F-4573-BBE0-5A25E731BE33}"/>
    <cellStyle name="Comma 4 2 6 4 2 3" xfId="12214" xr:uid="{3927780A-7359-4E02-A6A3-DF3C33AF15EB}"/>
    <cellStyle name="Comma 4 2 6 4 3" xfId="5858" xr:uid="{00000000-0005-0000-0000-000005090000}"/>
    <cellStyle name="Comma 4 2 6 4 3 2" xfId="14287" xr:uid="{D576476B-4A88-472B-BB89-66F142DC3F0A}"/>
    <cellStyle name="Comma 4 2 6 4 4" xfId="10069" xr:uid="{F08B9D72-44FF-4AB2-935D-A0E838D6A90D}"/>
    <cellStyle name="Comma 4 2 6 5" xfId="1963" xr:uid="{00000000-0005-0000-0000-000006090000}"/>
    <cellStyle name="Comma 4 2 6 5 2" xfId="4192" xr:uid="{00000000-0005-0000-0000-000007090000}"/>
    <cellStyle name="Comma 4 2 6 5 2 2" xfId="8416" xr:uid="{00000000-0005-0000-0000-000008090000}"/>
    <cellStyle name="Comma 4 2 6 5 2 2 2" xfId="16845" xr:uid="{7CA1A592-5C9C-4165-BF9D-E75BEF37A205}"/>
    <cellStyle name="Comma 4 2 6 5 2 3" xfId="12627" xr:uid="{0C8D3F4A-3D88-45D3-BB82-AF14C2DF66C6}"/>
    <cellStyle name="Comma 4 2 6 5 3" xfId="6271" xr:uid="{00000000-0005-0000-0000-000009090000}"/>
    <cellStyle name="Comma 4 2 6 5 3 2" xfId="14700" xr:uid="{53C7F3BD-9648-49CA-9E84-E1C082E7E6AB}"/>
    <cellStyle name="Comma 4 2 6 5 4" xfId="10482" xr:uid="{19AB9B22-DA76-4026-8F45-7108E3FE973C}"/>
    <cellStyle name="Comma 4 2 6 6" xfId="2398" xr:uid="{00000000-0005-0000-0000-00000A090000}"/>
    <cellStyle name="Comma 4 2 6 6 2" xfId="6684" xr:uid="{00000000-0005-0000-0000-00000B090000}"/>
    <cellStyle name="Comma 4 2 6 6 2 2" xfId="15113" xr:uid="{BE481610-EBFA-4AB5-8982-3DC898E65AF4}"/>
    <cellStyle name="Comma 4 2 6 6 3" xfId="10895" xr:uid="{B4EACD75-016E-45CD-9CB3-AF826AAA276A}"/>
    <cellStyle name="Comma 4 2 6 7" xfId="2367" xr:uid="{00000000-0005-0000-0000-00000C090000}"/>
    <cellStyle name="Comma 4 2 6 8" xfId="2776" xr:uid="{00000000-0005-0000-0000-00000D090000}"/>
    <cellStyle name="Comma 4 2 6 8 2" xfId="7001" xr:uid="{00000000-0005-0000-0000-00000E090000}"/>
    <cellStyle name="Comma 4 2 6 8 2 2" xfId="15430" xr:uid="{0AD02CE4-9B8C-4088-901A-CD1FF6EC7F8B}"/>
    <cellStyle name="Comma 4 2 6 8 3" xfId="11212" xr:uid="{9CCBE3C9-5745-45F0-913A-3DC6036AEC57}"/>
    <cellStyle name="Comma 4 2 6 9" xfId="4618" xr:uid="{00000000-0005-0000-0000-00000F090000}"/>
    <cellStyle name="Comma 4 2 6 9 2" xfId="13047" xr:uid="{2ED0B984-7448-4AEC-B79C-F8AD63730541}"/>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0 2 2" xfId="15431" xr:uid="{FE9CEC96-A60B-4F8B-A111-93A65D790DFB}"/>
    <cellStyle name="Comma 4 3 2 10 3" xfId="11213" xr:uid="{6C497B22-829E-4403-B948-163921ACF4F3}"/>
    <cellStyle name="Comma 4 3 2 11" xfId="4619" xr:uid="{00000000-0005-0000-0000-000014090000}"/>
    <cellStyle name="Comma 4 3 2 11 2" xfId="13048" xr:uid="{B46076CC-D2EB-4AAC-8671-F011A730B75F}"/>
    <cellStyle name="Comma 4 3 2 12" xfId="8830" xr:uid="{5096417F-435D-4B39-89DF-CF682C2237E5}"/>
    <cellStyle name="Comma 4 3 2 2" xfId="146" xr:uid="{00000000-0005-0000-0000-000015090000}"/>
    <cellStyle name="Comma 4 3 2 2 10" xfId="4620" xr:uid="{00000000-0005-0000-0000-000016090000}"/>
    <cellStyle name="Comma 4 3 2 2 10 2" xfId="13049" xr:uid="{594498F6-EBF1-405E-B31E-5BEBF77381C2}"/>
    <cellStyle name="Comma 4 3 2 2 11" xfId="8831" xr:uid="{67713165-ACE6-44F3-BE11-DEDDDF3A7738}"/>
    <cellStyle name="Comma 4 3 2 2 2" xfId="147" xr:uid="{00000000-0005-0000-0000-000017090000}"/>
    <cellStyle name="Comma 4 3 2 2 2 10" xfId="8832" xr:uid="{D6E8810F-44C5-4054-9437-E1D3D6691A6E}"/>
    <cellStyle name="Comma 4 3 2 2 2 2" xfId="685" xr:uid="{00000000-0005-0000-0000-000018090000}"/>
    <cellStyle name="Comma 4 3 2 2 2 2 2" xfId="2956" xr:uid="{00000000-0005-0000-0000-000019090000}"/>
    <cellStyle name="Comma 4 3 2 2 2 2 2 2" xfId="7180" xr:uid="{00000000-0005-0000-0000-00001A090000}"/>
    <cellStyle name="Comma 4 3 2 2 2 2 2 2 2" xfId="15609" xr:uid="{DF78EF67-26BF-485F-869A-8EA42F7E7E3A}"/>
    <cellStyle name="Comma 4 3 2 2 2 2 2 3" xfId="11391" xr:uid="{FB515AD2-A8F6-42C4-B27B-F269F339B771}"/>
    <cellStyle name="Comma 4 3 2 2 2 2 3" xfId="5035" xr:uid="{00000000-0005-0000-0000-00001B090000}"/>
    <cellStyle name="Comma 4 3 2 2 2 2 3 2" xfId="13464" xr:uid="{33099526-0C0F-4254-A5C5-F3BCA92D96BE}"/>
    <cellStyle name="Comma 4 3 2 2 2 2 4" xfId="9246" xr:uid="{F1374C6E-EDDA-4BD1-B361-DC0EF68C5ADF}"/>
    <cellStyle name="Comma 4 3 2 2 2 3" xfId="1138" xr:uid="{00000000-0005-0000-0000-00001C090000}"/>
    <cellStyle name="Comma 4 3 2 2 2 3 2" xfId="3369" xr:uid="{00000000-0005-0000-0000-00001D090000}"/>
    <cellStyle name="Comma 4 3 2 2 2 3 2 2" xfId="7593" xr:uid="{00000000-0005-0000-0000-00001E090000}"/>
    <cellStyle name="Comma 4 3 2 2 2 3 2 2 2" xfId="16022" xr:uid="{41C08B1E-A0BB-4892-A395-708EC136606E}"/>
    <cellStyle name="Comma 4 3 2 2 2 3 2 3" xfId="11804" xr:uid="{575BD414-6127-423B-919D-D00E8416836B}"/>
    <cellStyle name="Comma 4 3 2 2 2 3 3" xfId="5448" xr:uid="{00000000-0005-0000-0000-00001F090000}"/>
    <cellStyle name="Comma 4 3 2 2 2 3 3 2" xfId="13877" xr:uid="{92427C42-ACB4-4AFD-BC3B-7D8504834712}"/>
    <cellStyle name="Comma 4 3 2 2 2 3 4" xfId="9659" xr:uid="{2BF17F82-D254-4057-89D0-62F15C539ADF}"/>
    <cellStyle name="Comma 4 3 2 2 2 4" xfId="1552" xr:uid="{00000000-0005-0000-0000-000020090000}"/>
    <cellStyle name="Comma 4 3 2 2 2 4 2" xfId="3782" xr:uid="{00000000-0005-0000-0000-000021090000}"/>
    <cellStyle name="Comma 4 3 2 2 2 4 2 2" xfId="8006" xr:uid="{00000000-0005-0000-0000-000022090000}"/>
    <cellStyle name="Comma 4 3 2 2 2 4 2 2 2" xfId="16435" xr:uid="{49D48F69-96C0-4600-8F5B-70DBE2B4A133}"/>
    <cellStyle name="Comma 4 3 2 2 2 4 2 3" xfId="12217" xr:uid="{0C6F73B2-652F-4AC9-BDBC-B711137BFF42}"/>
    <cellStyle name="Comma 4 3 2 2 2 4 3" xfId="5861" xr:uid="{00000000-0005-0000-0000-000023090000}"/>
    <cellStyle name="Comma 4 3 2 2 2 4 3 2" xfId="14290" xr:uid="{A6AD024E-0CAE-4222-9F6A-2EA403DCCA9F}"/>
    <cellStyle name="Comma 4 3 2 2 2 4 4" xfId="10072" xr:uid="{1FD03691-EB36-4B87-AE8A-DA56B314B1E6}"/>
    <cellStyle name="Comma 4 3 2 2 2 5" xfId="1966" xr:uid="{00000000-0005-0000-0000-000024090000}"/>
    <cellStyle name="Comma 4 3 2 2 2 5 2" xfId="4195" xr:uid="{00000000-0005-0000-0000-000025090000}"/>
    <cellStyle name="Comma 4 3 2 2 2 5 2 2" xfId="8419" xr:uid="{00000000-0005-0000-0000-000026090000}"/>
    <cellStyle name="Comma 4 3 2 2 2 5 2 2 2" xfId="16848" xr:uid="{DA2A2D4E-5985-4831-8E89-40F9DFD33AA4}"/>
    <cellStyle name="Comma 4 3 2 2 2 5 2 3" xfId="12630" xr:uid="{1AE82092-7C63-4CFB-812D-E8A685A7E74B}"/>
    <cellStyle name="Comma 4 3 2 2 2 5 3" xfId="6274" xr:uid="{00000000-0005-0000-0000-000027090000}"/>
    <cellStyle name="Comma 4 3 2 2 2 5 3 2" xfId="14703" xr:uid="{677BA8E8-5ADA-4F05-9425-40E638170C38}"/>
    <cellStyle name="Comma 4 3 2 2 2 5 4" xfId="10485" xr:uid="{73869364-048F-43C7-BC9A-926BA611DB13}"/>
    <cellStyle name="Comma 4 3 2 2 2 6" xfId="2401" xr:uid="{00000000-0005-0000-0000-000028090000}"/>
    <cellStyle name="Comma 4 3 2 2 2 6 2" xfId="6687" xr:uid="{00000000-0005-0000-0000-000029090000}"/>
    <cellStyle name="Comma 4 3 2 2 2 6 2 2" xfId="15116" xr:uid="{6E2E87BD-8087-4BBE-BCEB-6EDFF865A37C}"/>
    <cellStyle name="Comma 4 3 2 2 2 6 3" xfId="10898" xr:uid="{E4C67C09-9F3C-4435-8FB3-4AC544BC0070}"/>
    <cellStyle name="Comma 4 3 2 2 2 7" xfId="2364" xr:uid="{00000000-0005-0000-0000-00002A090000}"/>
    <cellStyle name="Comma 4 3 2 2 2 8" xfId="2779" xr:uid="{00000000-0005-0000-0000-00002B090000}"/>
    <cellStyle name="Comma 4 3 2 2 2 8 2" xfId="7004" xr:uid="{00000000-0005-0000-0000-00002C090000}"/>
    <cellStyle name="Comma 4 3 2 2 2 8 2 2" xfId="15433" xr:uid="{8E7972B7-844B-4E70-9FC8-E0A1F5656DE2}"/>
    <cellStyle name="Comma 4 3 2 2 2 8 3" xfId="11215" xr:uid="{F6B4AD91-D749-4AB9-8FA1-6AEA894CE6CE}"/>
    <cellStyle name="Comma 4 3 2 2 2 9" xfId="4621" xr:uid="{00000000-0005-0000-0000-00002D090000}"/>
    <cellStyle name="Comma 4 3 2 2 2 9 2" xfId="13050" xr:uid="{61C04C7A-7EE2-4307-AB3C-4ECD39F7B96E}"/>
    <cellStyle name="Comma 4 3 2 2 3" xfId="684" xr:uid="{00000000-0005-0000-0000-00002E090000}"/>
    <cellStyle name="Comma 4 3 2 2 3 2" xfId="2955" xr:uid="{00000000-0005-0000-0000-00002F090000}"/>
    <cellStyle name="Comma 4 3 2 2 3 2 2" xfId="7179" xr:uid="{00000000-0005-0000-0000-000030090000}"/>
    <cellStyle name="Comma 4 3 2 2 3 2 2 2" xfId="15608" xr:uid="{F5153E4E-F523-4ACD-B0B0-2E323E651CB2}"/>
    <cellStyle name="Comma 4 3 2 2 3 2 3" xfId="11390" xr:uid="{4EFFEA8B-86FD-4AA0-8548-69E257598415}"/>
    <cellStyle name="Comma 4 3 2 2 3 3" xfId="5034" xr:uid="{00000000-0005-0000-0000-000031090000}"/>
    <cellStyle name="Comma 4 3 2 2 3 3 2" xfId="13463" xr:uid="{55D9B39F-BB46-451A-9486-467253734CE3}"/>
    <cellStyle name="Comma 4 3 2 2 3 4" xfId="9245" xr:uid="{04C777CF-2696-4140-9505-5E3DDFF52253}"/>
    <cellStyle name="Comma 4 3 2 2 4" xfId="1137" xr:uid="{00000000-0005-0000-0000-000032090000}"/>
    <cellStyle name="Comma 4 3 2 2 4 2" xfId="3368" xr:uid="{00000000-0005-0000-0000-000033090000}"/>
    <cellStyle name="Comma 4 3 2 2 4 2 2" xfId="7592" xr:uid="{00000000-0005-0000-0000-000034090000}"/>
    <cellStyle name="Comma 4 3 2 2 4 2 2 2" xfId="16021" xr:uid="{E882EFCF-881E-4FB3-BB74-A60FFA6F4445}"/>
    <cellStyle name="Comma 4 3 2 2 4 2 3" xfId="11803" xr:uid="{6482171D-FA39-4569-9955-E732F08DB45D}"/>
    <cellStyle name="Comma 4 3 2 2 4 3" xfId="5447" xr:uid="{00000000-0005-0000-0000-000035090000}"/>
    <cellStyle name="Comma 4 3 2 2 4 3 2" xfId="13876" xr:uid="{7F28C52F-B2F2-4DA4-93B6-059DD3C91400}"/>
    <cellStyle name="Comma 4 3 2 2 4 4" xfId="9658" xr:uid="{34341D53-298F-405D-B8D1-32A713432AF3}"/>
    <cellStyle name="Comma 4 3 2 2 5" xfId="1551" xr:uid="{00000000-0005-0000-0000-000036090000}"/>
    <cellStyle name="Comma 4 3 2 2 5 2" xfId="3781" xr:uid="{00000000-0005-0000-0000-000037090000}"/>
    <cellStyle name="Comma 4 3 2 2 5 2 2" xfId="8005" xr:uid="{00000000-0005-0000-0000-000038090000}"/>
    <cellStyle name="Comma 4 3 2 2 5 2 2 2" xfId="16434" xr:uid="{3F423132-CED3-424D-9FA8-5C63596637CB}"/>
    <cellStyle name="Comma 4 3 2 2 5 2 3" xfId="12216" xr:uid="{A0DF587F-34A8-452E-B396-76C4014F0FB5}"/>
    <cellStyle name="Comma 4 3 2 2 5 3" xfId="5860" xr:uid="{00000000-0005-0000-0000-000039090000}"/>
    <cellStyle name="Comma 4 3 2 2 5 3 2" xfId="14289" xr:uid="{01018019-387E-48E8-9888-AE0F1D105056}"/>
    <cellStyle name="Comma 4 3 2 2 5 4" xfId="10071" xr:uid="{C3D212C9-D9F9-486E-9539-4E5300EFC211}"/>
    <cellStyle name="Comma 4 3 2 2 6" xfId="1965" xr:uid="{00000000-0005-0000-0000-00003A090000}"/>
    <cellStyle name="Comma 4 3 2 2 6 2" xfId="4194" xr:uid="{00000000-0005-0000-0000-00003B090000}"/>
    <cellStyle name="Comma 4 3 2 2 6 2 2" xfId="8418" xr:uid="{00000000-0005-0000-0000-00003C090000}"/>
    <cellStyle name="Comma 4 3 2 2 6 2 2 2" xfId="16847" xr:uid="{0A940206-8C61-4350-B2C3-61966D7E6F29}"/>
    <cellStyle name="Comma 4 3 2 2 6 2 3" xfId="12629" xr:uid="{8162689B-8791-45D6-BB63-83D5BBCD0C96}"/>
    <cellStyle name="Comma 4 3 2 2 6 3" xfId="6273" xr:uid="{00000000-0005-0000-0000-00003D090000}"/>
    <cellStyle name="Comma 4 3 2 2 6 3 2" xfId="14702" xr:uid="{308AD885-A6DE-45E2-BEB0-32FA1C96E381}"/>
    <cellStyle name="Comma 4 3 2 2 6 4" xfId="10484" xr:uid="{CD19A01E-D29F-4C0A-B380-52D494369121}"/>
    <cellStyle name="Comma 4 3 2 2 7" xfId="2400" xr:uid="{00000000-0005-0000-0000-00003E090000}"/>
    <cellStyle name="Comma 4 3 2 2 7 2" xfId="6686" xr:uid="{00000000-0005-0000-0000-00003F090000}"/>
    <cellStyle name="Comma 4 3 2 2 7 2 2" xfId="15115" xr:uid="{72F847DB-3CAD-4083-8B87-717B980DF2A2}"/>
    <cellStyle name="Comma 4 3 2 2 7 3" xfId="10897" xr:uid="{9E5D7B5A-B8E8-4813-AA5E-0780FBE1C37B}"/>
    <cellStyle name="Comma 4 3 2 2 8" xfId="2365" xr:uid="{00000000-0005-0000-0000-000040090000}"/>
    <cellStyle name="Comma 4 3 2 2 9" xfId="2778" xr:uid="{00000000-0005-0000-0000-000041090000}"/>
    <cellStyle name="Comma 4 3 2 2 9 2" xfId="7003" xr:uid="{00000000-0005-0000-0000-000042090000}"/>
    <cellStyle name="Comma 4 3 2 2 9 2 2" xfId="15432" xr:uid="{A5B41987-3A5F-4CD5-B9C4-52400410850A}"/>
    <cellStyle name="Comma 4 3 2 2 9 3" xfId="11214" xr:uid="{40FF6CD0-245F-448F-8AE0-0655CE05E6A6}"/>
    <cellStyle name="Comma 4 3 2 3" xfId="148" xr:uid="{00000000-0005-0000-0000-000043090000}"/>
    <cellStyle name="Comma 4 3 2 3 10" xfId="8833" xr:uid="{A0F41F05-348A-4462-A156-DF53BD233D7C}"/>
    <cellStyle name="Comma 4 3 2 3 2" xfId="686" xr:uid="{00000000-0005-0000-0000-000044090000}"/>
    <cellStyle name="Comma 4 3 2 3 2 2" xfId="2957" xr:uid="{00000000-0005-0000-0000-000045090000}"/>
    <cellStyle name="Comma 4 3 2 3 2 2 2" xfId="7181" xr:uid="{00000000-0005-0000-0000-000046090000}"/>
    <cellStyle name="Comma 4 3 2 3 2 2 2 2" xfId="15610" xr:uid="{61B886F6-B684-4CDF-B110-13439F823F6E}"/>
    <cellStyle name="Comma 4 3 2 3 2 2 3" xfId="11392" xr:uid="{B6F5F49A-3AE9-4D92-B197-07B9A3D00006}"/>
    <cellStyle name="Comma 4 3 2 3 2 3" xfId="5036" xr:uid="{00000000-0005-0000-0000-000047090000}"/>
    <cellStyle name="Comma 4 3 2 3 2 3 2" xfId="13465" xr:uid="{81040744-5780-4231-96EB-640B75C37917}"/>
    <cellStyle name="Comma 4 3 2 3 2 4" xfId="9247" xr:uid="{29FCC2A3-C717-420D-ABA6-41460D2E31CC}"/>
    <cellStyle name="Comma 4 3 2 3 3" xfId="1139" xr:uid="{00000000-0005-0000-0000-000048090000}"/>
    <cellStyle name="Comma 4 3 2 3 3 2" xfId="3370" xr:uid="{00000000-0005-0000-0000-000049090000}"/>
    <cellStyle name="Comma 4 3 2 3 3 2 2" xfId="7594" xr:uid="{00000000-0005-0000-0000-00004A090000}"/>
    <cellStyle name="Comma 4 3 2 3 3 2 2 2" xfId="16023" xr:uid="{8EC147F8-D719-4419-BB4E-06E889B24BC3}"/>
    <cellStyle name="Comma 4 3 2 3 3 2 3" xfId="11805" xr:uid="{E7DE54FF-6111-4FE5-AAE4-F43874FEB95A}"/>
    <cellStyle name="Comma 4 3 2 3 3 3" xfId="5449" xr:uid="{00000000-0005-0000-0000-00004B090000}"/>
    <cellStyle name="Comma 4 3 2 3 3 3 2" xfId="13878" xr:uid="{3A4A8D56-1459-42D4-A654-C0A88198FD20}"/>
    <cellStyle name="Comma 4 3 2 3 3 4" xfId="9660" xr:uid="{A2F016EB-A000-4F53-A58C-F59EF449FD27}"/>
    <cellStyle name="Comma 4 3 2 3 4" xfId="1553" xr:uid="{00000000-0005-0000-0000-00004C090000}"/>
    <cellStyle name="Comma 4 3 2 3 4 2" xfId="3783" xr:uid="{00000000-0005-0000-0000-00004D090000}"/>
    <cellStyle name="Comma 4 3 2 3 4 2 2" xfId="8007" xr:uid="{00000000-0005-0000-0000-00004E090000}"/>
    <cellStyle name="Comma 4 3 2 3 4 2 2 2" xfId="16436" xr:uid="{892EFBEB-716F-4BB7-AEDB-AED2BB9C1166}"/>
    <cellStyle name="Comma 4 3 2 3 4 2 3" xfId="12218" xr:uid="{390247D3-F5B5-4B7E-9366-93EF63F11BEF}"/>
    <cellStyle name="Comma 4 3 2 3 4 3" xfId="5862" xr:uid="{00000000-0005-0000-0000-00004F090000}"/>
    <cellStyle name="Comma 4 3 2 3 4 3 2" xfId="14291" xr:uid="{6319B427-F45D-46AD-BE7D-8F94E268329B}"/>
    <cellStyle name="Comma 4 3 2 3 4 4" xfId="10073" xr:uid="{887D0AD4-CAB7-42FB-8337-69B454F41059}"/>
    <cellStyle name="Comma 4 3 2 3 5" xfId="1967" xr:uid="{00000000-0005-0000-0000-000050090000}"/>
    <cellStyle name="Comma 4 3 2 3 5 2" xfId="4196" xr:uid="{00000000-0005-0000-0000-000051090000}"/>
    <cellStyle name="Comma 4 3 2 3 5 2 2" xfId="8420" xr:uid="{00000000-0005-0000-0000-000052090000}"/>
    <cellStyle name="Comma 4 3 2 3 5 2 2 2" xfId="16849" xr:uid="{E32756CB-C815-409A-9C96-ACC82C3F0441}"/>
    <cellStyle name="Comma 4 3 2 3 5 2 3" xfId="12631" xr:uid="{94B7D850-86D6-4CF0-B329-D9DF7A5D6477}"/>
    <cellStyle name="Comma 4 3 2 3 5 3" xfId="6275" xr:uid="{00000000-0005-0000-0000-000053090000}"/>
    <cellStyle name="Comma 4 3 2 3 5 3 2" xfId="14704" xr:uid="{036FF791-B20B-4FFA-B177-D6B9052101AF}"/>
    <cellStyle name="Comma 4 3 2 3 5 4" xfId="10486" xr:uid="{59490C0A-3DC3-4DCE-BAE0-ADE78069D96B}"/>
    <cellStyle name="Comma 4 3 2 3 6" xfId="2402" xr:uid="{00000000-0005-0000-0000-000054090000}"/>
    <cellStyle name="Comma 4 3 2 3 6 2" xfId="6688" xr:uid="{00000000-0005-0000-0000-000055090000}"/>
    <cellStyle name="Comma 4 3 2 3 6 2 2" xfId="15117" xr:uid="{66AEB9E7-FA8C-40EB-A343-45082E45A364}"/>
    <cellStyle name="Comma 4 3 2 3 6 3" xfId="10899" xr:uid="{F71BA816-049B-45F6-BE65-9A3140515C89}"/>
    <cellStyle name="Comma 4 3 2 3 7" xfId="2363" xr:uid="{00000000-0005-0000-0000-000056090000}"/>
    <cellStyle name="Comma 4 3 2 3 8" xfId="2780" xr:uid="{00000000-0005-0000-0000-000057090000}"/>
    <cellStyle name="Comma 4 3 2 3 8 2" xfId="7005" xr:uid="{00000000-0005-0000-0000-000058090000}"/>
    <cellStyle name="Comma 4 3 2 3 8 2 2" xfId="15434" xr:uid="{B627D5B4-3884-45E3-960A-BD31DBB36CA7}"/>
    <cellStyle name="Comma 4 3 2 3 8 3" xfId="11216" xr:uid="{0513170C-E034-479E-B777-426B5C6D2E8E}"/>
    <cellStyle name="Comma 4 3 2 3 9" xfId="4622" xr:uid="{00000000-0005-0000-0000-000059090000}"/>
    <cellStyle name="Comma 4 3 2 3 9 2" xfId="13051" xr:uid="{297DF18E-8230-4E0A-8176-746DDB784DA9}"/>
    <cellStyle name="Comma 4 3 2 4" xfId="683" xr:uid="{00000000-0005-0000-0000-00005A090000}"/>
    <cellStyle name="Comma 4 3 2 4 2" xfId="2954" xr:uid="{00000000-0005-0000-0000-00005B090000}"/>
    <cellStyle name="Comma 4 3 2 4 2 2" xfId="7178" xr:uid="{00000000-0005-0000-0000-00005C090000}"/>
    <cellStyle name="Comma 4 3 2 4 2 2 2" xfId="15607" xr:uid="{64B20A81-BE44-447D-AE9A-04760B0ADA84}"/>
    <cellStyle name="Comma 4 3 2 4 2 3" xfId="11389" xr:uid="{43538DEC-81F2-4548-A404-9467CE1B186B}"/>
    <cellStyle name="Comma 4 3 2 4 3" xfId="5033" xr:uid="{00000000-0005-0000-0000-00005D090000}"/>
    <cellStyle name="Comma 4 3 2 4 3 2" xfId="13462" xr:uid="{4ED9B6C7-38B5-42FC-9D31-D99CBE12663D}"/>
    <cellStyle name="Comma 4 3 2 4 4" xfId="9244" xr:uid="{E09872C9-9C03-4B71-97E2-3D511FF07FE9}"/>
    <cellStyle name="Comma 4 3 2 5" xfId="1136" xr:uid="{00000000-0005-0000-0000-00005E090000}"/>
    <cellStyle name="Comma 4 3 2 5 2" xfId="3367" xr:uid="{00000000-0005-0000-0000-00005F090000}"/>
    <cellStyle name="Comma 4 3 2 5 2 2" xfId="7591" xr:uid="{00000000-0005-0000-0000-000060090000}"/>
    <cellStyle name="Comma 4 3 2 5 2 2 2" xfId="16020" xr:uid="{0B2AF89B-B033-4A5E-8C96-D7514FD4F451}"/>
    <cellStyle name="Comma 4 3 2 5 2 3" xfId="11802" xr:uid="{212F4F10-74DC-40FA-876A-9E0A58178517}"/>
    <cellStyle name="Comma 4 3 2 5 3" xfId="5446" xr:uid="{00000000-0005-0000-0000-000061090000}"/>
    <cellStyle name="Comma 4 3 2 5 3 2" xfId="13875" xr:uid="{2A012502-15E5-4A31-9108-1897EBCE19D7}"/>
    <cellStyle name="Comma 4 3 2 5 4" xfId="9657" xr:uid="{0D6B5930-DC70-406E-8A8B-C3822E697E73}"/>
    <cellStyle name="Comma 4 3 2 6" xfId="1550" xr:uid="{00000000-0005-0000-0000-000062090000}"/>
    <cellStyle name="Comma 4 3 2 6 2" xfId="3780" xr:uid="{00000000-0005-0000-0000-000063090000}"/>
    <cellStyle name="Comma 4 3 2 6 2 2" xfId="8004" xr:uid="{00000000-0005-0000-0000-000064090000}"/>
    <cellStyle name="Comma 4 3 2 6 2 2 2" xfId="16433" xr:uid="{E3AE6B7A-20E3-4D11-BA39-100B10ABBE65}"/>
    <cellStyle name="Comma 4 3 2 6 2 3" xfId="12215" xr:uid="{B1C4C6A3-034A-4390-B5AD-6B059EEE8E08}"/>
    <cellStyle name="Comma 4 3 2 6 3" xfId="5859" xr:uid="{00000000-0005-0000-0000-000065090000}"/>
    <cellStyle name="Comma 4 3 2 6 3 2" xfId="14288" xr:uid="{39F84CBC-A913-4D6B-A4C2-B04F8A06311F}"/>
    <cellStyle name="Comma 4 3 2 6 4" xfId="10070" xr:uid="{2101D647-4CBE-4069-B104-8DDD552CCD53}"/>
    <cellStyle name="Comma 4 3 2 7" xfId="1964" xr:uid="{00000000-0005-0000-0000-000066090000}"/>
    <cellStyle name="Comma 4 3 2 7 2" xfId="4193" xr:uid="{00000000-0005-0000-0000-000067090000}"/>
    <cellStyle name="Comma 4 3 2 7 2 2" xfId="8417" xr:uid="{00000000-0005-0000-0000-000068090000}"/>
    <cellStyle name="Comma 4 3 2 7 2 2 2" xfId="16846" xr:uid="{56E0E4E9-CC17-42A9-B812-4957408CF507}"/>
    <cellStyle name="Comma 4 3 2 7 2 3" xfId="12628" xr:uid="{FF95A2F8-BA9C-4740-B1E7-9F410606D61E}"/>
    <cellStyle name="Comma 4 3 2 7 3" xfId="6272" xr:uid="{00000000-0005-0000-0000-000069090000}"/>
    <cellStyle name="Comma 4 3 2 7 3 2" xfId="14701" xr:uid="{F23DEE5A-4DB2-4610-A845-BA3179AB797F}"/>
    <cellStyle name="Comma 4 3 2 7 4" xfId="10483" xr:uid="{917C1975-1913-42CC-8069-E3F9AF8A5209}"/>
    <cellStyle name="Comma 4 3 2 8" xfId="2399" xr:uid="{00000000-0005-0000-0000-00006A090000}"/>
    <cellStyle name="Comma 4 3 2 8 2" xfId="6685" xr:uid="{00000000-0005-0000-0000-00006B090000}"/>
    <cellStyle name="Comma 4 3 2 8 2 2" xfId="15114" xr:uid="{D6518A69-AAB2-474B-A3F1-9678B498121C}"/>
    <cellStyle name="Comma 4 3 2 8 3" xfId="10896" xr:uid="{7F1C891F-BDA6-4747-A256-B13BE7707D24}"/>
    <cellStyle name="Comma 4 3 2 9" xfId="2366" xr:uid="{00000000-0005-0000-0000-00006C090000}"/>
    <cellStyle name="Comma 4 3 3" xfId="149" xr:uid="{00000000-0005-0000-0000-00006D090000}"/>
    <cellStyle name="Comma 4 3 3 10" xfId="4623" xr:uid="{00000000-0005-0000-0000-00006E090000}"/>
    <cellStyle name="Comma 4 3 3 10 2" xfId="13052" xr:uid="{E61C9F32-3F2C-4637-A926-F01453C33E33}"/>
    <cellStyle name="Comma 4 3 3 11" xfId="8834" xr:uid="{72349FF7-873E-40D4-8EF2-AF9145AB3B3F}"/>
    <cellStyle name="Comma 4 3 3 2" xfId="150" xr:uid="{00000000-0005-0000-0000-00006F090000}"/>
    <cellStyle name="Comma 4 3 3 2 10" xfId="8835" xr:uid="{1F9E9DEC-9DC3-48FD-A55F-070CCAB402EC}"/>
    <cellStyle name="Comma 4 3 3 2 2" xfId="688" xr:uid="{00000000-0005-0000-0000-000070090000}"/>
    <cellStyle name="Comma 4 3 3 2 2 2" xfId="2959" xr:uid="{00000000-0005-0000-0000-000071090000}"/>
    <cellStyle name="Comma 4 3 3 2 2 2 2" xfId="7183" xr:uid="{00000000-0005-0000-0000-000072090000}"/>
    <cellStyle name="Comma 4 3 3 2 2 2 2 2" xfId="15612" xr:uid="{FD452FB1-26C0-4312-A57E-9B7DB97E16D0}"/>
    <cellStyle name="Comma 4 3 3 2 2 2 3" xfId="11394" xr:uid="{1DDFCB40-B492-436D-B499-73F0CA0B66E4}"/>
    <cellStyle name="Comma 4 3 3 2 2 3" xfId="5038" xr:uid="{00000000-0005-0000-0000-000073090000}"/>
    <cellStyle name="Comma 4 3 3 2 2 3 2" xfId="13467" xr:uid="{8DC512A6-9D1B-44A6-8767-6707904DACB9}"/>
    <cellStyle name="Comma 4 3 3 2 2 4" xfId="9249" xr:uid="{79D0AEF6-2AD0-42E1-9F51-57759E2E05A0}"/>
    <cellStyle name="Comma 4 3 3 2 3" xfId="1141" xr:uid="{00000000-0005-0000-0000-000074090000}"/>
    <cellStyle name="Comma 4 3 3 2 3 2" xfId="3372" xr:uid="{00000000-0005-0000-0000-000075090000}"/>
    <cellStyle name="Comma 4 3 3 2 3 2 2" xfId="7596" xr:uid="{00000000-0005-0000-0000-000076090000}"/>
    <cellStyle name="Comma 4 3 3 2 3 2 2 2" xfId="16025" xr:uid="{070B8B95-8895-48BD-8501-B1DBBFC7EAA0}"/>
    <cellStyle name="Comma 4 3 3 2 3 2 3" xfId="11807" xr:uid="{A24F45A7-6DF4-4452-884C-0F282A1D8B6D}"/>
    <cellStyle name="Comma 4 3 3 2 3 3" xfId="5451" xr:uid="{00000000-0005-0000-0000-000077090000}"/>
    <cellStyle name="Comma 4 3 3 2 3 3 2" xfId="13880" xr:uid="{BF0A72A9-B1B9-440B-B3BE-536F8752DE16}"/>
    <cellStyle name="Comma 4 3 3 2 3 4" xfId="9662" xr:uid="{3CDD04BE-EE30-4864-90CC-A340A19B0128}"/>
    <cellStyle name="Comma 4 3 3 2 4" xfId="1555" xr:uid="{00000000-0005-0000-0000-000078090000}"/>
    <cellStyle name="Comma 4 3 3 2 4 2" xfId="3785" xr:uid="{00000000-0005-0000-0000-000079090000}"/>
    <cellStyle name="Comma 4 3 3 2 4 2 2" xfId="8009" xr:uid="{00000000-0005-0000-0000-00007A090000}"/>
    <cellStyle name="Comma 4 3 3 2 4 2 2 2" xfId="16438" xr:uid="{3D8691B0-FC14-4C4D-986D-B9D480A3CB03}"/>
    <cellStyle name="Comma 4 3 3 2 4 2 3" xfId="12220" xr:uid="{C19A3F6C-F537-48A5-AA7D-01205F4F0B5A}"/>
    <cellStyle name="Comma 4 3 3 2 4 3" xfId="5864" xr:uid="{00000000-0005-0000-0000-00007B090000}"/>
    <cellStyle name="Comma 4 3 3 2 4 3 2" xfId="14293" xr:uid="{0DFC8242-08C1-413C-901A-A412A9FAFC26}"/>
    <cellStyle name="Comma 4 3 3 2 4 4" xfId="10075" xr:uid="{A94E49AC-41EF-42E9-A9B8-5F2A793C9FD5}"/>
    <cellStyle name="Comma 4 3 3 2 5" xfId="1969" xr:uid="{00000000-0005-0000-0000-00007C090000}"/>
    <cellStyle name="Comma 4 3 3 2 5 2" xfId="4198" xr:uid="{00000000-0005-0000-0000-00007D090000}"/>
    <cellStyle name="Comma 4 3 3 2 5 2 2" xfId="8422" xr:uid="{00000000-0005-0000-0000-00007E090000}"/>
    <cellStyle name="Comma 4 3 3 2 5 2 2 2" xfId="16851" xr:uid="{7ADD2459-509A-4499-B78B-888C507D61A4}"/>
    <cellStyle name="Comma 4 3 3 2 5 2 3" xfId="12633" xr:uid="{4CCF2053-40B2-4BC4-BBD2-B62A2B76DC8A}"/>
    <cellStyle name="Comma 4 3 3 2 5 3" xfId="6277" xr:uid="{00000000-0005-0000-0000-00007F090000}"/>
    <cellStyle name="Comma 4 3 3 2 5 3 2" xfId="14706" xr:uid="{412535CC-2DF6-45E7-B7C0-B7F0D5E4A541}"/>
    <cellStyle name="Comma 4 3 3 2 5 4" xfId="10488" xr:uid="{26161CF0-FDD5-41B6-8946-2812A461C015}"/>
    <cellStyle name="Comma 4 3 3 2 6" xfId="2404" xr:uid="{00000000-0005-0000-0000-000080090000}"/>
    <cellStyle name="Comma 4 3 3 2 6 2" xfId="6690" xr:uid="{00000000-0005-0000-0000-000081090000}"/>
    <cellStyle name="Comma 4 3 3 2 6 2 2" xfId="15119" xr:uid="{23879F2B-3638-4771-8AE7-5ADCCFA30071}"/>
    <cellStyle name="Comma 4 3 3 2 6 3" xfId="10901" xr:uid="{3D1A7CE1-710C-4D9C-A9BB-8987ED1192FA}"/>
    <cellStyle name="Comma 4 3 3 2 7" xfId="2361" xr:uid="{00000000-0005-0000-0000-000082090000}"/>
    <cellStyle name="Comma 4 3 3 2 8" xfId="2782" xr:uid="{00000000-0005-0000-0000-000083090000}"/>
    <cellStyle name="Comma 4 3 3 2 8 2" xfId="7007" xr:uid="{00000000-0005-0000-0000-000084090000}"/>
    <cellStyle name="Comma 4 3 3 2 8 2 2" xfId="15436" xr:uid="{431E305C-39D0-4804-89A8-67286CC6E546}"/>
    <cellStyle name="Comma 4 3 3 2 8 3" xfId="11218" xr:uid="{9876AF2F-C43B-489B-8782-75030A931314}"/>
    <cellStyle name="Comma 4 3 3 2 9" xfId="4624" xr:uid="{00000000-0005-0000-0000-000085090000}"/>
    <cellStyle name="Comma 4 3 3 2 9 2" xfId="13053" xr:uid="{6E22661B-9479-47DD-A697-805689DB03BC}"/>
    <cellStyle name="Comma 4 3 3 3" xfId="687" xr:uid="{00000000-0005-0000-0000-000086090000}"/>
    <cellStyle name="Comma 4 3 3 3 2" xfId="2958" xr:uid="{00000000-0005-0000-0000-000087090000}"/>
    <cellStyle name="Comma 4 3 3 3 2 2" xfId="7182" xr:uid="{00000000-0005-0000-0000-000088090000}"/>
    <cellStyle name="Comma 4 3 3 3 2 2 2" xfId="15611" xr:uid="{73206DAC-A7E2-4E1A-8C8A-3DC3286A12E6}"/>
    <cellStyle name="Comma 4 3 3 3 2 3" xfId="11393" xr:uid="{3C0116A5-5765-488C-AB23-039BC625CE1D}"/>
    <cellStyle name="Comma 4 3 3 3 3" xfId="5037" xr:uid="{00000000-0005-0000-0000-000089090000}"/>
    <cellStyle name="Comma 4 3 3 3 3 2" xfId="13466" xr:uid="{BAFA6C7E-E68F-4055-BFA3-57E912480B31}"/>
    <cellStyle name="Comma 4 3 3 3 4" xfId="9248" xr:uid="{119C8EBA-4DEB-48CD-94A9-EB66A623115C}"/>
    <cellStyle name="Comma 4 3 3 4" xfId="1140" xr:uid="{00000000-0005-0000-0000-00008A090000}"/>
    <cellStyle name="Comma 4 3 3 4 2" xfId="3371" xr:uid="{00000000-0005-0000-0000-00008B090000}"/>
    <cellStyle name="Comma 4 3 3 4 2 2" xfId="7595" xr:uid="{00000000-0005-0000-0000-00008C090000}"/>
    <cellStyle name="Comma 4 3 3 4 2 2 2" xfId="16024" xr:uid="{4049799B-C64D-46EF-B990-627E32FE05CD}"/>
    <cellStyle name="Comma 4 3 3 4 2 3" xfId="11806" xr:uid="{04950B22-B4B3-49A4-AAFC-7EC7C012D44D}"/>
    <cellStyle name="Comma 4 3 3 4 3" xfId="5450" xr:uid="{00000000-0005-0000-0000-00008D090000}"/>
    <cellStyle name="Comma 4 3 3 4 3 2" xfId="13879" xr:uid="{0BC65BC0-9AD9-4D40-A22A-23E485F6F9AD}"/>
    <cellStyle name="Comma 4 3 3 4 4" xfId="9661" xr:uid="{1CED8DB5-8018-4007-9D3B-264C1C79F42A}"/>
    <cellStyle name="Comma 4 3 3 5" xfId="1554" xr:uid="{00000000-0005-0000-0000-00008E090000}"/>
    <cellStyle name="Comma 4 3 3 5 2" xfId="3784" xr:uid="{00000000-0005-0000-0000-00008F090000}"/>
    <cellStyle name="Comma 4 3 3 5 2 2" xfId="8008" xr:uid="{00000000-0005-0000-0000-000090090000}"/>
    <cellStyle name="Comma 4 3 3 5 2 2 2" xfId="16437" xr:uid="{7CA89F9D-7E5B-4A48-A918-68ECB15B3A50}"/>
    <cellStyle name="Comma 4 3 3 5 2 3" xfId="12219" xr:uid="{75588E78-06CA-43E6-B1D8-9A97C9282799}"/>
    <cellStyle name="Comma 4 3 3 5 3" xfId="5863" xr:uid="{00000000-0005-0000-0000-000091090000}"/>
    <cellStyle name="Comma 4 3 3 5 3 2" xfId="14292" xr:uid="{03ACCD9C-4D14-431A-B538-316CE66BC562}"/>
    <cellStyle name="Comma 4 3 3 5 4" xfId="10074" xr:uid="{B461D618-1B71-4A08-AF6F-4AE2E2E7F782}"/>
    <cellStyle name="Comma 4 3 3 6" xfId="1968" xr:uid="{00000000-0005-0000-0000-000092090000}"/>
    <cellStyle name="Comma 4 3 3 6 2" xfId="4197" xr:uid="{00000000-0005-0000-0000-000093090000}"/>
    <cellStyle name="Comma 4 3 3 6 2 2" xfId="8421" xr:uid="{00000000-0005-0000-0000-000094090000}"/>
    <cellStyle name="Comma 4 3 3 6 2 2 2" xfId="16850" xr:uid="{9D98335E-B7FA-454E-9371-A8F83BB50026}"/>
    <cellStyle name="Comma 4 3 3 6 2 3" xfId="12632" xr:uid="{A3CC7667-933A-41F5-B238-C5C02D90D54E}"/>
    <cellStyle name="Comma 4 3 3 6 3" xfId="6276" xr:uid="{00000000-0005-0000-0000-000095090000}"/>
    <cellStyle name="Comma 4 3 3 6 3 2" xfId="14705" xr:uid="{862054EB-3A74-4ACB-9318-7474A6D5883A}"/>
    <cellStyle name="Comma 4 3 3 6 4" xfId="10487" xr:uid="{92230DFF-D7AD-4F3E-B0DC-52B2C6F4FB8E}"/>
    <cellStyle name="Comma 4 3 3 7" xfId="2403" xr:uid="{00000000-0005-0000-0000-000096090000}"/>
    <cellStyle name="Comma 4 3 3 7 2" xfId="6689" xr:uid="{00000000-0005-0000-0000-000097090000}"/>
    <cellStyle name="Comma 4 3 3 7 2 2" xfId="15118" xr:uid="{A867C119-F1BD-49CD-935C-8B71F70BC83F}"/>
    <cellStyle name="Comma 4 3 3 7 3" xfId="10900" xr:uid="{69C44381-E60E-4E44-90BE-8CC409ECD84C}"/>
    <cellStyle name="Comma 4 3 3 8" xfId="2362" xr:uid="{00000000-0005-0000-0000-000098090000}"/>
    <cellStyle name="Comma 4 3 3 9" xfId="2781" xr:uid="{00000000-0005-0000-0000-000099090000}"/>
    <cellStyle name="Comma 4 3 3 9 2" xfId="7006" xr:uid="{00000000-0005-0000-0000-00009A090000}"/>
    <cellStyle name="Comma 4 3 3 9 2 2" xfId="15435" xr:uid="{AF96D413-3CB9-48B3-9EED-7C611ADB710A}"/>
    <cellStyle name="Comma 4 3 3 9 3" xfId="11217" xr:uid="{A36FF8AA-A6CC-4EEB-B04B-D8EF5B0F2222}"/>
    <cellStyle name="Comma 4 3 4" xfId="151" xr:uid="{00000000-0005-0000-0000-00009B090000}"/>
    <cellStyle name="Comma 4 3 4 10" xfId="8836" xr:uid="{0226AB18-9174-465A-9318-A59C6CD6A648}"/>
    <cellStyle name="Comma 4 3 4 2" xfId="689" xr:uid="{00000000-0005-0000-0000-00009C090000}"/>
    <cellStyle name="Comma 4 3 4 2 2" xfId="2960" xr:uid="{00000000-0005-0000-0000-00009D090000}"/>
    <cellStyle name="Comma 4 3 4 2 2 2" xfId="7184" xr:uid="{00000000-0005-0000-0000-00009E090000}"/>
    <cellStyle name="Comma 4 3 4 2 2 2 2" xfId="15613" xr:uid="{017114A0-660A-45A3-A40A-789C2D627126}"/>
    <cellStyle name="Comma 4 3 4 2 2 3" xfId="11395" xr:uid="{874AC6FC-B17A-496E-A1CD-B267914E268C}"/>
    <cellStyle name="Comma 4 3 4 2 3" xfId="5039" xr:uid="{00000000-0005-0000-0000-00009F090000}"/>
    <cellStyle name="Comma 4 3 4 2 3 2" xfId="13468" xr:uid="{19B484A6-EBC2-446B-909A-28C531DBAD4B}"/>
    <cellStyle name="Comma 4 3 4 2 4" xfId="9250" xr:uid="{26E36EEE-5F5F-4B03-9B28-CC18DC552896}"/>
    <cellStyle name="Comma 4 3 4 3" xfId="1142" xr:uid="{00000000-0005-0000-0000-0000A0090000}"/>
    <cellStyle name="Comma 4 3 4 3 2" xfId="3373" xr:uid="{00000000-0005-0000-0000-0000A1090000}"/>
    <cellStyle name="Comma 4 3 4 3 2 2" xfId="7597" xr:uid="{00000000-0005-0000-0000-0000A2090000}"/>
    <cellStyle name="Comma 4 3 4 3 2 2 2" xfId="16026" xr:uid="{5E37C5AC-C959-4B0F-A398-6158110E81A8}"/>
    <cellStyle name="Comma 4 3 4 3 2 3" xfId="11808" xr:uid="{CA54C758-5F50-4E90-A9FF-00F3B01D9573}"/>
    <cellStyle name="Comma 4 3 4 3 3" xfId="5452" xr:uid="{00000000-0005-0000-0000-0000A3090000}"/>
    <cellStyle name="Comma 4 3 4 3 3 2" xfId="13881" xr:uid="{A6B3F178-E583-45AD-9A04-9C4713B01F34}"/>
    <cellStyle name="Comma 4 3 4 3 4" xfId="9663" xr:uid="{C7E3BBFE-9303-4B8A-B972-41B1F2408E1D}"/>
    <cellStyle name="Comma 4 3 4 4" xfId="1556" xr:uid="{00000000-0005-0000-0000-0000A4090000}"/>
    <cellStyle name="Comma 4 3 4 4 2" xfId="3786" xr:uid="{00000000-0005-0000-0000-0000A5090000}"/>
    <cellStyle name="Comma 4 3 4 4 2 2" xfId="8010" xr:uid="{00000000-0005-0000-0000-0000A6090000}"/>
    <cellStyle name="Comma 4 3 4 4 2 2 2" xfId="16439" xr:uid="{58AA6F0A-2C4B-42D6-BC5B-919BAA474E5A}"/>
    <cellStyle name="Comma 4 3 4 4 2 3" xfId="12221" xr:uid="{8D00CE4E-5166-4A81-A47B-C610A9D9077E}"/>
    <cellStyle name="Comma 4 3 4 4 3" xfId="5865" xr:uid="{00000000-0005-0000-0000-0000A7090000}"/>
    <cellStyle name="Comma 4 3 4 4 3 2" xfId="14294" xr:uid="{CD33C716-12C0-495E-8BCE-8789CDA16026}"/>
    <cellStyle name="Comma 4 3 4 4 4" xfId="10076" xr:uid="{876E5829-7398-44A5-8D8C-E775478CC48C}"/>
    <cellStyle name="Comma 4 3 4 5" xfId="1970" xr:uid="{00000000-0005-0000-0000-0000A8090000}"/>
    <cellStyle name="Comma 4 3 4 5 2" xfId="4199" xr:uid="{00000000-0005-0000-0000-0000A9090000}"/>
    <cellStyle name="Comma 4 3 4 5 2 2" xfId="8423" xr:uid="{00000000-0005-0000-0000-0000AA090000}"/>
    <cellStyle name="Comma 4 3 4 5 2 2 2" xfId="16852" xr:uid="{B5CBECB6-96DC-4074-B4BB-6BFA93F42FFE}"/>
    <cellStyle name="Comma 4 3 4 5 2 3" xfId="12634" xr:uid="{E9E6BE47-7E01-4949-A1FB-EC1628559002}"/>
    <cellStyle name="Comma 4 3 4 5 3" xfId="6278" xr:uid="{00000000-0005-0000-0000-0000AB090000}"/>
    <cellStyle name="Comma 4 3 4 5 3 2" xfId="14707" xr:uid="{75709F10-1995-4D97-8F42-67CFF4BB1B7F}"/>
    <cellStyle name="Comma 4 3 4 5 4" xfId="10489" xr:uid="{62A6A4C3-4315-43BC-96BB-A8C3314C22A4}"/>
    <cellStyle name="Comma 4 3 4 6" xfId="2405" xr:uid="{00000000-0005-0000-0000-0000AC090000}"/>
    <cellStyle name="Comma 4 3 4 6 2" xfId="6691" xr:uid="{00000000-0005-0000-0000-0000AD090000}"/>
    <cellStyle name="Comma 4 3 4 6 2 2" xfId="15120" xr:uid="{6901F1DC-E6B0-414E-AC67-D94B97EFE9D1}"/>
    <cellStyle name="Comma 4 3 4 6 3" xfId="10902" xr:uid="{4810FEB3-7C51-447E-9D6D-A49FBEBEA663}"/>
    <cellStyle name="Comma 4 3 4 7" xfId="2701" xr:uid="{00000000-0005-0000-0000-0000AE090000}"/>
    <cellStyle name="Comma 4 3 4 8" xfId="2783" xr:uid="{00000000-0005-0000-0000-0000AF090000}"/>
    <cellStyle name="Comma 4 3 4 8 2" xfId="7008" xr:uid="{00000000-0005-0000-0000-0000B0090000}"/>
    <cellStyle name="Comma 4 3 4 8 2 2" xfId="15437" xr:uid="{AC9C7B27-8456-4E38-9012-B9EF68E0E61E}"/>
    <cellStyle name="Comma 4 3 4 8 3" xfId="11219" xr:uid="{936BB3FD-E1B7-4EC2-AA72-1BC5AC99235D}"/>
    <cellStyle name="Comma 4 3 4 9" xfId="4625" xr:uid="{00000000-0005-0000-0000-0000B1090000}"/>
    <cellStyle name="Comma 4 3 4 9 2" xfId="13054" xr:uid="{2FCB3F2E-C499-4C3E-A4F6-A860C666DB4D}"/>
    <cellStyle name="Comma 4 3 5" xfId="152" xr:uid="{00000000-0005-0000-0000-0000B2090000}"/>
    <cellStyle name="Comma 4 3 5 10" xfId="8837" xr:uid="{A8722692-8AF4-4394-A1D8-7BDAD493A1E9}"/>
    <cellStyle name="Comma 4 3 5 2" xfId="690" xr:uid="{00000000-0005-0000-0000-0000B3090000}"/>
    <cellStyle name="Comma 4 3 5 2 2" xfId="2961" xr:uid="{00000000-0005-0000-0000-0000B4090000}"/>
    <cellStyle name="Comma 4 3 5 2 2 2" xfId="7185" xr:uid="{00000000-0005-0000-0000-0000B5090000}"/>
    <cellStyle name="Comma 4 3 5 2 2 2 2" xfId="15614" xr:uid="{F7D038A6-CBE7-4736-9A28-C43C54F0B728}"/>
    <cellStyle name="Comma 4 3 5 2 2 3" xfId="11396" xr:uid="{41DFE4D5-5576-41C6-AEA1-EBDBCFE01747}"/>
    <cellStyle name="Comma 4 3 5 2 3" xfId="5040" xr:uid="{00000000-0005-0000-0000-0000B6090000}"/>
    <cellStyle name="Comma 4 3 5 2 3 2" xfId="13469" xr:uid="{D1EE76CD-53E9-432A-A44E-589993B8F6E7}"/>
    <cellStyle name="Comma 4 3 5 2 4" xfId="9251" xr:uid="{6B2B1B13-01B8-4742-B0AB-510F1D0D0562}"/>
    <cellStyle name="Comma 4 3 5 3" xfId="1143" xr:uid="{00000000-0005-0000-0000-0000B7090000}"/>
    <cellStyle name="Comma 4 3 5 3 2" xfId="3374" xr:uid="{00000000-0005-0000-0000-0000B8090000}"/>
    <cellStyle name="Comma 4 3 5 3 2 2" xfId="7598" xr:uid="{00000000-0005-0000-0000-0000B9090000}"/>
    <cellStyle name="Comma 4 3 5 3 2 2 2" xfId="16027" xr:uid="{7CD1D8C1-1476-4C9E-9E4D-CFAB1C718976}"/>
    <cellStyle name="Comma 4 3 5 3 2 3" xfId="11809" xr:uid="{C07F7BE4-855B-4196-BED6-56D9B8671A5D}"/>
    <cellStyle name="Comma 4 3 5 3 3" xfId="5453" xr:uid="{00000000-0005-0000-0000-0000BA090000}"/>
    <cellStyle name="Comma 4 3 5 3 3 2" xfId="13882" xr:uid="{FCD40E88-DAFC-48F0-B041-E90D9C8EDC53}"/>
    <cellStyle name="Comma 4 3 5 3 4" xfId="9664" xr:uid="{F0CDEAFB-3BC3-48FC-9DD7-A9B93CE7E0C6}"/>
    <cellStyle name="Comma 4 3 5 4" xfId="1557" xr:uid="{00000000-0005-0000-0000-0000BB090000}"/>
    <cellStyle name="Comma 4 3 5 4 2" xfId="3787" xr:uid="{00000000-0005-0000-0000-0000BC090000}"/>
    <cellStyle name="Comma 4 3 5 4 2 2" xfId="8011" xr:uid="{00000000-0005-0000-0000-0000BD090000}"/>
    <cellStyle name="Comma 4 3 5 4 2 2 2" xfId="16440" xr:uid="{97F9F5CC-62B8-4FA6-AB03-37ACD471E396}"/>
    <cellStyle name="Comma 4 3 5 4 2 3" xfId="12222" xr:uid="{7D24BED8-2566-4F25-9AC1-87E515E1C12B}"/>
    <cellStyle name="Comma 4 3 5 4 3" xfId="5866" xr:uid="{00000000-0005-0000-0000-0000BE090000}"/>
    <cellStyle name="Comma 4 3 5 4 3 2" xfId="14295" xr:uid="{35CE5576-AA55-4FD8-AD5F-6C2A59BE88AE}"/>
    <cellStyle name="Comma 4 3 5 4 4" xfId="10077" xr:uid="{1FAF5657-578D-48F4-B965-A447E35EBB0F}"/>
    <cellStyle name="Comma 4 3 5 5" xfId="1971" xr:uid="{00000000-0005-0000-0000-0000BF090000}"/>
    <cellStyle name="Comma 4 3 5 5 2" xfId="4200" xr:uid="{00000000-0005-0000-0000-0000C0090000}"/>
    <cellStyle name="Comma 4 3 5 5 2 2" xfId="8424" xr:uid="{00000000-0005-0000-0000-0000C1090000}"/>
    <cellStyle name="Comma 4 3 5 5 2 2 2" xfId="16853" xr:uid="{54542DA4-403C-47EC-8423-F96C054000B8}"/>
    <cellStyle name="Comma 4 3 5 5 2 3" xfId="12635" xr:uid="{C51F1871-039E-44A1-92B1-0B2F81632D61}"/>
    <cellStyle name="Comma 4 3 5 5 3" xfId="6279" xr:uid="{00000000-0005-0000-0000-0000C2090000}"/>
    <cellStyle name="Comma 4 3 5 5 3 2" xfId="14708" xr:uid="{24C0140D-4D01-44C1-BE48-48CB080A5605}"/>
    <cellStyle name="Comma 4 3 5 5 4" xfId="10490" xr:uid="{A1493B61-7849-4DCC-9C6F-C1445EE4CAB5}"/>
    <cellStyle name="Comma 4 3 5 6" xfId="2406" xr:uid="{00000000-0005-0000-0000-0000C3090000}"/>
    <cellStyle name="Comma 4 3 5 6 2" xfId="6692" xr:uid="{00000000-0005-0000-0000-0000C4090000}"/>
    <cellStyle name="Comma 4 3 5 6 2 2" xfId="15121" xr:uid="{706CCCDB-998E-4D6B-8BFD-DDDA17685DCE}"/>
    <cellStyle name="Comma 4 3 5 6 3" xfId="10903" xr:uid="{D8445DD9-0DC7-4521-95CC-DF8C0EDADE43}"/>
    <cellStyle name="Comma 4 3 5 7" xfId="2702" xr:uid="{00000000-0005-0000-0000-0000C5090000}"/>
    <cellStyle name="Comma 4 3 5 8" xfId="2784" xr:uid="{00000000-0005-0000-0000-0000C6090000}"/>
    <cellStyle name="Comma 4 3 5 8 2" xfId="7009" xr:uid="{00000000-0005-0000-0000-0000C7090000}"/>
    <cellStyle name="Comma 4 3 5 8 2 2" xfId="15438" xr:uid="{6F073E65-D73D-4666-AFF8-2BB03A81BD99}"/>
    <cellStyle name="Comma 4 3 5 8 3" xfId="11220" xr:uid="{46CD85F0-2FCF-48D3-9C9E-3FC5EE30F204}"/>
    <cellStyle name="Comma 4 3 5 9" xfId="4626" xr:uid="{00000000-0005-0000-0000-0000C8090000}"/>
    <cellStyle name="Comma 4 3 5 9 2" xfId="13055" xr:uid="{F571AFFA-8EAA-4E8B-9350-21958D128290}"/>
    <cellStyle name="Comma 4 4" xfId="153" xr:uid="{00000000-0005-0000-0000-0000C9090000}"/>
    <cellStyle name="Comma 4 4 10" xfId="2785" xr:uid="{00000000-0005-0000-0000-0000CA090000}"/>
    <cellStyle name="Comma 4 4 10 2" xfId="7010" xr:uid="{00000000-0005-0000-0000-0000CB090000}"/>
    <cellStyle name="Comma 4 4 10 2 2" xfId="15439" xr:uid="{5355A77F-E06C-40CD-987D-6E13AA251DAF}"/>
    <cellStyle name="Comma 4 4 10 3" xfId="11221" xr:uid="{C628ED0A-CD29-407A-88BA-A046A00298F0}"/>
    <cellStyle name="Comma 4 4 11" xfId="4627" xr:uid="{00000000-0005-0000-0000-0000CC090000}"/>
    <cellStyle name="Comma 4 4 11 2" xfId="13056" xr:uid="{7AE15FDA-1191-42BF-8D28-8F6EF14EEEA2}"/>
    <cellStyle name="Comma 4 4 12" xfId="8838" xr:uid="{B07BEFAB-B0CD-437D-A732-5644A3F460FD}"/>
    <cellStyle name="Comma 4 4 2" xfId="154" xr:uid="{00000000-0005-0000-0000-0000CD090000}"/>
    <cellStyle name="Comma 4 4 2 10" xfId="4628" xr:uid="{00000000-0005-0000-0000-0000CE090000}"/>
    <cellStyle name="Comma 4 4 2 10 2" xfId="13057" xr:uid="{EAC5F60D-A5AE-4B92-AE9E-7F8F66545CFA}"/>
    <cellStyle name="Comma 4 4 2 11" xfId="8839" xr:uid="{26A758FA-7458-4C46-9EB0-B605C3F43D3B}"/>
    <cellStyle name="Comma 4 4 2 2" xfId="155" xr:uid="{00000000-0005-0000-0000-0000CF090000}"/>
    <cellStyle name="Comma 4 4 2 2 10" xfId="8840" xr:uid="{3CB2EC96-5A23-4488-A4FB-1C1C2C03C9EE}"/>
    <cellStyle name="Comma 4 4 2 2 2" xfId="693" xr:uid="{00000000-0005-0000-0000-0000D0090000}"/>
    <cellStyle name="Comma 4 4 2 2 2 2" xfId="2964" xr:uid="{00000000-0005-0000-0000-0000D1090000}"/>
    <cellStyle name="Comma 4 4 2 2 2 2 2" xfId="7188" xr:uid="{00000000-0005-0000-0000-0000D2090000}"/>
    <cellStyle name="Comma 4 4 2 2 2 2 2 2" xfId="15617" xr:uid="{F84378DC-5DE1-40A4-8568-BAFA67361E5C}"/>
    <cellStyle name="Comma 4 4 2 2 2 2 3" xfId="11399" xr:uid="{AA6C276A-6028-4721-91F0-52CFA72CE205}"/>
    <cellStyle name="Comma 4 4 2 2 2 3" xfId="5043" xr:uid="{00000000-0005-0000-0000-0000D3090000}"/>
    <cellStyle name="Comma 4 4 2 2 2 3 2" xfId="13472" xr:uid="{8EB1E6F1-7951-4F53-881E-EFD180D42B5D}"/>
    <cellStyle name="Comma 4 4 2 2 2 4" xfId="9254" xr:uid="{27E6F836-2EDD-4B44-B391-26EEC4B3C7DC}"/>
    <cellStyle name="Comma 4 4 2 2 3" xfId="1146" xr:uid="{00000000-0005-0000-0000-0000D4090000}"/>
    <cellStyle name="Comma 4 4 2 2 3 2" xfId="3377" xr:uid="{00000000-0005-0000-0000-0000D5090000}"/>
    <cellStyle name="Comma 4 4 2 2 3 2 2" xfId="7601" xr:uid="{00000000-0005-0000-0000-0000D6090000}"/>
    <cellStyle name="Comma 4 4 2 2 3 2 2 2" xfId="16030" xr:uid="{C280F391-75AD-4307-B6AA-993D610C1DEE}"/>
    <cellStyle name="Comma 4 4 2 2 3 2 3" xfId="11812" xr:uid="{DF820918-839F-4F80-8B33-881E869489E5}"/>
    <cellStyle name="Comma 4 4 2 2 3 3" xfId="5456" xr:uid="{00000000-0005-0000-0000-0000D7090000}"/>
    <cellStyle name="Comma 4 4 2 2 3 3 2" xfId="13885" xr:uid="{76964357-06F8-4C87-88F8-B0AADCBD7B1F}"/>
    <cellStyle name="Comma 4 4 2 2 3 4" xfId="9667" xr:uid="{335FCE9F-D8B2-434B-9949-A228531A7F7F}"/>
    <cellStyle name="Comma 4 4 2 2 4" xfId="1560" xr:uid="{00000000-0005-0000-0000-0000D8090000}"/>
    <cellStyle name="Comma 4 4 2 2 4 2" xfId="3790" xr:uid="{00000000-0005-0000-0000-0000D9090000}"/>
    <cellStyle name="Comma 4 4 2 2 4 2 2" xfId="8014" xr:uid="{00000000-0005-0000-0000-0000DA090000}"/>
    <cellStyle name="Comma 4 4 2 2 4 2 2 2" xfId="16443" xr:uid="{208687B9-F76A-4893-AD51-A34C42D64D4F}"/>
    <cellStyle name="Comma 4 4 2 2 4 2 3" xfId="12225" xr:uid="{ED7B6912-1156-4BFD-81F6-4113D58EC829}"/>
    <cellStyle name="Comma 4 4 2 2 4 3" xfId="5869" xr:uid="{00000000-0005-0000-0000-0000DB090000}"/>
    <cellStyle name="Comma 4 4 2 2 4 3 2" xfId="14298" xr:uid="{496FE0BB-0727-41EA-A8C6-5272226E01E7}"/>
    <cellStyle name="Comma 4 4 2 2 4 4" xfId="10080" xr:uid="{E762C33B-228B-4F81-8AE5-69BD57AB9578}"/>
    <cellStyle name="Comma 4 4 2 2 5" xfId="1974" xr:uid="{00000000-0005-0000-0000-0000DC090000}"/>
    <cellStyle name="Comma 4 4 2 2 5 2" xfId="4203" xr:uid="{00000000-0005-0000-0000-0000DD090000}"/>
    <cellStyle name="Comma 4 4 2 2 5 2 2" xfId="8427" xr:uid="{00000000-0005-0000-0000-0000DE090000}"/>
    <cellStyle name="Comma 4 4 2 2 5 2 2 2" xfId="16856" xr:uid="{E67B7A7B-611E-4339-9331-F4010B3DAF55}"/>
    <cellStyle name="Comma 4 4 2 2 5 2 3" xfId="12638" xr:uid="{0D37327B-E061-4D18-9B38-330F392CDC8C}"/>
    <cellStyle name="Comma 4 4 2 2 5 3" xfId="6282" xr:uid="{00000000-0005-0000-0000-0000DF090000}"/>
    <cellStyle name="Comma 4 4 2 2 5 3 2" xfId="14711" xr:uid="{CCF8A0DC-6568-4616-825B-15502F9510CD}"/>
    <cellStyle name="Comma 4 4 2 2 5 4" xfId="10493" xr:uid="{25645763-0FBF-41D4-B88F-031DA91F522F}"/>
    <cellStyle name="Comma 4 4 2 2 6" xfId="2409" xr:uid="{00000000-0005-0000-0000-0000E0090000}"/>
    <cellStyle name="Comma 4 4 2 2 6 2" xfId="6695" xr:uid="{00000000-0005-0000-0000-0000E1090000}"/>
    <cellStyle name="Comma 4 4 2 2 6 2 2" xfId="15124" xr:uid="{0301B0FF-BFFD-4884-944B-6488D53C1A76}"/>
    <cellStyle name="Comma 4 4 2 2 6 3" xfId="10906" xr:uid="{C9F2D505-C3A6-4554-85C2-C32F7A9008E7}"/>
    <cellStyle name="Comma 4 4 2 2 7" xfId="2705" xr:uid="{00000000-0005-0000-0000-0000E2090000}"/>
    <cellStyle name="Comma 4 4 2 2 8" xfId="2787" xr:uid="{00000000-0005-0000-0000-0000E3090000}"/>
    <cellStyle name="Comma 4 4 2 2 8 2" xfId="7012" xr:uid="{00000000-0005-0000-0000-0000E4090000}"/>
    <cellStyle name="Comma 4 4 2 2 8 2 2" xfId="15441" xr:uid="{C4B3EB07-28B2-4BBE-9D98-D4FD0369ABBD}"/>
    <cellStyle name="Comma 4 4 2 2 8 3" xfId="11223" xr:uid="{DE4958E4-81D8-4EA2-8752-2CF93A975502}"/>
    <cellStyle name="Comma 4 4 2 2 9" xfId="4629" xr:uid="{00000000-0005-0000-0000-0000E5090000}"/>
    <cellStyle name="Comma 4 4 2 2 9 2" xfId="13058" xr:uid="{99615457-FAFB-420C-B7F3-82FCC5D17039}"/>
    <cellStyle name="Comma 4 4 2 3" xfId="692" xr:uid="{00000000-0005-0000-0000-0000E6090000}"/>
    <cellStyle name="Comma 4 4 2 3 2" xfId="2963" xr:uid="{00000000-0005-0000-0000-0000E7090000}"/>
    <cellStyle name="Comma 4 4 2 3 2 2" xfId="7187" xr:uid="{00000000-0005-0000-0000-0000E8090000}"/>
    <cellStyle name="Comma 4 4 2 3 2 2 2" xfId="15616" xr:uid="{35FF0752-FEC1-4A19-A526-B9ECC1B61440}"/>
    <cellStyle name="Comma 4 4 2 3 2 3" xfId="11398" xr:uid="{8AB0F163-EEB5-403A-8326-2FE3B74DB543}"/>
    <cellStyle name="Comma 4 4 2 3 3" xfId="5042" xr:uid="{00000000-0005-0000-0000-0000E9090000}"/>
    <cellStyle name="Comma 4 4 2 3 3 2" xfId="13471" xr:uid="{6E65D67F-9DEB-43BD-A87A-BD7AB68BF0DE}"/>
    <cellStyle name="Comma 4 4 2 3 4" xfId="9253" xr:uid="{1B87827B-D1F1-438A-9DA4-6DEE6BE742D8}"/>
    <cellStyle name="Comma 4 4 2 4" xfId="1145" xr:uid="{00000000-0005-0000-0000-0000EA090000}"/>
    <cellStyle name="Comma 4 4 2 4 2" xfId="3376" xr:uid="{00000000-0005-0000-0000-0000EB090000}"/>
    <cellStyle name="Comma 4 4 2 4 2 2" xfId="7600" xr:uid="{00000000-0005-0000-0000-0000EC090000}"/>
    <cellStyle name="Comma 4 4 2 4 2 2 2" xfId="16029" xr:uid="{710BBF3C-3AF2-4343-A567-13AD26A0D3AD}"/>
    <cellStyle name="Comma 4 4 2 4 2 3" xfId="11811" xr:uid="{3F772F57-72A8-4363-95CF-C0CCBFB58666}"/>
    <cellStyle name="Comma 4 4 2 4 3" xfId="5455" xr:uid="{00000000-0005-0000-0000-0000ED090000}"/>
    <cellStyle name="Comma 4 4 2 4 3 2" xfId="13884" xr:uid="{94B65E4C-C3AA-444B-887F-37A3430F3CA1}"/>
    <cellStyle name="Comma 4 4 2 4 4" xfId="9666" xr:uid="{60637208-E302-467D-820D-1733F0F61523}"/>
    <cellStyle name="Comma 4 4 2 5" xfId="1559" xr:uid="{00000000-0005-0000-0000-0000EE090000}"/>
    <cellStyle name="Comma 4 4 2 5 2" xfId="3789" xr:uid="{00000000-0005-0000-0000-0000EF090000}"/>
    <cellStyle name="Comma 4 4 2 5 2 2" xfId="8013" xr:uid="{00000000-0005-0000-0000-0000F0090000}"/>
    <cellStyle name="Comma 4 4 2 5 2 2 2" xfId="16442" xr:uid="{3E784CA0-5634-4581-B250-1B99F99B4EC8}"/>
    <cellStyle name="Comma 4 4 2 5 2 3" xfId="12224" xr:uid="{9556722A-B46D-451B-A77C-DFF57C425643}"/>
    <cellStyle name="Comma 4 4 2 5 3" xfId="5868" xr:uid="{00000000-0005-0000-0000-0000F1090000}"/>
    <cellStyle name="Comma 4 4 2 5 3 2" xfId="14297" xr:uid="{3FA175B7-210E-4EC8-8B0B-8793A3814A1E}"/>
    <cellStyle name="Comma 4 4 2 5 4" xfId="10079" xr:uid="{E0ECA955-7EFD-4F8F-A0FF-74EA0081CE41}"/>
    <cellStyle name="Comma 4 4 2 6" xfId="1973" xr:uid="{00000000-0005-0000-0000-0000F2090000}"/>
    <cellStyle name="Comma 4 4 2 6 2" xfId="4202" xr:uid="{00000000-0005-0000-0000-0000F3090000}"/>
    <cellStyle name="Comma 4 4 2 6 2 2" xfId="8426" xr:uid="{00000000-0005-0000-0000-0000F4090000}"/>
    <cellStyle name="Comma 4 4 2 6 2 2 2" xfId="16855" xr:uid="{F155DF1A-C3D7-48E9-9562-54315DE86889}"/>
    <cellStyle name="Comma 4 4 2 6 2 3" xfId="12637" xr:uid="{075D9C19-94E8-4CD4-B81D-B2348254DB61}"/>
    <cellStyle name="Comma 4 4 2 6 3" xfId="6281" xr:uid="{00000000-0005-0000-0000-0000F5090000}"/>
    <cellStyle name="Comma 4 4 2 6 3 2" xfId="14710" xr:uid="{A09A1BF0-34D9-4733-912C-912BB55AAA06}"/>
    <cellStyle name="Comma 4 4 2 6 4" xfId="10492" xr:uid="{507C4E62-9EB6-4FBF-ADB9-849F1A113843}"/>
    <cellStyle name="Comma 4 4 2 7" xfId="2408" xr:uid="{00000000-0005-0000-0000-0000F6090000}"/>
    <cellStyle name="Comma 4 4 2 7 2" xfId="6694" xr:uid="{00000000-0005-0000-0000-0000F7090000}"/>
    <cellStyle name="Comma 4 4 2 7 2 2" xfId="15123" xr:uid="{45D6BA43-D77E-4C5F-90AD-2241B57AF5ED}"/>
    <cellStyle name="Comma 4 4 2 7 3" xfId="10905" xr:uid="{040211F8-B7C6-4FA3-8ABB-EDA5B647E4B3}"/>
    <cellStyle name="Comma 4 4 2 8" xfId="2704" xr:uid="{00000000-0005-0000-0000-0000F8090000}"/>
    <cellStyle name="Comma 4 4 2 9" xfId="2786" xr:uid="{00000000-0005-0000-0000-0000F9090000}"/>
    <cellStyle name="Comma 4 4 2 9 2" xfId="7011" xr:uid="{00000000-0005-0000-0000-0000FA090000}"/>
    <cellStyle name="Comma 4 4 2 9 2 2" xfId="15440" xr:uid="{C8AF62A9-FDC8-4940-8B8C-169F4C56007C}"/>
    <cellStyle name="Comma 4 4 2 9 3" xfId="11222" xr:uid="{86441A2E-B7D2-4BD9-84B1-424A11366601}"/>
    <cellStyle name="Comma 4 4 3" xfId="156" xr:uid="{00000000-0005-0000-0000-0000FB090000}"/>
    <cellStyle name="Comma 4 4 3 10" xfId="8841" xr:uid="{C7EC891F-1A0A-419E-AF23-32045A6E7230}"/>
    <cellStyle name="Comma 4 4 3 2" xfId="694" xr:uid="{00000000-0005-0000-0000-0000FC090000}"/>
    <cellStyle name="Comma 4 4 3 2 2" xfId="2965" xr:uid="{00000000-0005-0000-0000-0000FD090000}"/>
    <cellStyle name="Comma 4 4 3 2 2 2" xfId="7189" xr:uid="{00000000-0005-0000-0000-0000FE090000}"/>
    <cellStyle name="Comma 4 4 3 2 2 2 2" xfId="15618" xr:uid="{50EA1435-B04F-48C9-9AFD-CF1F4A66237F}"/>
    <cellStyle name="Comma 4 4 3 2 2 3" xfId="11400" xr:uid="{F04F3576-7780-48CB-886F-4848AFAE1258}"/>
    <cellStyle name="Comma 4 4 3 2 3" xfId="5044" xr:uid="{00000000-0005-0000-0000-0000FF090000}"/>
    <cellStyle name="Comma 4 4 3 2 3 2" xfId="13473" xr:uid="{D8D93177-2A57-4901-B354-3467C12FA3DB}"/>
    <cellStyle name="Comma 4 4 3 2 4" xfId="9255" xr:uid="{062463ED-0F72-4984-8632-C50587416005}"/>
    <cellStyle name="Comma 4 4 3 3" xfId="1147" xr:uid="{00000000-0005-0000-0000-0000000A0000}"/>
    <cellStyle name="Comma 4 4 3 3 2" xfId="3378" xr:uid="{00000000-0005-0000-0000-0000010A0000}"/>
    <cellStyle name="Comma 4 4 3 3 2 2" xfId="7602" xr:uid="{00000000-0005-0000-0000-0000020A0000}"/>
    <cellStyle name="Comma 4 4 3 3 2 2 2" xfId="16031" xr:uid="{BE36AF86-661E-44B4-AE33-A768F81EAF09}"/>
    <cellStyle name="Comma 4 4 3 3 2 3" xfId="11813" xr:uid="{F0E5E42D-B7AC-405E-9773-CF201D08FBAC}"/>
    <cellStyle name="Comma 4 4 3 3 3" xfId="5457" xr:uid="{00000000-0005-0000-0000-0000030A0000}"/>
    <cellStyle name="Comma 4 4 3 3 3 2" xfId="13886" xr:uid="{67DB6D7A-DBB9-4C32-B893-511D02A529A0}"/>
    <cellStyle name="Comma 4 4 3 3 4" xfId="9668" xr:uid="{3597710E-289E-4C29-967D-E79FD204B3B0}"/>
    <cellStyle name="Comma 4 4 3 4" xfId="1561" xr:uid="{00000000-0005-0000-0000-0000040A0000}"/>
    <cellStyle name="Comma 4 4 3 4 2" xfId="3791" xr:uid="{00000000-0005-0000-0000-0000050A0000}"/>
    <cellStyle name="Comma 4 4 3 4 2 2" xfId="8015" xr:uid="{00000000-0005-0000-0000-0000060A0000}"/>
    <cellStyle name="Comma 4 4 3 4 2 2 2" xfId="16444" xr:uid="{032D61F5-E547-4795-B5BF-DB3DA3CA2E6E}"/>
    <cellStyle name="Comma 4 4 3 4 2 3" xfId="12226" xr:uid="{529E4679-9884-46F1-A1F3-55C88477DF23}"/>
    <cellStyle name="Comma 4 4 3 4 3" xfId="5870" xr:uid="{00000000-0005-0000-0000-0000070A0000}"/>
    <cellStyle name="Comma 4 4 3 4 3 2" xfId="14299" xr:uid="{03F0571C-5A94-470E-A7C7-89E4F437919F}"/>
    <cellStyle name="Comma 4 4 3 4 4" xfId="10081" xr:uid="{CCE1862D-CC30-4BB2-8250-2AA5A50C5DF6}"/>
    <cellStyle name="Comma 4 4 3 5" xfId="1975" xr:uid="{00000000-0005-0000-0000-0000080A0000}"/>
    <cellStyle name="Comma 4 4 3 5 2" xfId="4204" xr:uid="{00000000-0005-0000-0000-0000090A0000}"/>
    <cellStyle name="Comma 4 4 3 5 2 2" xfId="8428" xr:uid="{00000000-0005-0000-0000-00000A0A0000}"/>
    <cellStyle name="Comma 4 4 3 5 2 2 2" xfId="16857" xr:uid="{B56CA5CE-740B-4521-908E-CF3A286E73A9}"/>
    <cellStyle name="Comma 4 4 3 5 2 3" xfId="12639" xr:uid="{B503AF0D-7354-433E-BD86-1343F083F668}"/>
    <cellStyle name="Comma 4 4 3 5 3" xfId="6283" xr:uid="{00000000-0005-0000-0000-00000B0A0000}"/>
    <cellStyle name="Comma 4 4 3 5 3 2" xfId="14712" xr:uid="{27D8C05C-FF7D-498A-A852-0733815B360C}"/>
    <cellStyle name="Comma 4 4 3 5 4" xfId="10494" xr:uid="{D1990C2A-06B1-423E-AB2F-1BBDBDB23F9E}"/>
    <cellStyle name="Comma 4 4 3 6" xfId="2410" xr:uid="{00000000-0005-0000-0000-00000C0A0000}"/>
    <cellStyle name="Comma 4 4 3 6 2" xfId="6696" xr:uid="{00000000-0005-0000-0000-00000D0A0000}"/>
    <cellStyle name="Comma 4 4 3 6 2 2" xfId="15125" xr:uid="{7684E950-D2B7-4D5F-84AD-3E41796DEE74}"/>
    <cellStyle name="Comma 4 4 3 6 3" xfId="10907" xr:uid="{49415DDE-5FE5-4E43-B2CB-B69D707DBC3B}"/>
    <cellStyle name="Comma 4 4 3 7" xfId="2706" xr:uid="{00000000-0005-0000-0000-00000E0A0000}"/>
    <cellStyle name="Comma 4 4 3 8" xfId="2788" xr:uid="{00000000-0005-0000-0000-00000F0A0000}"/>
    <cellStyle name="Comma 4 4 3 8 2" xfId="7013" xr:uid="{00000000-0005-0000-0000-0000100A0000}"/>
    <cellStyle name="Comma 4 4 3 8 2 2" xfId="15442" xr:uid="{BC14B646-DA95-4F6B-96E4-D610C2971915}"/>
    <cellStyle name="Comma 4 4 3 8 3" xfId="11224" xr:uid="{BC8E3D38-14BD-4019-9317-9895659A1693}"/>
    <cellStyle name="Comma 4 4 3 9" xfId="4630" xr:uid="{00000000-0005-0000-0000-0000110A0000}"/>
    <cellStyle name="Comma 4 4 3 9 2" xfId="13059" xr:uid="{B45980BE-C075-44C1-BA4B-069619FC6504}"/>
    <cellStyle name="Comma 4 4 4" xfId="691" xr:uid="{00000000-0005-0000-0000-0000120A0000}"/>
    <cellStyle name="Comma 4 4 4 2" xfId="2962" xr:uid="{00000000-0005-0000-0000-0000130A0000}"/>
    <cellStyle name="Comma 4 4 4 2 2" xfId="7186" xr:uid="{00000000-0005-0000-0000-0000140A0000}"/>
    <cellStyle name="Comma 4 4 4 2 2 2" xfId="15615" xr:uid="{3E160378-25BE-42D4-AB38-90068D6A5725}"/>
    <cellStyle name="Comma 4 4 4 2 3" xfId="11397" xr:uid="{7846C1E6-9A1C-441B-B45F-4D203B09A2FE}"/>
    <cellStyle name="Comma 4 4 4 3" xfId="5041" xr:uid="{00000000-0005-0000-0000-0000150A0000}"/>
    <cellStyle name="Comma 4 4 4 3 2" xfId="13470" xr:uid="{E73B2B56-2B19-4024-A99D-EC422F00F884}"/>
    <cellStyle name="Comma 4 4 4 4" xfId="9252" xr:uid="{68277A20-3AA6-4E77-BD51-981B58C04B77}"/>
    <cellStyle name="Comma 4 4 5" xfId="1144" xr:uid="{00000000-0005-0000-0000-0000160A0000}"/>
    <cellStyle name="Comma 4 4 5 2" xfId="3375" xr:uid="{00000000-0005-0000-0000-0000170A0000}"/>
    <cellStyle name="Comma 4 4 5 2 2" xfId="7599" xr:uid="{00000000-0005-0000-0000-0000180A0000}"/>
    <cellStyle name="Comma 4 4 5 2 2 2" xfId="16028" xr:uid="{FB9B6F28-63E2-4DFB-BECD-90418BF5D91C}"/>
    <cellStyle name="Comma 4 4 5 2 3" xfId="11810" xr:uid="{7FC504AA-6847-4506-AFC4-E3B72490EDB2}"/>
    <cellStyle name="Comma 4 4 5 3" xfId="5454" xr:uid="{00000000-0005-0000-0000-0000190A0000}"/>
    <cellStyle name="Comma 4 4 5 3 2" xfId="13883" xr:uid="{BD8CC6DC-F4DF-424D-8493-125057E564ED}"/>
    <cellStyle name="Comma 4 4 5 4" xfId="9665" xr:uid="{BA15DEE4-25B4-4202-B3E8-0D2419516CFA}"/>
    <cellStyle name="Comma 4 4 6" xfId="1558" xr:uid="{00000000-0005-0000-0000-00001A0A0000}"/>
    <cellStyle name="Comma 4 4 6 2" xfId="3788" xr:uid="{00000000-0005-0000-0000-00001B0A0000}"/>
    <cellStyle name="Comma 4 4 6 2 2" xfId="8012" xr:uid="{00000000-0005-0000-0000-00001C0A0000}"/>
    <cellStyle name="Comma 4 4 6 2 2 2" xfId="16441" xr:uid="{E22E0691-9217-4403-A155-E63B2B124A03}"/>
    <cellStyle name="Comma 4 4 6 2 3" xfId="12223" xr:uid="{A5752FC6-7037-407D-83B4-4DA42F13FC74}"/>
    <cellStyle name="Comma 4 4 6 3" xfId="5867" xr:uid="{00000000-0005-0000-0000-00001D0A0000}"/>
    <cellStyle name="Comma 4 4 6 3 2" xfId="14296" xr:uid="{D7C90713-FE92-4365-855F-E781CBB2360E}"/>
    <cellStyle name="Comma 4 4 6 4" xfId="10078" xr:uid="{65D3C8F8-7322-46DC-A93D-06F93505EE1C}"/>
    <cellStyle name="Comma 4 4 7" xfId="1972" xr:uid="{00000000-0005-0000-0000-00001E0A0000}"/>
    <cellStyle name="Comma 4 4 7 2" xfId="4201" xr:uid="{00000000-0005-0000-0000-00001F0A0000}"/>
    <cellStyle name="Comma 4 4 7 2 2" xfId="8425" xr:uid="{00000000-0005-0000-0000-0000200A0000}"/>
    <cellStyle name="Comma 4 4 7 2 2 2" xfId="16854" xr:uid="{5E21E069-852D-4D44-A1DC-C0A14E38D390}"/>
    <cellStyle name="Comma 4 4 7 2 3" xfId="12636" xr:uid="{2FDB54F7-A7DF-4D4B-B42D-59122F6C90BE}"/>
    <cellStyle name="Comma 4 4 7 3" xfId="6280" xr:uid="{00000000-0005-0000-0000-0000210A0000}"/>
    <cellStyle name="Comma 4 4 7 3 2" xfId="14709" xr:uid="{5E448BD2-DAA1-4B49-BA47-C83E5EA3D855}"/>
    <cellStyle name="Comma 4 4 7 4" xfId="10491" xr:uid="{E90D06BD-9C68-4266-85ED-96F1DB0D24FB}"/>
    <cellStyle name="Comma 4 4 8" xfId="2407" xr:uid="{00000000-0005-0000-0000-0000220A0000}"/>
    <cellStyle name="Comma 4 4 8 2" xfId="6693" xr:uid="{00000000-0005-0000-0000-0000230A0000}"/>
    <cellStyle name="Comma 4 4 8 2 2" xfId="15122" xr:uid="{C8170331-4DE9-4418-9153-9B1A5A5955A2}"/>
    <cellStyle name="Comma 4 4 8 3" xfId="10904" xr:uid="{A185CD21-CA43-4443-BF92-C5DF8CFC35EB}"/>
    <cellStyle name="Comma 4 4 9" xfId="2703" xr:uid="{00000000-0005-0000-0000-0000240A0000}"/>
    <cellStyle name="Comma 4 5" xfId="157" xr:uid="{00000000-0005-0000-0000-0000250A0000}"/>
    <cellStyle name="Comma 4 5 10" xfId="4631" xr:uid="{00000000-0005-0000-0000-0000260A0000}"/>
    <cellStyle name="Comma 4 5 10 2" xfId="13060" xr:uid="{3EDE37C8-1AC3-45B2-BBE0-F6B5699B6E97}"/>
    <cellStyle name="Comma 4 5 11" xfId="8842" xr:uid="{7F4EA659-483E-4E05-9B4C-B8099FBD4717}"/>
    <cellStyle name="Comma 4 5 2" xfId="158" xr:uid="{00000000-0005-0000-0000-0000270A0000}"/>
    <cellStyle name="Comma 4 5 2 10" xfId="8843" xr:uid="{E8A2EE6F-100D-49EF-BE4E-194CEF718C16}"/>
    <cellStyle name="Comma 4 5 2 2" xfId="696" xr:uid="{00000000-0005-0000-0000-0000280A0000}"/>
    <cellStyle name="Comma 4 5 2 2 2" xfId="2967" xr:uid="{00000000-0005-0000-0000-0000290A0000}"/>
    <cellStyle name="Comma 4 5 2 2 2 2" xfId="7191" xr:uid="{00000000-0005-0000-0000-00002A0A0000}"/>
    <cellStyle name="Comma 4 5 2 2 2 2 2" xfId="15620" xr:uid="{BEA8FD7A-B7E2-490A-9A99-F2C65C708693}"/>
    <cellStyle name="Comma 4 5 2 2 2 3" xfId="11402" xr:uid="{F8F02389-CF91-47D9-A7B0-9094A5FDD43B}"/>
    <cellStyle name="Comma 4 5 2 2 3" xfId="5046" xr:uid="{00000000-0005-0000-0000-00002B0A0000}"/>
    <cellStyle name="Comma 4 5 2 2 3 2" xfId="13475" xr:uid="{A3EC5EA2-36FE-45CF-949D-954AC7388A47}"/>
    <cellStyle name="Comma 4 5 2 2 4" xfId="9257" xr:uid="{4DD5ED66-0ABB-419A-90BA-873DDE8117EF}"/>
    <cellStyle name="Comma 4 5 2 3" xfId="1149" xr:uid="{00000000-0005-0000-0000-00002C0A0000}"/>
    <cellStyle name="Comma 4 5 2 3 2" xfId="3380" xr:uid="{00000000-0005-0000-0000-00002D0A0000}"/>
    <cellStyle name="Comma 4 5 2 3 2 2" xfId="7604" xr:uid="{00000000-0005-0000-0000-00002E0A0000}"/>
    <cellStyle name="Comma 4 5 2 3 2 2 2" xfId="16033" xr:uid="{4131595B-7892-4617-A54F-E23357DAC6F5}"/>
    <cellStyle name="Comma 4 5 2 3 2 3" xfId="11815" xr:uid="{094D7786-2E9A-44EB-8545-0EAABA1C347B}"/>
    <cellStyle name="Comma 4 5 2 3 3" xfId="5459" xr:uid="{00000000-0005-0000-0000-00002F0A0000}"/>
    <cellStyle name="Comma 4 5 2 3 3 2" xfId="13888" xr:uid="{0BCD1BF4-0BCD-4EE6-B708-9CC67D2E6500}"/>
    <cellStyle name="Comma 4 5 2 3 4" xfId="9670" xr:uid="{FE9C1998-0058-4139-A791-C41BB41A6172}"/>
    <cellStyle name="Comma 4 5 2 4" xfId="1563" xr:uid="{00000000-0005-0000-0000-0000300A0000}"/>
    <cellStyle name="Comma 4 5 2 4 2" xfId="3793" xr:uid="{00000000-0005-0000-0000-0000310A0000}"/>
    <cellStyle name="Comma 4 5 2 4 2 2" xfId="8017" xr:uid="{00000000-0005-0000-0000-0000320A0000}"/>
    <cellStyle name="Comma 4 5 2 4 2 2 2" xfId="16446" xr:uid="{650248D6-A6F2-4108-AB4C-38332DFF7C07}"/>
    <cellStyle name="Comma 4 5 2 4 2 3" xfId="12228" xr:uid="{12ED457E-7F38-4B46-9C65-487B38FA564F}"/>
    <cellStyle name="Comma 4 5 2 4 3" xfId="5872" xr:uid="{00000000-0005-0000-0000-0000330A0000}"/>
    <cellStyle name="Comma 4 5 2 4 3 2" xfId="14301" xr:uid="{75F512BB-9CF6-49E1-84DE-AA07DCC33F81}"/>
    <cellStyle name="Comma 4 5 2 4 4" xfId="10083" xr:uid="{F5729A50-D01B-411C-8E91-90F15C8C45CB}"/>
    <cellStyle name="Comma 4 5 2 5" xfId="1977" xr:uid="{00000000-0005-0000-0000-0000340A0000}"/>
    <cellStyle name="Comma 4 5 2 5 2" xfId="4206" xr:uid="{00000000-0005-0000-0000-0000350A0000}"/>
    <cellStyle name="Comma 4 5 2 5 2 2" xfId="8430" xr:uid="{00000000-0005-0000-0000-0000360A0000}"/>
    <cellStyle name="Comma 4 5 2 5 2 2 2" xfId="16859" xr:uid="{56E6ED19-4566-4A12-8073-9710ED25F099}"/>
    <cellStyle name="Comma 4 5 2 5 2 3" xfId="12641" xr:uid="{5B4404E0-2BA6-44CB-8E7C-CE4899AC6298}"/>
    <cellStyle name="Comma 4 5 2 5 3" xfId="6285" xr:uid="{00000000-0005-0000-0000-0000370A0000}"/>
    <cellStyle name="Comma 4 5 2 5 3 2" xfId="14714" xr:uid="{FC4EB201-F371-4C01-9AEB-302FF65C4859}"/>
    <cellStyle name="Comma 4 5 2 5 4" xfId="10496" xr:uid="{69D76901-D90F-49D6-AF40-8333239771DF}"/>
    <cellStyle name="Comma 4 5 2 6" xfId="2412" xr:uid="{00000000-0005-0000-0000-0000380A0000}"/>
    <cellStyle name="Comma 4 5 2 6 2" xfId="6698" xr:uid="{00000000-0005-0000-0000-0000390A0000}"/>
    <cellStyle name="Comma 4 5 2 6 2 2" xfId="15127" xr:uid="{B6145ABA-2F82-4957-8EBA-15EFA4F5D833}"/>
    <cellStyle name="Comma 4 5 2 6 3" xfId="10909" xr:uid="{66F70C5E-B5E7-448A-9C31-D8F4D7B7DDC0}"/>
    <cellStyle name="Comma 4 5 2 7" xfId="2708" xr:uid="{00000000-0005-0000-0000-00003A0A0000}"/>
    <cellStyle name="Comma 4 5 2 8" xfId="2790" xr:uid="{00000000-0005-0000-0000-00003B0A0000}"/>
    <cellStyle name="Comma 4 5 2 8 2" xfId="7015" xr:uid="{00000000-0005-0000-0000-00003C0A0000}"/>
    <cellStyle name="Comma 4 5 2 8 2 2" xfId="15444" xr:uid="{FD71D6E9-ECBF-4574-B28E-9699C5FF84E8}"/>
    <cellStyle name="Comma 4 5 2 8 3" xfId="11226" xr:uid="{93B4BD8F-2242-4746-96E9-C15B2DD46DFE}"/>
    <cellStyle name="Comma 4 5 2 9" xfId="4632" xr:uid="{00000000-0005-0000-0000-00003D0A0000}"/>
    <cellStyle name="Comma 4 5 2 9 2" xfId="13061" xr:uid="{A09729A8-0E13-4179-9314-4EBBBEF51B5F}"/>
    <cellStyle name="Comma 4 5 3" xfId="695" xr:uid="{00000000-0005-0000-0000-00003E0A0000}"/>
    <cellStyle name="Comma 4 5 3 2" xfId="2966" xr:uid="{00000000-0005-0000-0000-00003F0A0000}"/>
    <cellStyle name="Comma 4 5 3 2 2" xfId="7190" xr:uid="{00000000-0005-0000-0000-0000400A0000}"/>
    <cellStyle name="Comma 4 5 3 2 2 2" xfId="15619" xr:uid="{BD2D687A-45ED-46AD-9CAE-EBDD1A7D2BFD}"/>
    <cellStyle name="Comma 4 5 3 2 3" xfId="11401" xr:uid="{91F91650-9296-48AA-B748-587FA2067056}"/>
    <cellStyle name="Comma 4 5 3 3" xfId="5045" xr:uid="{00000000-0005-0000-0000-0000410A0000}"/>
    <cellStyle name="Comma 4 5 3 3 2" xfId="13474" xr:uid="{FB195C2E-75CF-4AF1-8557-12C3261D1F08}"/>
    <cellStyle name="Comma 4 5 3 4" xfId="9256" xr:uid="{92C51ACF-5C33-4347-AA4B-390C40712001}"/>
    <cellStyle name="Comma 4 5 4" xfId="1148" xr:uid="{00000000-0005-0000-0000-0000420A0000}"/>
    <cellStyle name="Comma 4 5 4 2" xfId="3379" xr:uid="{00000000-0005-0000-0000-0000430A0000}"/>
    <cellStyle name="Comma 4 5 4 2 2" xfId="7603" xr:uid="{00000000-0005-0000-0000-0000440A0000}"/>
    <cellStyle name="Comma 4 5 4 2 2 2" xfId="16032" xr:uid="{179C6749-16F8-453B-8BC1-385DCD224D4F}"/>
    <cellStyle name="Comma 4 5 4 2 3" xfId="11814" xr:uid="{358AE744-8B40-40E6-9533-238F5ECF4CDE}"/>
    <cellStyle name="Comma 4 5 4 3" xfId="5458" xr:uid="{00000000-0005-0000-0000-0000450A0000}"/>
    <cellStyle name="Comma 4 5 4 3 2" xfId="13887" xr:uid="{2C0E5C97-089E-4B6A-9A51-24B19A1C33B8}"/>
    <cellStyle name="Comma 4 5 4 4" xfId="9669" xr:uid="{EA76F13B-A970-4443-B69D-629C434B2605}"/>
    <cellStyle name="Comma 4 5 5" xfId="1562" xr:uid="{00000000-0005-0000-0000-0000460A0000}"/>
    <cellStyle name="Comma 4 5 5 2" xfId="3792" xr:uid="{00000000-0005-0000-0000-0000470A0000}"/>
    <cellStyle name="Comma 4 5 5 2 2" xfId="8016" xr:uid="{00000000-0005-0000-0000-0000480A0000}"/>
    <cellStyle name="Comma 4 5 5 2 2 2" xfId="16445" xr:uid="{88B2C360-1A3D-4D63-B53B-1521CF348E46}"/>
    <cellStyle name="Comma 4 5 5 2 3" xfId="12227" xr:uid="{542FD018-E867-4950-B64C-3A68325FAAFF}"/>
    <cellStyle name="Comma 4 5 5 3" xfId="5871" xr:uid="{00000000-0005-0000-0000-0000490A0000}"/>
    <cellStyle name="Comma 4 5 5 3 2" xfId="14300" xr:uid="{DA549A98-2E33-449E-AAB7-2B5E20E277B4}"/>
    <cellStyle name="Comma 4 5 5 4" xfId="10082" xr:uid="{219560B0-787F-4CD8-AC29-D8FD9C21B465}"/>
    <cellStyle name="Comma 4 5 6" xfId="1976" xr:uid="{00000000-0005-0000-0000-00004A0A0000}"/>
    <cellStyle name="Comma 4 5 6 2" xfId="4205" xr:uid="{00000000-0005-0000-0000-00004B0A0000}"/>
    <cellStyle name="Comma 4 5 6 2 2" xfId="8429" xr:uid="{00000000-0005-0000-0000-00004C0A0000}"/>
    <cellStyle name="Comma 4 5 6 2 2 2" xfId="16858" xr:uid="{19C471E4-4211-4AAF-9EC1-15DCB23E7A0A}"/>
    <cellStyle name="Comma 4 5 6 2 3" xfId="12640" xr:uid="{A2ECFB85-7B65-4EA8-BF7A-DB3537C60A05}"/>
    <cellStyle name="Comma 4 5 6 3" xfId="6284" xr:uid="{00000000-0005-0000-0000-00004D0A0000}"/>
    <cellStyle name="Comma 4 5 6 3 2" xfId="14713" xr:uid="{0A6ADC4C-A7C7-4B12-AEDC-33337D30CC00}"/>
    <cellStyle name="Comma 4 5 6 4" xfId="10495" xr:uid="{5B738752-423E-4E10-8561-2AA18898E1A7}"/>
    <cellStyle name="Comma 4 5 7" xfId="2411" xr:uid="{00000000-0005-0000-0000-00004E0A0000}"/>
    <cellStyle name="Comma 4 5 7 2" xfId="6697" xr:uid="{00000000-0005-0000-0000-00004F0A0000}"/>
    <cellStyle name="Comma 4 5 7 2 2" xfId="15126" xr:uid="{42CE539A-D18D-441F-883E-3C5785E91C45}"/>
    <cellStyle name="Comma 4 5 7 3" xfId="10908" xr:uid="{33A40E9D-4B86-4ACE-89E1-FA8986DE09F4}"/>
    <cellStyle name="Comma 4 5 8" xfId="2707" xr:uid="{00000000-0005-0000-0000-0000500A0000}"/>
    <cellStyle name="Comma 4 5 9" xfId="2789" xr:uid="{00000000-0005-0000-0000-0000510A0000}"/>
    <cellStyle name="Comma 4 5 9 2" xfId="7014" xr:uid="{00000000-0005-0000-0000-0000520A0000}"/>
    <cellStyle name="Comma 4 5 9 2 2" xfId="15443" xr:uid="{610B2E9D-F20F-4167-9429-C2A85018A3F7}"/>
    <cellStyle name="Comma 4 5 9 3" xfId="11225" xr:uid="{14A372C7-BBFF-4F36-8B9E-1046B19DA3D4}"/>
    <cellStyle name="Comma 4 6" xfId="159" xr:uid="{00000000-0005-0000-0000-0000530A0000}"/>
    <cellStyle name="Comma 4 6 10" xfId="8844" xr:uid="{33F41ABF-455A-48D6-9287-594C4D08F97F}"/>
    <cellStyle name="Comma 4 6 2" xfId="697" xr:uid="{00000000-0005-0000-0000-0000540A0000}"/>
    <cellStyle name="Comma 4 6 2 2" xfId="2968" xr:uid="{00000000-0005-0000-0000-0000550A0000}"/>
    <cellStyle name="Comma 4 6 2 2 2" xfId="7192" xr:uid="{00000000-0005-0000-0000-0000560A0000}"/>
    <cellStyle name="Comma 4 6 2 2 2 2" xfId="15621" xr:uid="{406FB1EC-479E-40D4-9F86-D7EE29AB3141}"/>
    <cellStyle name="Comma 4 6 2 2 3" xfId="11403" xr:uid="{D873BAC3-D39A-4743-A4BF-450671947910}"/>
    <cellStyle name="Comma 4 6 2 3" xfId="5047" xr:uid="{00000000-0005-0000-0000-0000570A0000}"/>
    <cellStyle name="Comma 4 6 2 3 2" xfId="13476" xr:uid="{E875AA74-3A74-4CF9-BB7D-82BC691583EA}"/>
    <cellStyle name="Comma 4 6 2 4" xfId="9258" xr:uid="{B59D33E6-2806-40F7-A472-B6AFBCE25ABB}"/>
    <cellStyle name="Comma 4 6 3" xfId="1150" xr:uid="{00000000-0005-0000-0000-0000580A0000}"/>
    <cellStyle name="Comma 4 6 3 2" xfId="3381" xr:uid="{00000000-0005-0000-0000-0000590A0000}"/>
    <cellStyle name="Comma 4 6 3 2 2" xfId="7605" xr:uid="{00000000-0005-0000-0000-00005A0A0000}"/>
    <cellStyle name="Comma 4 6 3 2 2 2" xfId="16034" xr:uid="{47E868FD-BD4E-4993-81FD-DCCB4D737581}"/>
    <cellStyle name="Comma 4 6 3 2 3" xfId="11816" xr:uid="{EAC221D5-E85E-4E2C-8038-FAE766614D45}"/>
    <cellStyle name="Comma 4 6 3 3" xfId="5460" xr:uid="{00000000-0005-0000-0000-00005B0A0000}"/>
    <cellStyle name="Comma 4 6 3 3 2" xfId="13889" xr:uid="{FB325190-E75E-4E41-8122-C15A8A3E03E3}"/>
    <cellStyle name="Comma 4 6 3 4" xfId="9671" xr:uid="{AA3D2B8B-7B0A-485B-9CB2-B560C368C38D}"/>
    <cellStyle name="Comma 4 6 4" xfId="1564" xr:uid="{00000000-0005-0000-0000-00005C0A0000}"/>
    <cellStyle name="Comma 4 6 4 2" xfId="3794" xr:uid="{00000000-0005-0000-0000-00005D0A0000}"/>
    <cellStyle name="Comma 4 6 4 2 2" xfId="8018" xr:uid="{00000000-0005-0000-0000-00005E0A0000}"/>
    <cellStyle name="Comma 4 6 4 2 2 2" xfId="16447" xr:uid="{13E55788-9906-4D5D-AA80-AEDD37D7ACDB}"/>
    <cellStyle name="Comma 4 6 4 2 3" xfId="12229" xr:uid="{FFB0EAB2-17FA-43DC-83EA-AAEB7E6CFC92}"/>
    <cellStyle name="Comma 4 6 4 3" xfId="5873" xr:uid="{00000000-0005-0000-0000-00005F0A0000}"/>
    <cellStyle name="Comma 4 6 4 3 2" xfId="14302" xr:uid="{84798306-3CC7-4D42-A98C-1FDD260AA8C6}"/>
    <cellStyle name="Comma 4 6 4 4" xfId="10084" xr:uid="{1C68C64E-C8E6-451B-8FF9-5FACFD2F5148}"/>
    <cellStyle name="Comma 4 6 5" xfId="1978" xr:uid="{00000000-0005-0000-0000-0000600A0000}"/>
    <cellStyle name="Comma 4 6 5 2" xfId="4207" xr:uid="{00000000-0005-0000-0000-0000610A0000}"/>
    <cellStyle name="Comma 4 6 5 2 2" xfId="8431" xr:uid="{00000000-0005-0000-0000-0000620A0000}"/>
    <cellStyle name="Comma 4 6 5 2 2 2" xfId="16860" xr:uid="{14BF3BA6-325E-430F-9BEE-DF7365875C89}"/>
    <cellStyle name="Comma 4 6 5 2 3" xfId="12642" xr:uid="{134B12BA-C852-4B94-841B-A5867FD9D565}"/>
    <cellStyle name="Comma 4 6 5 3" xfId="6286" xr:uid="{00000000-0005-0000-0000-0000630A0000}"/>
    <cellStyle name="Comma 4 6 5 3 2" xfId="14715" xr:uid="{B09C965A-D2E0-4FCB-8C17-45EE58541501}"/>
    <cellStyle name="Comma 4 6 5 4" xfId="10497" xr:uid="{AB982197-1CEB-483E-A804-8C6AA86CA2E0}"/>
    <cellStyle name="Comma 4 6 6" xfId="2413" xr:uid="{00000000-0005-0000-0000-0000640A0000}"/>
    <cellStyle name="Comma 4 6 6 2" xfId="6699" xr:uid="{00000000-0005-0000-0000-0000650A0000}"/>
    <cellStyle name="Comma 4 6 6 2 2" xfId="15128" xr:uid="{85BA73F7-1FBA-4DB9-A088-DB8CBFEDF6B9}"/>
    <cellStyle name="Comma 4 6 6 3" xfId="10910" xr:uid="{5E7F2991-A42E-43DF-B580-9B89C38A3319}"/>
    <cellStyle name="Comma 4 6 7" xfId="2709" xr:uid="{00000000-0005-0000-0000-0000660A0000}"/>
    <cellStyle name="Comma 4 6 8" xfId="2791" xr:uid="{00000000-0005-0000-0000-0000670A0000}"/>
    <cellStyle name="Comma 4 6 8 2" xfId="7016" xr:uid="{00000000-0005-0000-0000-0000680A0000}"/>
    <cellStyle name="Comma 4 6 8 2 2" xfId="15445" xr:uid="{B5F43267-A695-478D-846D-CE903875595D}"/>
    <cellStyle name="Comma 4 6 8 3" xfId="11227" xr:uid="{BB656F56-B28E-46A6-A264-531570B127B5}"/>
    <cellStyle name="Comma 4 6 9" xfId="4633" xr:uid="{00000000-0005-0000-0000-0000690A0000}"/>
    <cellStyle name="Comma 4 6 9 2" xfId="13062" xr:uid="{4195B619-0012-4018-8058-F4C8ED3F180F}"/>
    <cellStyle name="Comma 4 7" xfId="160" xr:uid="{00000000-0005-0000-0000-00006A0A0000}"/>
    <cellStyle name="Comma 4 7 10" xfId="8845" xr:uid="{0ECBE502-D1D2-4521-B00E-2C9F69D40AA1}"/>
    <cellStyle name="Comma 4 7 2" xfId="698" xr:uid="{00000000-0005-0000-0000-00006B0A0000}"/>
    <cellStyle name="Comma 4 7 2 2" xfId="2969" xr:uid="{00000000-0005-0000-0000-00006C0A0000}"/>
    <cellStyle name="Comma 4 7 2 2 2" xfId="7193" xr:uid="{00000000-0005-0000-0000-00006D0A0000}"/>
    <cellStyle name="Comma 4 7 2 2 2 2" xfId="15622" xr:uid="{F585C7DF-045E-443D-AA26-3D9BCC60CBD4}"/>
    <cellStyle name="Comma 4 7 2 2 3" xfId="11404" xr:uid="{6ABB10EF-1CCF-445C-97F5-5F3F7067A2FC}"/>
    <cellStyle name="Comma 4 7 2 3" xfId="5048" xr:uid="{00000000-0005-0000-0000-00006E0A0000}"/>
    <cellStyle name="Comma 4 7 2 3 2" xfId="13477" xr:uid="{F0C87559-C63A-4747-9C1A-84B117130F45}"/>
    <cellStyle name="Comma 4 7 2 4" xfId="9259" xr:uid="{810AFE3B-E1E8-42D0-A46E-00D35DFCA6CA}"/>
    <cellStyle name="Comma 4 7 3" xfId="1151" xr:uid="{00000000-0005-0000-0000-00006F0A0000}"/>
    <cellStyle name="Comma 4 7 3 2" xfId="3382" xr:uid="{00000000-0005-0000-0000-0000700A0000}"/>
    <cellStyle name="Comma 4 7 3 2 2" xfId="7606" xr:uid="{00000000-0005-0000-0000-0000710A0000}"/>
    <cellStyle name="Comma 4 7 3 2 2 2" xfId="16035" xr:uid="{9786A367-9522-4DA3-ACFB-3185A00AC009}"/>
    <cellStyle name="Comma 4 7 3 2 3" xfId="11817" xr:uid="{548A849B-CFE8-4107-B852-75250F9CB4E9}"/>
    <cellStyle name="Comma 4 7 3 3" xfId="5461" xr:uid="{00000000-0005-0000-0000-0000720A0000}"/>
    <cellStyle name="Comma 4 7 3 3 2" xfId="13890" xr:uid="{F792B081-D5E2-40B9-8DE5-CBB64A1F100F}"/>
    <cellStyle name="Comma 4 7 3 4" xfId="9672" xr:uid="{86EBA9D8-7E31-4E62-BAB3-3F36C34F4AE1}"/>
    <cellStyle name="Comma 4 7 4" xfId="1565" xr:uid="{00000000-0005-0000-0000-0000730A0000}"/>
    <cellStyle name="Comma 4 7 4 2" xfId="3795" xr:uid="{00000000-0005-0000-0000-0000740A0000}"/>
    <cellStyle name="Comma 4 7 4 2 2" xfId="8019" xr:uid="{00000000-0005-0000-0000-0000750A0000}"/>
    <cellStyle name="Comma 4 7 4 2 2 2" xfId="16448" xr:uid="{585AD366-BD27-4729-92E1-735BA0B39CD6}"/>
    <cellStyle name="Comma 4 7 4 2 3" xfId="12230" xr:uid="{40079D28-2E79-4E77-9903-6D12C27B3D87}"/>
    <cellStyle name="Comma 4 7 4 3" xfId="5874" xr:uid="{00000000-0005-0000-0000-0000760A0000}"/>
    <cellStyle name="Comma 4 7 4 3 2" xfId="14303" xr:uid="{C67D9944-065D-4656-884B-68A5B5E3E971}"/>
    <cellStyle name="Comma 4 7 4 4" xfId="10085" xr:uid="{F0ACBD1A-9222-4DA2-9B76-348C8EAFE344}"/>
    <cellStyle name="Comma 4 7 5" xfId="1979" xr:uid="{00000000-0005-0000-0000-0000770A0000}"/>
    <cellStyle name="Comma 4 7 5 2" xfId="4208" xr:uid="{00000000-0005-0000-0000-0000780A0000}"/>
    <cellStyle name="Comma 4 7 5 2 2" xfId="8432" xr:uid="{00000000-0005-0000-0000-0000790A0000}"/>
    <cellStyle name="Comma 4 7 5 2 2 2" xfId="16861" xr:uid="{5FBDA483-12C4-465B-8F95-89883E38125E}"/>
    <cellStyle name="Comma 4 7 5 2 3" xfId="12643" xr:uid="{11508AA2-BFA4-4DBF-AF90-FD3BD273DEA4}"/>
    <cellStyle name="Comma 4 7 5 3" xfId="6287" xr:uid="{00000000-0005-0000-0000-00007A0A0000}"/>
    <cellStyle name="Comma 4 7 5 3 2" xfId="14716" xr:uid="{06015C51-A21A-41FF-A0C7-A389F591BE77}"/>
    <cellStyle name="Comma 4 7 5 4" xfId="10498" xr:uid="{9403BC88-AFCB-442C-B388-9E232DBAF6B9}"/>
    <cellStyle name="Comma 4 7 6" xfId="2414" xr:uid="{00000000-0005-0000-0000-00007B0A0000}"/>
    <cellStyle name="Comma 4 7 6 2" xfId="6700" xr:uid="{00000000-0005-0000-0000-00007C0A0000}"/>
    <cellStyle name="Comma 4 7 6 2 2" xfId="15129" xr:uid="{BAF000D8-A291-49C4-A99B-3D376E2115D3}"/>
    <cellStyle name="Comma 4 7 6 3" xfId="10911" xr:uid="{AD0F11DA-D762-4F1F-BD9E-96C33EEAB155}"/>
    <cellStyle name="Comma 4 7 7" xfId="2710" xr:uid="{00000000-0005-0000-0000-00007D0A0000}"/>
    <cellStyle name="Comma 4 7 8" xfId="2792" xr:uid="{00000000-0005-0000-0000-00007E0A0000}"/>
    <cellStyle name="Comma 4 7 8 2" xfId="7017" xr:uid="{00000000-0005-0000-0000-00007F0A0000}"/>
    <cellStyle name="Comma 4 7 8 2 2" xfId="15446" xr:uid="{CCA46122-7873-4EB6-BEC5-9E39FCC0C290}"/>
    <cellStyle name="Comma 4 7 8 3" xfId="11228" xr:uid="{64EAE02F-0BFF-4363-863F-3D911EB086A8}"/>
    <cellStyle name="Comma 4 7 9" xfId="4634" xr:uid="{00000000-0005-0000-0000-0000800A0000}"/>
    <cellStyle name="Comma 4 7 9 2" xfId="13063" xr:uid="{B6DDA79A-8572-49B9-9436-AEABA9F3BC4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7 2" xfId="12931" xr:uid="{58DA8E20-C279-4340-B067-484229861084}"/>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14 2" xfId="12934" xr:uid="{51AE1FBB-EF60-4713-8C4E-588A356F100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0 2 2" xfId="15447" xr:uid="{4BAD1F2C-5D65-4E4D-9316-A8265BFC25FB}"/>
    <cellStyle name="Currency 3 2 2 10 3" xfId="11229" xr:uid="{4DB2E489-B7E8-4786-B60D-FD30A9B9DAB9}"/>
    <cellStyle name="Currency 3 2 2 11" xfId="4635" xr:uid="{00000000-0005-0000-0000-0000A50A0000}"/>
    <cellStyle name="Currency 3 2 2 11 2" xfId="13064" xr:uid="{204CC0C3-3BE9-4C35-A369-0EDD6D002AC7}"/>
    <cellStyle name="Currency 3 2 2 12" xfId="8846" xr:uid="{C7E037B7-DB01-4727-805F-9BE406F114B3}"/>
    <cellStyle name="Currency 3 2 2 2" xfId="179" xr:uid="{00000000-0005-0000-0000-0000A60A0000}"/>
    <cellStyle name="Currency 3 2 2 2 10" xfId="4636" xr:uid="{00000000-0005-0000-0000-0000A70A0000}"/>
    <cellStyle name="Currency 3 2 2 2 10 2" xfId="13065" xr:uid="{A6AE8602-D6B5-454E-A995-EDFC7B0111E2}"/>
    <cellStyle name="Currency 3 2 2 2 11" xfId="8847" xr:uid="{306F4B95-B7D5-4BA9-9D72-93059BF5C7FB}"/>
    <cellStyle name="Currency 3 2 2 2 2" xfId="180" xr:uid="{00000000-0005-0000-0000-0000A80A0000}"/>
    <cellStyle name="Currency 3 2 2 2 2 10" xfId="8848" xr:uid="{5D131ED1-0443-4876-BE12-8A4B37E8EFC3}"/>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2 2 2" xfId="15625" xr:uid="{4C9F82FF-790B-48FE-9ADC-C9A6DBCBB209}"/>
    <cellStyle name="Currency 3 2 2 2 2 2 2 3" xfId="11407" xr:uid="{2780F7FD-8162-4FF4-9D20-B3BA820C3F46}"/>
    <cellStyle name="Currency 3 2 2 2 2 2 3" xfId="5051" xr:uid="{00000000-0005-0000-0000-0000AC0A0000}"/>
    <cellStyle name="Currency 3 2 2 2 2 2 3 2" xfId="13480" xr:uid="{00C7D828-FC91-4AA2-A647-5D902F4E4C13}"/>
    <cellStyle name="Currency 3 2 2 2 2 2 4" xfId="9262" xr:uid="{B3F1B5AF-3476-4737-93B3-64415BC63CD2}"/>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2 2 2" xfId="16038" xr:uid="{BB53D202-144B-48B8-89F9-A527B4984A6F}"/>
    <cellStyle name="Currency 3 2 2 2 2 3 2 3" xfId="11820" xr:uid="{F8AA3D09-2F45-49FC-BE2E-6F825BB99E44}"/>
    <cellStyle name="Currency 3 2 2 2 2 3 3" xfId="5464" xr:uid="{00000000-0005-0000-0000-0000B00A0000}"/>
    <cellStyle name="Currency 3 2 2 2 2 3 3 2" xfId="13893" xr:uid="{B47666A3-25EA-4FA9-A701-E42C4D756ACA}"/>
    <cellStyle name="Currency 3 2 2 2 2 3 4" xfId="9675" xr:uid="{0007C039-C959-40E9-B9E5-1760A7E80C8D}"/>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2 2 2" xfId="16451" xr:uid="{8172FB80-C07C-4639-B093-A8B55AB8F04D}"/>
    <cellStyle name="Currency 3 2 2 2 2 4 2 3" xfId="12233" xr:uid="{D9AE53F5-597E-43B2-BEAF-C523A7F090DA}"/>
    <cellStyle name="Currency 3 2 2 2 2 4 3" xfId="5877" xr:uid="{00000000-0005-0000-0000-0000B40A0000}"/>
    <cellStyle name="Currency 3 2 2 2 2 4 3 2" xfId="14306" xr:uid="{AED31DB9-4433-4329-A1EF-453E9787DE05}"/>
    <cellStyle name="Currency 3 2 2 2 2 4 4" xfId="10088" xr:uid="{59FE9119-F7A2-4704-83BD-F2EB5BEB2B66}"/>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2 2 2" xfId="16864" xr:uid="{B285B84C-5A24-41B1-AA04-5BCAD32675FE}"/>
    <cellStyle name="Currency 3 2 2 2 2 5 2 3" xfId="12646" xr:uid="{A2BA71C1-40F3-4259-B3D0-22927B48F740}"/>
    <cellStyle name="Currency 3 2 2 2 2 5 3" xfId="6290" xr:uid="{00000000-0005-0000-0000-0000B80A0000}"/>
    <cellStyle name="Currency 3 2 2 2 2 5 3 2" xfId="14719" xr:uid="{4F7CD2D7-F6A7-4846-B7EB-529B03E3AE97}"/>
    <cellStyle name="Currency 3 2 2 2 2 5 4" xfId="10501" xr:uid="{6BB4F934-3478-4496-ABEB-1A2172CE3366}"/>
    <cellStyle name="Currency 3 2 2 2 2 6" xfId="2417" xr:uid="{00000000-0005-0000-0000-0000B90A0000}"/>
    <cellStyle name="Currency 3 2 2 2 2 6 2" xfId="6703" xr:uid="{00000000-0005-0000-0000-0000BA0A0000}"/>
    <cellStyle name="Currency 3 2 2 2 2 6 2 2" xfId="15132" xr:uid="{C2D13CE7-CCE0-41E6-BE1B-521BEF398D92}"/>
    <cellStyle name="Currency 3 2 2 2 2 6 3" xfId="10914" xr:uid="{05B9041E-76C6-4EDF-AA68-59108BF98B75}"/>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8 2 2" xfId="15449" xr:uid="{9D2EFB63-3AE5-48B1-AFBF-8B30E065BD12}"/>
    <cellStyle name="Currency 3 2 2 2 2 8 3" xfId="11231" xr:uid="{435DD69B-E174-4DD1-BC8D-1EF54DB47298}"/>
    <cellStyle name="Currency 3 2 2 2 2 9" xfId="4637" xr:uid="{00000000-0005-0000-0000-0000BE0A0000}"/>
    <cellStyle name="Currency 3 2 2 2 2 9 2" xfId="13066" xr:uid="{2DE5A32C-BF94-4D7D-A0B7-48454700CB0E}"/>
    <cellStyle name="Currency 3 2 2 2 3" xfId="710" xr:uid="{00000000-0005-0000-0000-0000BF0A0000}"/>
    <cellStyle name="Currency 3 2 2 2 3 2" xfId="2971" xr:uid="{00000000-0005-0000-0000-0000C00A0000}"/>
    <cellStyle name="Currency 3 2 2 2 3 2 2" xfId="7195" xr:uid="{00000000-0005-0000-0000-0000C10A0000}"/>
    <cellStyle name="Currency 3 2 2 2 3 2 2 2" xfId="15624" xr:uid="{DBF4B3F9-3BAA-4BB6-952F-8667BCF3DC92}"/>
    <cellStyle name="Currency 3 2 2 2 3 2 3" xfId="11406" xr:uid="{DE1BB2E9-36D5-46E9-8786-ABDA538050BA}"/>
    <cellStyle name="Currency 3 2 2 2 3 3" xfId="5050" xr:uid="{00000000-0005-0000-0000-0000C20A0000}"/>
    <cellStyle name="Currency 3 2 2 2 3 3 2" xfId="13479" xr:uid="{0B2DB8A7-AF15-4C5A-9085-E8014BB2E5BC}"/>
    <cellStyle name="Currency 3 2 2 2 3 4" xfId="9261" xr:uid="{75FF6890-D44E-4454-92F9-1881CAF7C56B}"/>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2 2 2" xfId="16037" xr:uid="{EB3BCA8A-7A15-45B2-9331-9202FD528E68}"/>
    <cellStyle name="Currency 3 2 2 2 4 2 3" xfId="11819" xr:uid="{5D16E0EA-FD52-430A-A82D-6BA9A8FA0E8F}"/>
    <cellStyle name="Currency 3 2 2 2 4 3" xfId="5463" xr:uid="{00000000-0005-0000-0000-0000C60A0000}"/>
    <cellStyle name="Currency 3 2 2 2 4 3 2" xfId="13892" xr:uid="{CD6C051F-D560-4A91-9352-03A929908E23}"/>
    <cellStyle name="Currency 3 2 2 2 4 4" xfId="9674" xr:uid="{2F88394A-F8D9-4F9B-BA63-A5F44CCD9CE1}"/>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2 2 2" xfId="16450" xr:uid="{2B1DE619-DEF8-4BC2-AD34-CC91032484BA}"/>
    <cellStyle name="Currency 3 2 2 2 5 2 3" xfId="12232" xr:uid="{7A4CC9A6-0D43-49A5-BF4F-570E56B52631}"/>
    <cellStyle name="Currency 3 2 2 2 5 3" xfId="5876" xr:uid="{00000000-0005-0000-0000-0000CA0A0000}"/>
    <cellStyle name="Currency 3 2 2 2 5 3 2" xfId="14305" xr:uid="{F9C50A99-E188-48C0-8134-76CD7F9BADFC}"/>
    <cellStyle name="Currency 3 2 2 2 5 4" xfId="10087" xr:uid="{4B1467F3-BD56-4710-929B-2D7A48085677}"/>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2 2 2" xfId="16863" xr:uid="{0A87880D-490B-4D4C-945F-6E64FAEFC2E5}"/>
    <cellStyle name="Currency 3 2 2 2 6 2 3" xfId="12645" xr:uid="{F110BFD0-8CD9-49A3-8EFE-B0E092E8A77B}"/>
    <cellStyle name="Currency 3 2 2 2 6 3" xfId="6289" xr:uid="{00000000-0005-0000-0000-0000CE0A0000}"/>
    <cellStyle name="Currency 3 2 2 2 6 3 2" xfId="14718" xr:uid="{15809BC6-A704-4070-B0FC-79B632D1BADC}"/>
    <cellStyle name="Currency 3 2 2 2 6 4" xfId="10500" xr:uid="{8CA2F49F-DF91-4CD5-8A81-D41663329A9B}"/>
    <cellStyle name="Currency 3 2 2 2 7" xfId="2416" xr:uid="{00000000-0005-0000-0000-0000CF0A0000}"/>
    <cellStyle name="Currency 3 2 2 2 7 2" xfId="6702" xr:uid="{00000000-0005-0000-0000-0000D00A0000}"/>
    <cellStyle name="Currency 3 2 2 2 7 2 2" xfId="15131" xr:uid="{A8868EB3-6129-486E-98E3-C9488B5AFA6E}"/>
    <cellStyle name="Currency 3 2 2 2 7 3" xfId="10913" xr:uid="{E8ED5F2E-4917-454C-83A5-C29F4BB15520}"/>
    <cellStyle name="Currency 3 2 2 2 8" xfId="2713" xr:uid="{00000000-0005-0000-0000-0000D10A0000}"/>
    <cellStyle name="Currency 3 2 2 2 9" xfId="2794" xr:uid="{00000000-0005-0000-0000-0000D20A0000}"/>
    <cellStyle name="Currency 3 2 2 2 9 2" xfId="7019" xr:uid="{00000000-0005-0000-0000-0000D30A0000}"/>
    <cellStyle name="Currency 3 2 2 2 9 2 2" xfId="15448" xr:uid="{93BA27BF-E3CF-498A-897E-5920886E9D17}"/>
    <cellStyle name="Currency 3 2 2 2 9 3" xfId="11230" xr:uid="{59A6A0E7-9F00-4E79-82D5-A835BD72CBC3}"/>
    <cellStyle name="Currency 3 2 2 3" xfId="181" xr:uid="{00000000-0005-0000-0000-0000D40A0000}"/>
    <cellStyle name="Currency 3 2 2 3 10" xfId="8849" xr:uid="{E90C12FA-2685-47E2-951C-A66CC3C650B8}"/>
    <cellStyle name="Currency 3 2 2 3 2" xfId="712" xr:uid="{00000000-0005-0000-0000-0000D50A0000}"/>
    <cellStyle name="Currency 3 2 2 3 2 2" xfId="2973" xr:uid="{00000000-0005-0000-0000-0000D60A0000}"/>
    <cellStyle name="Currency 3 2 2 3 2 2 2" xfId="7197" xr:uid="{00000000-0005-0000-0000-0000D70A0000}"/>
    <cellStyle name="Currency 3 2 2 3 2 2 2 2" xfId="15626" xr:uid="{4AA75173-1AAA-414C-911F-6D32507999BB}"/>
    <cellStyle name="Currency 3 2 2 3 2 2 3" xfId="11408" xr:uid="{2FB5D523-0D0A-4490-867B-AA4805D77DC8}"/>
    <cellStyle name="Currency 3 2 2 3 2 3" xfId="5052" xr:uid="{00000000-0005-0000-0000-0000D80A0000}"/>
    <cellStyle name="Currency 3 2 2 3 2 3 2" xfId="13481" xr:uid="{71C3834D-9217-4EDF-8C4C-E1B2E70743B1}"/>
    <cellStyle name="Currency 3 2 2 3 2 4" xfId="9263" xr:uid="{49F03031-D49E-4161-9404-46A974074EE9}"/>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2 2 2" xfId="16039" xr:uid="{AEFDC4EC-DD78-4A33-AFCC-32D3AB4E9F33}"/>
    <cellStyle name="Currency 3 2 2 3 3 2 3" xfId="11821" xr:uid="{47D0EF1C-DD6A-4BA3-A648-E98886B81F0F}"/>
    <cellStyle name="Currency 3 2 2 3 3 3" xfId="5465" xr:uid="{00000000-0005-0000-0000-0000DC0A0000}"/>
    <cellStyle name="Currency 3 2 2 3 3 3 2" xfId="13894" xr:uid="{2A6B702A-5026-4334-AE07-CF297183EF99}"/>
    <cellStyle name="Currency 3 2 2 3 3 4" xfId="9676" xr:uid="{C75F6540-A5D1-421F-B32E-39A642F6D89A}"/>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2 2 2" xfId="16452" xr:uid="{6A514DFA-AB98-48B7-8C4C-B030272EEE73}"/>
    <cellStyle name="Currency 3 2 2 3 4 2 3" xfId="12234" xr:uid="{C1B88556-F5CD-42D3-A1AC-92933AAA5019}"/>
    <cellStyle name="Currency 3 2 2 3 4 3" xfId="5878" xr:uid="{00000000-0005-0000-0000-0000E00A0000}"/>
    <cellStyle name="Currency 3 2 2 3 4 3 2" xfId="14307" xr:uid="{07BCBBF7-FE57-4208-9D07-92581CAF5D7E}"/>
    <cellStyle name="Currency 3 2 2 3 4 4" xfId="10089" xr:uid="{240DC2DC-FDE3-4378-BDC8-D9BF3FFFDF0E}"/>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2 2 2" xfId="16865" xr:uid="{CC74DF18-B08D-459B-87E1-B450D29370DE}"/>
    <cellStyle name="Currency 3 2 2 3 5 2 3" xfId="12647" xr:uid="{1685D30A-6B5F-429B-8467-10BA7BC65A48}"/>
    <cellStyle name="Currency 3 2 2 3 5 3" xfId="6291" xr:uid="{00000000-0005-0000-0000-0000E40A0000}"/>
    <cellStyle name="Currency 3 2 2 3 5 3 2" xfId="14720" xr:uid="{5AE9552C-D482-428E-8A9F-4957B31123B4}"/>
    <cellStyle name="Currency 3 2 2 3 5 4" xfId="10502" xr:uid="{6CCBC1E5-3DFB-422A-9D7D-A235EA357AC3}"/>
    <cellStyle name="Currency 3 2 2 3 6" xfId="2418" xr:uid="{00000000-0005-0000-0000-0000E50A0000}"/>
    <cellStyle name="Currency 3 2 2 3 6 2" xfId="6704" xr:uid="{00000000-0005-0000-0000-0000E60A0000}"/>
    <cellStyle name="Currency 3 2 2 3 6 2 2" xfId="15133" xr:uid="{70AD7F1C-DA1C-4C51-BC1F-241D53DA8F83}"/>
    <cellStyle name="Currency 3 2 2 3 6 3" xfId="10915" xr:uid="{AE5DF766-50D5-42F9-8943-8211803E6804}"/>
    <cellStyle name="Currency 3 2 2 3 7" xfId="2715" xr:uid="{00000000-0005-0000-0000-0000E70A0000}"/>
    <cellStyle name="Currency 3 2 2 3 8" xfId="2796" xr:uid="{00000000-0005-0000-0000-0000E80A0000}"/>
    <cellStyle name="Currency 3 2 2 3 8 2" xfId="7021" xr:uid="{00000000-0005-0000-0000-0000E90A0000}"/>
    <cellStyle name="Currency 3 2 2 3 8 2 2" xfId="15450" xr:uid="{AA9DD9D7-926A-4873-812B-39C498C0C86D}"/>
    <cellStyle name="Currency 3 2 2 3 8 3" xfId="11232" xr:uid="{5C9A1397-9823-46CB-948A-1539ADAF4950}"/>
    <cellStyle name="Currency 3 2 2 3 9" xfId="4638" xr:uid="{00000000-0005-0000-0000-0000EA0A0000}"/>
    <cellStyle name="Currency 3 2 2 3 9 2" xfId="13067" xr:uid="{7413CB8F-E87F-4251-B2C2-F96235AC915B}"/>
    <cellStyle name="Currency 3 2 2 4" xfId="709" xr:uid="{00000000-0005-0000-0000-0000EB0A0000}"/>
    <cellStyle name="Currency 3 2 2 4 2" xfId="2970" xr:uid="{00000000-0005-0000-0000-0000EC0A0000}"/>
    <cellStyle name="Currency 3 2 2 4 2 2" xfId="7194" xr:uid="{00000000-0005-0000-0000-0000ED0A0000}"/>
    <cellStyle name="Currency 3 2 2 4 2 2 2" xfId="15623" xr:uid="{BDEDD708-DE17-4D26-9C3C-5F96725F1356}"/>
    <cellStyle name="Currency 3 2 2 4 2 3" xfId="11405" xr:uid="{A4F98D4F-BCD3-4B48-AB77-171E5EB83D01}"/>
    <cellStyle name="Currency 3 2 2 4 3" xfId="5049" xr:uid="{00000000-0005-0000-0000-0000EE0A0000}"/>
    <cellStyle name="Currency 3 2 2 4 3 2" xfId="13478" xr:uid="{C01F253D-A5A8-4CB3-84CB-3CC7D93A14A0}"/>
    <cellStyle name="Currency 3 2 2 4 4" xfId="9260" xr:uid="{8FF7A160-7D6B-4F3B-B2B3-F224B43C09B4}"/>
    <cellStyle name="Currency 3 2 2 5" xfId="1152" xr:uid="{00000000-0005-0000-0000-0000EF0A0000}"/>
    <cellStyle name="Currency 3 2 2 5 2" xfId="3383" xr:uid="{00000000-0005-0000-0000-0000F00A0000}"/>
    <cellStyle name="Currency 3 2 2 5 2 2" xfId="7607" xr:uid="{00000000-0005-0000-0000-0000F10A0000}"/>
    <cellStyle name="Currency 3 2 2 5 2 2 2" xfId="16036" xr:uid="{06DFB7D3-E709-43A9-9B3C-4F2852AB55AD}"/>
    <cellStyle name="Currency 3 2 2 5 2 3" xfId="11818" xr:uid="{9A844B70-C720-4E0F-B1FE-0653059754A8}"/>
    <cellStyle name="Currency 3 2 2 5 3" xfId="5462" xr:uid="{00000000-0005-0000-0000-0000F20A0000}"/>
    <cellStyle name="Currency 3 2 2 5 3 2" xfId="13891" xr:uid="{CB0050FB-521C-4C52-9443-1E7700F128B1}"/>
    <cellStyle name="Currency 3 2 2 5 4" xfId="9673" xr:uid="{5534DE77-841A-49DB-B3FF-90FBF95ACD0F}"/>
    <cellStyle name="Currency 3 2 2 6" xfId="1566" xr:uid="{00000000-0005-0000-0000-0000F30A0000}"/>
    <cellStyle name="Currency 3 2 2 6 2" xfId="3796" xr:uid="{00000000-0005-0000-0000-0000F40A0000}"/>
    <cellStyle name="Currency 3 2 2 6 2 2" xfId="8020" xr:uid="{00000000-0005-0000-0000-0000F50A0000}"/>
    <cellStyle name="Currency 3 2 2 6 2 2 2" xfId="16449" xr:uid="{7B597CB3-D0D3-4687-A938-5276EEC4B7E8}"/>
    <cellStyle name="Currency 3 2 2 6 2 3" xfId="12231" xr:uid="{71D284EA-B483-45EE-BDEA-41314AA508D2}"/>
    <cellStyle name="Currency 3 2 2 6 3" xfId="5875" xr:uid="{00000000-0005-0000-0000-0000F60A0000}"/>
    <cellStyle name="Currency 3 2 2 6 3 2" xfId="14304" xr:uid="{ABF722F2-0496-4AE4-8C2B-465766EB1D92}"/>
    <cellStyle name="Currency 3 2 2 6 4" xfId="10086" xr:uid="{0EB3DCA3-6113-411B-A7A5-401EDC444E18}"/>
    <cellStyle name="Currency 3 2 2 7" xfId="1980" xr:uid="{00000000-0005-0000-0000-0000F70A0000}"/>
    <cellStyle name="Currency 3 2 2 7 2" xfId="4209" xr:uid="{00000000-0005-0000-0000-0000F80A0000}"/>
    <cellStyle name="Currency 3 2 2 7 2 2" xfId="8433" xr:uid="{00000000-0005-0000-0000-0000F90A0000}"/>
    <cellStyle name="Currency 3 2 2 7 2 2 2" xfId="16862" xr:uid="{DB3A8440-A434-425D-BD59-7B50DBEEB150}"/>
    <cellStyle name="Currency 3 2 2 7 2 3" xfId="12644" xr:uid="{D1B64B17-68DB-4E7A-A548-FB0D66675DF2}"/>
    <cellStyle name="Currency 3 2 2 7 3" xfId="6288" xr:uid="{00000000-0005-0000-0000-0000FA0A0000}"/>
    <cellStyle name="Currency 3 2 2 7 3 2" xfId="14717" xr:uid="{727C0241-CE1F-4E62-B768-1F09B7BD1D93}"/>
    <cellStyle name="Currency 3 2 2 7 4" xfId="10499" xr:uid="{BAECF7A2-329B-4F57-9E15-1F6B4E46BDB6}"/>
    <cellStyle name="Currency 3 2 2 8" xfId="2415" xr:uid="{00000000-0005-0000-0000-0000FB0A0000}"/>
    <cellStyle name="Currency 3 2 2 8 2" xfId="6701" xr:uid="{00000000-0005-0000-0000-0000FC0A0000}"/>
    <cellStyle name="Currency 3 2 2 8 2 2" xfId="15130" xr:uid="{B50656F4-75E1-49F9-A0BE-7E1034A2C2EB}"/>
    <cellStyle name="Currency 3 2 2 8 3" xfId="10912" xr:uid="{17AB7502-2ADC-4093-BE38-4611906B3F00}"/>
    <cellStyle name="Currency 3 2 2 9" xfId="2712" xr:uid="{00000000-0005-0000-0000-0000FD0A0000}"/>
    <cellStyle name="Currency 3 2 3" xfId="182" xr:uid="{00000000-0005-0000-0000-0000FE0A0000}"/>
    <cellStyle name="Currency 3 2 3 10" xfId="4639" xr:uid="{00000000-0005-0000-0000-0000FF0A0000}"/>
    <cellStyle name="Currency 3 2 3 10 2" xfId="13068" xr:uid="{D865A39F-E2E8-4E29-9A00-2636EA62090A}"/>
    <cellStyle name="Currency 3 2 3 11" xfId="8850" xr:uid="{A3623045-478A-430B-A6C4-0BF29E7994FD}"/>
    <cellStyle name="Currency 3 2 3 2" xfId="183" xr:uid="{00000000-0005-0000-0000-0000000B0000}"/>
    <cellStyle name="Currency 3 2 3 2 10" xfId="8851" xr:uid="{F4B028E0-90CA-49DF-853D-53369CA81599}"/>
    <cellStyle name="Currency 3 2 3 2 2" xfId="714" xr:uid="{00000000-0005-0000-0000-0000010B0000}"/>
    <cellStyle name="Currency 3 2 3 2 2 2" xfId="2975" xr:uid="{00000000-0005-0000-0000-0000020B0000}"/>
    <cellStyle name="Currency 3 2 3 2 2 2 2" xfId="7199" xr:uid="{00000000-0005-0000-0000-0000030B0000}"/>
    <cellStyle name="Currency 3 2 3 2 2 2 2 2" xfId="15628" xr:uid="{214AD9DA-4B82-482A-8DD8-8273681F6586}"/>
    <cellStyle name="Currency 3 2 3 2 2 2 3" xfId="11410" xr:uid="{117C125F-F787-43D2-8D51-871122019EBF}"/>
    <cellStyle name="Currency 3 2 3 2 2 3" xfId="5054" xr:uid="{00000000-0005-0000-0000-0000040B0000}"/>
    <cellStyle name="Currency 3 2 3 2 2 3 2" xfId="13483" xr:uid="{822B0174-F09F-4FDC-975C-DDDA5A3344F4}"/>
    <cellStyle name="Currency 3 2 3 2 2 4" xfId="9265" xr:uid="{9EE9A9F7-2A4F-4B1F-A419-BDCC22A13BB4}"/>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2 2 2" xfId="16041" xr:uid="{B5B6C11D-6AA5-4B80-8573-EDE7A68CC261}"/>
    <cellStyle name="Currency 3 2 3 2 3 2 3" xfId="11823" xr:uid="{DA0A1DD9-FDF7-4164-8D9A-6136E0A555A6}"/>
    <cellStyle name="Currency 3 2 3 2 3 3" xfId="5467" xr:uid="{00000000-0005-0000-0000-0000080B0000}"/>
    <cellStyle name="Currency 3 2 3 2 3 3 2" xfId="13896" xr:uid="{9CF1D8CE-BE1C-4F4C-AB6A-EA640DC6C8D7}"/>
    <cellStyle name="Currency 3 2 3 2 3 4" xfId="9678" xr:uid="{1D4F2594-8067-4C37-80C3-FE13660AA4DC}"/>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2 2 2" xfId="16454" xr:uid="{8F300E11-42F9-4D1B-A03F-F85AEE3AA487}"/>
    <cellStyle name="Currency 3 2 3 2 4 2 3" xfId="12236" xr:uid="{0D51A9AE-F658-46DD-A6F6-E028F7C0987B}"/>
    <cellStyle name="Currency 3 2 3 2 4 3" xfId="5880" xr:uid="{00000000-0005-0000-0000-00000C0B0000}"/>
    <cellStyle name="Currency 3 2 3 2 4 3 2" xfId="14309" xr:uid="{04783F9C-CE96-47F3-B72F-DD8BF9B3AE10}"/>
    <cellStyle name="Currency 3 2 3 2 4 4" xfId="10091" xr:uid="{1A4DB4BA-4C7D-4555-95E6-86C11E5A1E2E}"/>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2 2 2" xfId="16867" xr:uid="{C4AD0336-6F42-4906-AB23-9C6F87EF47DD}"/>
    <cellStyle name="Currency 3 2 3 2 5 2 3" xfId="12649" xr:uid="{8B1382BA-23F6-441A-917A-832C1424DE5F}"/>
    <cellStyle name="Currency 3 2 3 2 5 3" xfId="6293" xr:uid="{00000000-0005-0000-0000-0000100B0000}"/>
    <cellStyle name="Currency 3 2 3 2 5 3 2" xfId="14722" xr:uid="{C0D4D6A3-7B66-4673-B075-F090303D0850}"/>
    <cellStyle name="Currency 3 2 3 2 5 4" xfId="10504" xr:uid="{4215751D-5ED7-4980-AEB5-792078C079C8}"/>
    <cellStyle name="Currency 3 2 3 2 6" xfId="2420" xr:uid="{00000000-0005-0000-0000-0000110B0000}"/>
    <cellStyle name="Currency 3 2 3 2 6 2" xfId="6706" xr:uid="{00000000-0005-0000-0000-0000120B0000}"/>
    <cellStyle name="Currency 3 2 3 2 6 2 2" xfId="15135" xr:uid="{EA0CFE67-2BDE-4410-A831-915CEEBC686B}"/>
    <cellStyle name="Currency 3 2 3 2 6 3" xfId="10917" xr:uid="{EA1E0D45-7E41-4864-BC08-0497C9556F9C}"/>
    <cellStyle name="Currency 3 2 3 2 7" xfId="2717" xr:uid="{00000000-0005-0000-0000-0000130B0000}"/>
    <cellStyle name="Currency 3 2 3 2 8" xfId="2798" xr:uid="{00000000-0005-0000-0000-0000140B0000}"/>
    <cellStyle name="Currency 3 2 3 2 8 2" xfId="7023" xr:uid="{00000000-0005-0000-0000-0000150B0000}"/>
    <cellStyle name="Currency 3 2 3 2 8 2 2" xfId="15452" xr:uid="{F421BC17-3248-4430-8EE3-C4D6E34AD6E8}"/>
    <cellStyle name="Currency 3 2 3 2 8 3" xfId="11234" xr:uid="{835429FE-F9E4-4538-9C3B-79AE9713B792}"/>
    <cellStyle name="Currency 3 2 3 2 9" xfId="4640" xr:uid="{00000000-0005-0000-0000-0000160B0000}"/>
    <cellStyle name="Currency 3 2 3 2 9 2" xfId="13069" xr:uid="{F2E5E588-0DD6-48BB-8DE7-142C17C0F80E}"/>
    <cellStyle name="Currency 3 2 3 3" xfId="713" xr:uid="{00000000-0005-0000-0000-0000170B0000}"/>
    <cellStyle name="Currency 3 2 3 3 2" xfId="2974" xr:uid="{00000000-0005-0000-0000-0000180B0000}"/>
    <cellStyle name="Currency 3 2 3 3 2 2" xfId="7198" xr:uid="{00000000-0005-0000-0000-0000190B0000}"/>
    <cellStyle name="Currency 3 2 3 3 2 2 2" xfId="15627" xr:uid="{05947B97-6EB2-48B2-9C57-88462AEFC606}"/>
    <cellStyle name="Currency 3 2 3 3 2 3" xfId="11409" xr:uid="{7CF65046-CEB5-4E66-BDEB-3A9016C95408}"/>
    <cellStyle name="Currency 3 2 3 3 3" xfId="5053" xr:uid="{00000000-0005-0000-0000-00001A0B0000}"/>
    <cellStyle name="Currency 3 2 3 3 3 2" xfId="13482" xr:uid="{9394CF0D-8946-4980-8427-CED5675CD808}"/>
    <cellStyle name="Currency 3 2 3 3 4" xfId="9264" xr:uid="{146F4E18-1CE9-41D0-B9CC-549F76D039CC}"/>
    <cellStyle name="Currency 3 2 3 4" xfId="1156" xr:uid="{00000000-0005-0000-0000-00001B0B0000}"/>
    <cellStyle name="Currency 3 2 3 4 2" xfId="3387" xr:uid="{00000000-0005-0000-0000-00001C0B0000}"/>
    <cellStyle name="Currency 3 2 3 4 2 2" xfId="7611" xr:uid="{00000000-0005-0000-0000-00001D0B0000}"/>
    <cellStyle name="Currency 3 2 3 4 2 2 2" xfId="16040" xr:uid="{3306445C-5F8B-4182-89C8-0FE7D54C041D}"/>
    <cellStyle name="Currency 3 2 3 4 2 3" xfId="11822" xr:uid="{7FB76CBF-8159-4EE1-B50B-9A4E04784DC9}"/>
    <cellStyle name="Currency 3 2 3 4 3" xfId="5466" xr:uid="{00000000-0005-0000-0000-00001E0B0000}"/>
    <cellStyle name="Currency 3 2 3 4 3 2" xfId="13895" xr:uid="{6D06B692-015A-4795-A787-4B06488DA9C1}"/>
    <cellStyle name="Currency 3 2 3 4 4" xfId="9677" xr:uid="{F800BC1D-A4EC-40EC-BE08-5796E48CB7C7}"/>
    <cellStyle name="Currency 3 2 3 5" xfId="1570" xr:uid="{00000000-0005-0000-0000-00001F0B0000}"/>
    <cellStyle name="Currency 3 2 3 5 2" xfId="3800" xr:uid="{00000000-0005-0000-0000-0000200B0000}"/>
    <cellStyle name="Currency 3 2 3 5 2 2" xfId="8024" xr:uid="{00000000-0005-0000-0000-0000210B0000}"/>
    <cellStyle name="Currency 3 2 3 5 2 2 2" xfId="16453" xr:uid="{A5004054-502F-4912-8C31-E24948C124D9}"/>
    <cellStyle name="Currency 3 2 3 5 2 3" xfId="12235" xr:uid="{3A98BB5E-5F1E-490F-8B2F-DA24F443EA7C}"/>
    <cellStyle name="Currency 3 2 3 5 3" xfId="5879" xr:uid="{00000000-0005-0000-0000-0000220B0000}"/>
    <cellStyle name="Currency 3 2 3 5 3 2" xfId="14308" xr:uid="{BC598DE9-F14A-4A9D-AE57-9620A085CC1A}"/>
    <cellStyle name="Currency 3 2 3 5 4" xfId="10090" xr:uid="{D0F6BBB0-6A4D-451B-9E24-CA75865EAE11}"/>
    <cellStyle name="Currency 3 2 3 6" xfId="1984" xr:uid="{00000000-0005-0000-0000-0000230B0000}"/>
    <cellStyle name="Currency 3 2 3 6 2" xfId="4213" xr:uid="{00000000-0005-0000-0000-0000240B0000}"/>
    <cellStyle name="Currency 3 2 3 6 2 2" xfId="8437" xr:uid="{00000000-0005-0000-0000-0000250B0000}"/>
    <cellStyle name="Currency 3 2 3 6 2 2 2" xfId="16866" xr:uid="{A78F3159-7D6E-4514-AA03-5BC523B65009}"/>
    <cellStyle name="Currency 3 2 3 6 2 3" xfId="12648" xr:uid="{75AA874D-ED3A-4D94-9A90-7C979479D96A}"/>
    <cellStyle name="Currency 3 2 3 6 3" xfId="6292" xr:uid="{00000000-0005-0000-0000-0000260B0000}"/>
    <cellStyle name="Currency 3 2 3 6 3 2" xfId="14721" xr:uid="{E99A96E9-41DC-423E-953B-8B24377BB971}"/>
    <cellStyle name="Currency 3 2 3 6 4" xfId="10503" xr:uid="{EA9141EA-39C8-4EA3-A51D-BA2EC2A757DF}"/>
    <cellStyle name="Currency 3 2 3 7" xfId="2419" xr:uid="{00000000-0005-0000-0000-0000270B0000}"/>
    <cellStyle name="Currency 3 2 3 7 2" xfId="6705" xr:uid="{00000000-0005-0000-0000-0000280B0000}"/>
    <cellStyle name="Currency 3 2 3 7 2 2" xfId="15134" xr:uid="{07846D12-C0FF-43FF-AE31-23DD03B7C8FA}"/>
    <cellStyle name="Currency 3 2 3 7 3" xfId="10916" xr:uid="{565D9509-48D8-47B9-AA66-8B6C17C5EA25}"/>
    <cellStyle name="Currency 3 2 3 8" xfId="2716" xr:uid="{00000000-0005-0000-0000-0000290B0000}"/>
    <cellStyle name="Currency 3 2 3 9" xfId="2797" xr:uid="{00000000-0005-0000-0000-00002A0B0000}"/>
    <cellStyle name="Currency 3 2 3 9 2" xfId="7022" xr:uid="{00000000-0005-0000-0000-00002B0B0000}"/>
    <cellStyle name="Currency 3 2 3 9 2 2" xfId="15451" xr:uid="{DBE224A4-2967-492A-9DDC-A12772398D98}"/>
    <cellStyle name="Currency 3 2 3 9 3" xfId="11233" xr:uid="{DDEBBAA3-C28D-485D-8826-4425B8734E8A}"/>
    <cellStyle name="Currency 3 2 4" xfId="184" xr:uid="{00000000-0005-0000-0000-00002C0B0000}"/>
    <cellStyle name="Currency 3 2 4 10" xfId="8852" xr:uid="{26B6FFB2-EA3D-46B9-8ABB-40E7E74C55FA}"/>
    <cellStyle name="Currency 3 2 4 2" xfId="715" xr:uid="{00000000-0005-0000-0000-00002D0B0000}"/>
    <cellStyle name="Currency 3 2 4 2 2" xfId="2976" xr:uid="{00000000-0005-0000-0000-00002E0B0000}"/>
    <cellStyle name="Currency 3 2 4 2 2 2" xfId="7200" xr:uid="{00000000-0005-0000-0000-00002F0B0000}"/>
    <cellStyle name="Currency 3 2 4 2 2 2 2" xfId="15629" xr:uid="{3D292520-274F-4214-A6FD-1D50CDF234E6}"/>
    <cellStyle name="Currency 3 2 4 2 2 3" xfId="11411" xr:uid="{0A27BA04-7AF8-43B0-BC1D-884038D661AD}"/>
    <cellStyle name="Currency 3 2 4 2 3" xfId="5055" xr:uid="{00000000-0005-0000-0000-0000300B0000}"/>
    <cellStyle name="Currency 3 2 4 2 3 2" xfId="13484" xr:uid="{145D0A94-9998-4571-9BEA-C6220DD8AE06}"/>
    <cellStyle name="Currency 3 2 4 2 4" xfId="9266" xr:uid="{62A09F55-0585-4614-8578-BDE1106A2C7B}"/>
    <cellStyle name="Currency 3 2 4 3" xfId="1158" xr:uid="{00000000-0005-0000-0000-0000310B0000}"/>
    <cellStyle name="Currency 3 2 4 3 2" xfId="3389" xr:uid="{00000000-0005-0000-0000-0000320B0000}"/>
    <cellStyle name="Currency 3 2 4 3 2 2" xfId="7613" xr:uid="{00000000-0005-0000-0000-0000330B0000}"/>
    <cellStyle name="Currency 3 2 4 3 2 2 2" xfId="16042" xr:uid="{5CCD3DFF-C438-46B2-BEEE-CCA70926FA8B}"/>
    <cellStyle name="Currency 3 2 4 3 2 3" xfId="11824" xr:uid="{F8298868-0431-4E2C-A113-BCE6D5AA8687}"/>
    <cellStyle name="Currency 3 2 4 3 3" xfId="5468" xr:uid="{00000000-0005-0000-0000-0000340B0000}"/>
    <cellStyle name="Currency 3 2 4 3 3 2" xfId="13897" xr:uid="{650C1102-502F-42BD-BE0B-5A1BCFAE3A54}"/>
    <cellStyle name="Currency 3 2 4 3 4" xfId="9679" xr:uid="{E03AD105-D2E7-4170-945B-69F4A60DC87E}"/>
    <cellStyle name="Currency 3 2 4 4" xfId="1572" xr:uid="{00000000-0005-0000-0000-0000350B0000}"/>
    <cellStyle name="Currency 3 2 4 4 2" xfId="3802" xr:uid="{00000000-0005-0000-0000-0000360B0000}"/>
    <cellStyle name="Currency 3 2 4 4 2 2" xfId="8026" xr:uid="{00000000-0005-0000-0000-0000370B0000}"/>
    <cellStyle name="Currency 3 2 4 4 2 2 2" xfId="16455" xr:uid="{A80A7C71-2A89-40D6-9EE3-44896C298B90}"/>
    <cellStyle name="Currency 3 2 4 4 2 3" xfId="12237" xr:uid="{2270E274-F8B3-46D1-AEE6-D07E4137319D}"/>
    <cellStyle name="Currency 3 2 4 4 3" xfId="5881" xr:uid="{00000000-0005-0000-0000-0000380B0000}"/>
    <cellStyle name="Currency 3 2 4 4 3 2" xfId="14310" xr:uid="{0581CEED-180D-4E2C-930A-5CF6A45B04F7}"/>
    <cellStyle name="Currency 3 2 4 4 4" xfId="10092" xr:uid="{4D1A4A33-334E-4C93-BF87-8C41FEA31358}"/>
    <cellStyle name="Currency 3 2 4 5" xfId="1986" xr:uid="{00000000-0005-0000-0000-0000390B0000}"/>
    <cellStyle name="Currency 3 2 4 5 2" xfId="4215" xr:uid="{00000000-0005-0000-0000-00003A0B0000}"/>
    <cellStyle name="Currency 3 2 4 5 2 2" xfId="8439" xr:uid="{00000000-0005-0000-0000-00003B0B0000}"/>
    <cellStyle name="Currency 3 2 4 5 2 2 2" xfId="16868" xr:uid="{FC359517-B5C0-4693-898D-9655523EC90D}"/>
    <cellStyle name="Currency 3 2 4 5 2 3" xfId="12650" xr:uid="{A75CD5FA-84BF-4BDB-947C-52DCB33B2AB2}"/>
    <cellStyle name="Currency 3 2 4 5 3" xfId="6294" xr:uid="{00000000-0005-0000-0000-00003C0B0000}"/>
    <cellStyle name="Currency 3 2 4 5 3 2" xfId="14723" xr:uid="{50836AE0-C5A9-46AC-8B3F-2145AD522D63}"/>
    <cellStyle name="Currency 3 2 4 5 4" xfId="10505" xr:uid="{5B40302F-895E-46B5-B120-EBF3C7989B84}"/>
    <cellStyle name="Currency 3 2 4 6" xfId="2421" xr:uid="{00000000-0005-0000-0000-00003D0B0000}"/>
    <cellStyle name="Currency 3 2 4 6 2" xfId="6707" xr:uid="{00000000-0005-0000-0000-00003E0B0000}"/>
    <cellStyle name="Currency 3 2 4 6 2 2" xfId="15136" xr:uid="{AE735DA0-A31E-4E67-A121-91CDA70E8AC4}"/>
    <cellStyle name="Currency 3 2 4 6 3" xfId="10918" xr:uid="{B431FBF8-F210-497D-B74A-8D471CC9C4B0}"/>
    <cellStyle name="Currency 3 2 4 7" xfId="2718" xr:uid="{00000000-0005-0000-0000-00003F0B0000}"/>
    <cellStyle name="Currency 3 2 4 8" xfId="2799" xr:uid="{00000000-0005-0000-0000-0000400B0000}"/>
    <cellStyle name="Currency 3 2 4 8 2" xfId="7024" xr:uid="{00000000-0005-0000-0000-0000410B0000}"/>
    <cellStyle name="Currency 3 2 4 8 2 2" xfId="15453" xr:uid="{E82D9A49-8C55-4DD4-8F94-235ECBEE1EE1}"/>
    <cellStyle name="Currency 3 2 4 8 3" xfId="11235" xr:uid="{F47D961E-4DE7-48D7-BE55-D7F8C34BD835}"/>
    <cellStyle name="Currency 3 2 4 9" xfId="4641" xr:uid="{00000000-0005-0000-0000-0000420B0000}"/>
    <cellStyle name="Currency 3 2 4 9 2" xfId="13070" xr:uid="{889967EF-EDD9-44CB-BB0C-FDCB3B47B0A9}"/>
    <cellStyle name="Currency 3 2 5" xfId="185" xr:uid="{00000000-0005-0000-0000-0000430B0000}"/>
    <cellStyle name="Currency 3 2 5 10" xfId="8853" xr:uid="{508792B5-4AEF-40EE-A392-5A19A3ECE691}"/>
    <cellStyle name="Currency 3 2 5 2" xfId="716" xr:uid="{00000000-0005-0000-0000-0000440B0000}"/>
    <cellStyle name="Currency 3 2 5 2 2" xfId="2977" xr:uid="{00000000-0005-0000-0000-0000450B0000}"/>
    <cellStyle name="Currency 3 2 5 2 2 2" xfId="7201" xr:uid="{00000000-0005-0000-0000-0000460B0000}"/>
    <cellStyle name="Currency 3 2 5 2 2 2 2" xfId="15630" xr:uid="{ABF0AEE5-66C5-483E-B4B0-901FDB5F7DF5}"/>
    <cellStyle name="Currency 3 2 5 2 2 3" xfId="11412" xr:uid="{E2A2610B-A72C-4E9C-91E9-4BBCDC6C2336}"/>
    <cellStyle name="Currency 3 2 5 2 3" xfId="5056" xr:uid="{00000000-0005-0000-0000-0000470B0000}"/>
    <cellStyle name="Currency 3 2 5 2 3 2" xfId="13485" xr:uid="{99E5F623-3469-4D44-8B3B-3A5197998320}"/>
    <cellStyle name="Currency 3 2 5 2 4" xfId="9267" xr:uid="{F8374104-337D-4C03-B0CE-B642BBF152F0}"/>
    <cellStyle name="Currency 3 2 5 3" xfId="1159" xr:uid="{00000000-0005-0000-0000-0000480B0000}"/>
    <cellStyle name="Currency 3 2 5 3 2" xfId="3390" xr:uid="{00000000-0005-0000-0000-0000490B0000}"/>
    <cellStyle name="Currency 3 2 5 3 2 2" xfId="7614" xr:uid="{00000000-0005-0000-0000-00004A0B0000}"/>
    <cellStyle name="Currency 3 2 5 3 2 2 2" xfId="16043" xr:uid="{BE882087-A943-4127-B661-894CEB84972A}"/>
    <cellStyle name="Currency 3 2 5 3 2 3" xfId="11825" xr:uid="{D3B55C24-E07D-4441-A8B2-E436468DF3AB}"/>
    <cellStyle name="Currency 3 2 5 3 3" xfId="5469" xr:uid="{00000000-0005-0000-0000-00004B0B0000}"/>
    <cellStyle name="Currency 3 2 5 3 3 2" xfId="13898" xr:uid="{5937B19B-47DF-4923-AB2A-A6A31251975A}"/>
    <cellStyle name="Currency 3 2 5 3 4" xfId="9680" xr:uid="{8D7EE512-EB83-4409-A94B-68E42898FBBC}"/>
    <cellStyle name="Currency 3 2 5 4" xfId="1573" xr:uid="{00000000-0005-0000-0000-00004C0B0000}"/>
    <cellStyle name="Currency 3 2 5 4 2" xfId="3803" xr:uid="{00000000-0005-0000-0000-00004D0B0000}"/>
    <cellStyle name="Currency 3 2 5 4 2 2" xfId="8027" xr:uid="{00000000-0005-0000-0000-00004E0B0000}"/>
    <cellStyle name="Currency 3 2 5 4 2 2 2" xfId="16456" xr:uid="{3B2FFCB4-335E-44E2-A9C2-FD5318E8B211}"/>
    <cellStyle name="Currency 3 2 5 4 2 3" xfId="12238" xr:uid="{5617854C-C1F6-4019-8A51-41671EF1F5EB}"/>
    <cellStyle name="Currency 3 2 5 4 3" xfId="5882" xr:uid="{00000000-0005-0000-0000-00004F0B0000}"/>
    <cellStyle name="Currency 3 2 5 4 3 2" xfId="14311" xr:uid="{946793DA-9AFB-417E-B745-AAF85B298D65}"/>
    <cellStyle name="Currency 3 2 5 4 4" xfId="10093" xr:uid="{F0D10661-02D4-42CE-AD78-E9A9C44DCA71}"/>
    <cellStyle name="Currency 3 2 5 5" xfId="1987" xr:uid="{00000000-0005-0000-0000-0000500B0000}"/>
    <cellStyle name="Currency 3 2 5 5 2" xfId="4216" xr:uid="{00000000-0005-0000-0000-0000510B0000}"/>
    <cellStyle name="Currency 3 2 5 5 2 2" xfId="8440" xr:uid="{00000000-0005-0000-0000-0000520B0000}"/>
    <cellStyle name="Currency 3 2 5 5 2 2 2" xfId="16869" xr:uid="{1D9EC010-45D7-4796-A9B8-307865671F83}"/>
    <cellStyle name="Currency 3 2 5 5 2 3" xfId="12651" xr:uid="{15F7DDA8-9991-4CDA-B3D7-964B77E7B3D4}"/>
    <cellStyle name="Currency 3 2 5 5 3" xfId="6295" xr:uid="{00000000-0005-0000-0000-0000530B0000}"/>
    <cellStyle name="Currency 3 2 5 5 3 2" xfId="14724" xr:uid="{5FDA1708-AE5D-41D2-AFD3-434694F20C11}"/>
    <cellStyle name="Currency 3 2 5 5 4" xfId="10506" xr:uid="{8C1424B0-DCF7-42F1-8876-D117F630959D}"/>
    <cellStyle name="Currency 3 2 5 6" xfId="2422" xr:uid="{00000000-0005-0000-0000-0000540B0000}"/>
    <cellStyle name="Currency 3 2 5 6 2" xfId="6708" xr:uid="{00000000-0005-0000-0000-0000550B0000}"/>
    <cellStyle name="Currency 3 2 5 6 2 2" xfId="15137" xr:uid="{B783B1F0-BB69-4DC3-A408-0FC3545F1D9A}"/>
    <cellStyle name="Currency 3 2 5 6 3" xfId="10919" xr:uid="{33389620-839E-4E74-8115-795CBA6905D9}"/>
    <cellStyle name="Currency 3 2 5 7" xfId="2719" xr:uid="{00000000-0005-0000-0000-0000560B0000}"/>
    <cellStyle name="Currency 3 2 5 8" xfId="2800" xr:uid="{00000000-0005-0000-0000-0000570B0000}"/>
    <cellStyle name="Currency 3 2 5 8 2" xfId="7025" xr:uid="{00000000-0005-0000-0000-0000580B0000}"/>
    <cellStyle name="Currency 3 2 5 8 2 2" xfId="15454" xr:uid="{92439750-E246-4A4F-B040-A8E64590D2AC}"/>
    <cellStyle name="Currency 3 2 5 8 3" xfId="11236" xr:uid="{8FF132D2-F1FD-4948-BC3B-80A61210C39B}"/>
    <cellStyle name="Currency 3 2 5 9" xfId="4642" xr:uid="{00000000-0005-0000-0000-0000590B0000}"/>
    <cellStyle name="Currency 3 2 5 9 2" xfId="13071" xr:uid="{A5233FC3-6AB3-43E5-8B10-82BCFCC9F134}"/>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0 2 2" xfId="15455" xr:uid="{4E046CC7-7314-4065-AD09-32784BD114C5}"/>
    <cellStyle name="Currency 5 2 2 2 10 3" xfId="11237" xr:uid="{9C32F0DD-BD54-4B6B-ABC6-EA793AB38924}"/>
    <cellStyle name="Currency 5 2 2 2 11" xfId="4643" xr:uid="{00000000-0005-0000-0000-00006C0B0000}"/>
    <cellStyle name="Currency 5 2 2 2 11 2" xfId="13072" xr:uid="{11362DF0-4408-42F4-B27F-C4D57C3875D7}"/>
    <cellStyle name="Currency 5 2 2 2 12" xfId="8854" xr:uid="{29EA9F1A-CE1B-4EF1-8572-6C4C59D07AA8}"/>
    <cellStyle name="Currency 5 2 2 2 2" xfId="197" xr:uid="{00000000-0005-0000-0000-00006D0B0000}"/>
    <cellStyle name="Currency 5 2 2 2 2 10" xfId="4644" xr:uid="{00000000-0005-0000-0000-00006E0B0000}"/>
    <cellStyle name="Currency 5 2 2 2 2 10 2" xfId="13073" xr:uid="{21E04845-3351-4739-A87D-66D518F91FA9}"/>
    <cellStyle name="Currency 5 2 2 2 2 11" xfId="8855" xr:uid="{F2EEAE41-C2DC-41F2-9A1E-8F64B57054FD}"/>
    <cellStyle name="Currency 5 2 2 2 2 2" xfId="198" xr:uid="{00000000-0005-0000-0000-00006F0B0000}"/>
    <cellStyle name="Currency 5 2 2 2 2 2 10" xfId="8856" xr:uid="{7699FD0E-58E7-4817-8631-4BDE3CB09B92}"/>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2 2 2" xfId="15633" xr:uid="{06E8134A-64D1-4E52-99CF-FE29E5E1E409}"/>
    <cellStyle name="Currency 5 2 2 2 2 2 2 2 3" xfId="11415" xr:uid="{093F10F5-BFC5-47AA-8B3C-C397AA94C0DC}"/>
    <cellStyle name="Currency 5 2 2 2 2 2 2 3" xfId="5059" xr:uid="{00000000-0005-0000-0000-0000730B0000}"/>
    <cellStyle name="Currency 5 2 2 2 2 2 2 3 2" xfId="13488" xr:uid="{BAE53BCA-D0BB-49A2-A2AB-6591B245D19D}"/>
    <cellStyle name="Currency 5 2 2 2 2 2 2 4" xfId="9270" xr:uid="{FFF6E097-5AD4-4E82-880C-B1A2BF82A3C4}"/>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2 2 2" xfId="16046" xr:uid="{13DAEE50-3F2B-4DF3-A7A9-1062DF9ACCFD}"/>
    <cellStyle name="Currency 5 2 2 2 2 2 3 2 3" xfId="11828" xr:uid="{46D60F14-2AD6-4171-A767-797923093D45}"/>
    <cellStyle name="Currency 5 2 2 2 2 2 3 3" xfId="5472" xr:uid="{00000000-0005-0000-0000-0000770B0000}"/>
    <cellStyle name="Currency 5 2 2 2 2 2 3 3 2" xfId="13901" xr:uid="{B6BA346D-1F26-48B6-87F6-E285DC323568}"/>
    <cellStyle name="Currency 5 2 2 2 2 2 3 4" xfId="9683" xr:uid="{BB5604D3-A81A-48F3-9DE7-4CEC8474A77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2 2 2" xfId="16459" xr:uid="{1D18DA49-CCAC-4E25-B030-BB47FF97B399}"/>
    <cellStyle name="Currency 5 2 2 2 2 2 4 2 3" xfId="12241" xr:uid="{C6E39A60-9790-4FFE-8D00-C8C3367D9B36}"/>
    <cellStyle name="Currency 5 2 2 2 2 2 4 3" xfId="5885" xr:uid="{00000000-0005-0000-0000-00007B0B0000}"/>
    <cellStyle name="Currency 5 2 2 2 2 2 4 3 2" xfId="14314" xr:uid="{FE384BAE-30A8-48E4-9BC6-3CC7D75FCF7E}"/>
    <cellStyle name="Currency 5 2 2 2 2 2 4 4" xfId="10096" xr:uid="{70A26AA3-217E-423E-A940-32AB4FF2479C}"/>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2 2 2" xfId="16872" xr:uid="{B391FA3B-0AE6-467C-ADFF-783C699B743C}"/>
    <cellStyle name="Currency 5 2 2 2 2 2 5 2 3" xfId="12654" xr:uid="{5CBDAFF0-5FCB-4C49-9958-0F76C049DB42}"/>
    <cellStyle name="Currency 5 2 2 2 2 2 5 3" xfId="6298" xr:uid="{00000000-0005-0000-0000-00007F0B0000}"/>
    <cellStyle name="Currency 5 2 2 2 2 2 5 3 2" xfId="14727" xr:uid="{18D8D649-B91C-43E9-BBF1-80CE3E708BE1}"/>
    <cellStyle name="Currency 5 2 2 2 2 2 5 4" xfId="10509" xr:uid="{1CD3BB9D-3B80-40DB-BD91-93A4CBE3BD08}"/>
    <cellStyle name="Currency 5 2 2 2 2 2 6" xfId="2425" xr:uid="{00000000-0005-0000-0000-0000800B0000}"/>
    <cellStyle name="Currency 5 2 2 2 2 2 6 2" xfId="6711" xr:uid="{00000000-0005-0000-0000-0000810B0000}"/>
    <cellStyle name="Currency 5 2 2 2 2 2 6 2 2" xfId="15140" xr:uid="{BFF33665-F8D8-44E8-A5A1-F8920E0BB1BF}"/>
    <cellStyle name="Currency 5 2 2 2 2 2 6 3" xfId="10922" xr:uid="{FD58D881-ECA9-497A-BE7B-183F3A024221}"/>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8 2 2" xfId="15457" xr:uid="{69ECE2A7-145A-4421-B3E9-ACFC48A41323}"/>
    <cellStyle name="Currency 5 2 2 2 2 2 8 3" xfId="11239" xr:uid="{C9A89B0C-8D65-426D-B4A8-84A3D6FE16C8}"/>
    <cellStyle name="Currency 5 2 2 2 2 2 9" xfId="4645" xr:uid="{00000000-0005-0000-0000-0000850B0000}"/>
    <cellStyle name="Currency 5 2 2 2 2 2 9 2" xfId="13074" xr:uid="{9859A1FE-3D07-4405-BF7A-3B9BE2F41718}"/>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2 2 2" xfId="15632" xr:uid="{C296576D-6458-40C7-BB35-CAC9373B961C}"/>
    <cellStyle name="Currency 5 2 2 2 2 3 2 3" xfId="11414" xr:uid="{CE2E6DFA-23B1-4FB6-B594-A9D6848D1FC6}"/>
    <cellStyle name="Currency 5 2 2 2 2 3 3" xfId="5058" xr:uid="{00000000-0005-0000-0000-0000890B0000}"/>
    <cellStyle name="Currency 5 2 2 2 2 3 3 2" xfId="13487" xr:uid="{398A9C05-13B8-4B44-9517-9CCA2E2A7DDB}"/>
    <cellStyle name="Currency 5 2 2 2 2 3 4" xfId="9269" xr:uid="{264A95EB-15ED-4537-BE48-F8BC781FBD66}"/>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2 2 2" xfId="16045" xr:uid="{6E376D3C-0FF2-42D9-A0BE-6C22E9A8106C}"/>
    <cellStyle name="Currency 5 2 2 2 2 4 2 3" xfId="11827" xr:uid="{7CA6768A-F134-451A-8285-969421588E4F}"/>
    <cellStyle name="Currency 5 2 2 2 2 4 3" xfId="5471" xr:uid="{00000000-0005-0000-0000-00008D0B0000}"/>
    <cellStyle name="Currency 5 2 2 2 2 4 3 2" xfId="13900" xr:uid="{CA44D71A-97B3-456F-ACCB-40150B023FB8}"/>
    <cellStyle name="Currency 5 2 2 2 2 4 4" xfId="9682" xr:uid="{D90BE840-D530-4190-94C8-0F9290082FED}"/>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2 2 2" xfId="16458" xr:uid="{635CBDD5-9102-4AD4-8073-A230D8444EEE}"/>
    <cellStyle name="Currency 5 2 2 2 2 5 2 3" xfId="12240" xr:uid="{09CB19D1-5D6A-4476-AB64-7FFEB372D804}"/>
    <cellStyle name="Currency 5 2 2 2 2 5 3" xfId="5884" xr:uid="{00000000-0005-0000-0000-0000910B0000}"/>
    <cellStyle name="Currency 5 2 2 2 2 5 3 2" xfId="14313" xr:uid="{ABF56A1D-5A42-4C70-94BE-4EDD1A9D5F26}"/>
    <cellStyle name="Currency 5 2 2 2 2 5 4" xfId="10095" xr:uid="{17EC9CFE-5820-4768-A3B0-593B6A891CBF}"/>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2 2 2" xfId="16871" xr:uid="{38F52900-FB57-4B39-B9BD-515C63F25761}"/>
    <cellStyle name="Currency 5 2 2 2 2 6 2 3" xfId="12653" xr:uid="{745B6003-E73E-47BA-8894-FFE4ECC39505}"/>
    <cellStyle name="Currency 5 2 2 2 2 6 3" xfId="6297" xr:uid="{00000000-0005-0000-0000-0000950B0000}"/>
    <cellStyle name="Currency 5 2 2 2 2 6 3 2" xfId="14726" xr:uid="{89ED4D5E-4EC2-420E-A720-885979D3D9CB}"/>
    <cellStyle name="Currency 5 2 2 2 2 6 4" xfId="10508" xr:uid="{8E1720DE-CC31-4494-8937-0EF42ADC565F}"/>
    <cellStyle name="Currency 5 2 2 2 2 7" xfId="2424" xr:uid="{00000000-0005-0000-0000-0000960B0000}"/>
    <cellStyle name="Currency 5 2 2 2 2 7 2" xfId="6710" xr:uid="{00000000-0005-0000-0000-0000970B0000}"/>
    <cellStyle name="Currency 5 2 2 2 2 7 2 2" xfId="15139" xr:uid="{08D05646-27DD-4106-A8E1-C6BE78EA68B7}"/>
    <cellStyle name="Currency 5 2 2 2 2 7 3" xfId="10921" xr:uid="{2272FE77-AAA9-4958-9489-6DB39EDFA0C2}"/>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2 9 2 2" xfId="15456" xr:uid="{2C39543D-4756-4DD8-A1F8-2220A2693C3A}"/>
    <cellStyle name="Currency 5 2 2 2 2 9 3" xfId="11238" xr:uid="{4FA7A383-028F-4E44-B4E9-D391A1710FFB}"/>
    <cellStyle name="Currency 5 2 2 2 3" xfId="199" xr:uid="{00000000-0005-0000-0000-00009B0B0000}"/>
    <cellStyle name="Currency 5 2 2 2 3 10" xfId="8857" xr:uid="{5624D99C-AAC2-4C3E-90F0-A4FBF9E4D205}"/>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2 2 2" xfId="15634" xr:uid="{51C6FBB4-A22E-41E3-8235-509FE61FE812}"/>
    <cellStyle name="Currency 5 2 2 2 3 2 2 3" xfId="11416" xr:uid="{26653F65-0602-4305-8CC6-C49E35BEF06B}"/>
    <cellStyle name="Currency 5 2 2 2 3 2 3" xfId="5060" xr:uid="{00000000-0005-0000-0000-00009F0B0000}"/>
    <cellStyle name="Currency 5 2 2 2 3 2 3 2" xfId="13489" xr:uid="{2183607D-8C56-40A6-87BE-0C14E14788C5}"/>
    <cellStyle name="Currency 5 2 2 2 3 2 4" xfId="9271" xr:uid="{2C08F24C-AA8C-4A5F-A326-B5DD017847CF}"/>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2 2 2" xfId="16047" xr:uid="{C5F805FA-2380-411B-8301-8C51A1B845E2}"/>
    <cellStyle name="Currency 5 2 2 2 3 3 2 3" xfId="11829" xr:uid="{84F07CDD-6D41-4F5D-88D4-7A1239F49BA3}"/>
    <cellStyle name="Currency 5 2 2 2 3 3 3" xfId="5473" xr:uid="{00000000-0005-0000-0000-0000A30B0000}"/>
    <cellStyle name="Currency 5 2 2 2 3 3 3 2" xfId="13902" xr:uid="{A4747763-4CD7-46A6-A0FF-9FBC27DF861C}"/>
    <cellStyle name="Currency 5 2 2 2 3 3 4" xfId="9684" xr:uid="{ED12E290-9319-4358-91D3-B8718BA63E6C}"/>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2 2 2" xfId="16460" xr:uid="{3516464B-ACBB-4613-9EF2-76C76DEDD99B}"/>
    <cellStyle name="Currency 5 2 2 2 3 4 2 3" xfId="12242" xr:uid="{4ED377A6-B5B9-44DE-BB28-79888B4E254D}"/>
    <cellStyle name="Currency 5 2 2 2 3 4 3" xfId="5886" xr:uid="{00000000-0005-0000-0000-0000A70B0000}"/>
    <cellStyle name="Currency 5 2 2 2 3 4 3 2" xfId="14315" xr:uid="{851F130C-C18E-4E82-B189-6D29B3C25CB1}"/>
    <cellStyle name="Currency 5 2 2 2 3 4 4" xfId="10097" xr:uid="{DF7D90CE-46DA-4091-8A04-C331C75B8E71}"/>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2 2 2" xfId="16873" xr:uid="{52D49AE7-CD2F-4B55-926B-73528E947E38}"/>
    <cellStyle name="Currency 5 2 2 2 3 5 2 3" xfId="12655" xr:uid="{2308E15C-52B4-4F73-852B-EA788922346D}"/>
    <cellStyle name="Currency 5 2 2 2 3 5 3" xfId="6299" xr:uid="{00000000-0005-0000-0000-0000AB0B0000}"/>
    <cellStyle name="Currency 5 2 2 2 3 5 3 2" xfId="14728" xr:uid="{E007D2D4-4FFA-4AA9-B4CF-40E1600A9A22}"/>
    <cellStyle name="Currency 5 2 2 2 3 5 4" xfId="10510" xr:uid="{2234D867-B004-47AB-AC9B-D9C427FCD564}"/>
    <cellStyle name="Currency 5 2 2 2 3 6" xfId="2426" xr:uid="{00000000-0005-0000-0000-0000AC0B0000}"/>
    <cellStyle name="Currency 5 2 2 2 3 6 2" xfId="6712" xr:uid="{00000000-0005-0000-0000-0000AD0B0000}"/>
    <cellStyle name="Currency 5 2 2 2 3 6 2 2" xfId="15141" xr:uid="{D42C980B-B07F-4A61-9533-041913F788AA}"/>
    <cellStyle name="Currency 5 2 2 2 3 6 3" xfId="10923" xr:uid="{94FD60DF-65EC-4666-A0CD-7613807214FF}"/>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8 2 2" xfId="15458" xr:uid="{4C646938-B791-4CE9-B5D1-B8DA6CD1F08B}"/>
    <cellStyle name="Currency 5 2 2 2 3 8 3" xfId="11240" xr:uid="{AEE68E0E-8B6A-4F7B-889B-33AAE9D4D87E}"/>
    <cellStyle name="Currency 5 2 2 2 3 9" xfId="4646" xr:uid="{00000000-0005-0000-0000-0000B10B0000}"/>
    <cellStyle name="Currency 5 2 2 2 3 9 2" xfId="13075" xr:uid="{B00D01CA-DB8A-4DE6-A177-866A91F2326C}"/>
    <cellStyle name="Currency 5 2 2 2 4" xfId="724" xr:uid="{00000000-0005-0000-0000-0000B20B0000}"/>
    <cellStyle name="Currency 5 2 2 2 4 2" xfId="2978" xr:uid="{00000000-0005-0000-0000-0000B30B0000}"/>
    <cellStyle name="Currency 5 2 2 2 4 2 2" xfId="7202" xr:uid="{00000000-0005-0000-0000-0000B40B0000}"/>
    <cellStyle name="Currency 5 2 2 2 4 2 2 2" xfId="15631" xr:uid="{67E3BBF7-69C8-4702-9973-8B0838C7954D}"/>
    <cellStyle name="Currency 5 2 2 2 4 2 3" xfId="11413" xr:uid="{5D9BB77E-5EFE-494A-A186-2DF12B4EC2FB}"/>
    <cellStyle name="Currency 5 2 2 2 4 3" xfId="5057" xr:uid="{00000000-0005-0000-0000-0000B50B0000}"/>
    <cellStyle name="Currency 5 2 2 2 4 3 2" xfId="13486" xr:uid="{3E01746D-04BE-4E05-A945-E6C4A23A1849}"/>
    <cellStyle name="Currency 5 2 2 2 4 4" xfId="9268" xr:uid="{B1010E73-E713-41C2-B701-4E6F439489CD}"/>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2 2 2" xfId="16044" xr:uid="{AD469393-2ABA-4B06-89C8-198707A9CC61}"/>
    <cellStyle name="Currency 5 2 2 2 5 2 3" xfId="11826" xr:uid="{13168324-290B-4146-80C4-B6F29809D614}"/>
    <cellStyle name="Currency 5 2 2 2 5 3" xfId="5470" xr:uid="{00000000-0005-0000-0000-0000B90B0000}"/>
    <cellStyle name="Currency 5 2 2 2 5 3 2" xfId="13899" xr:uid="{FD51EA82-3A62-4B8E-9AFB-D51CE983DB8F}"/>
    <cellStyle name="Currency 5 2 2 2 5 4" xfId="9681" xr:uid="{D358ED55-101C-4FF1-95B6-7651D69F6A1B}"/>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2 2 2" xfId="16457" xr:uid="{8A32FD60-C251-43FB-A9A0-EA968C453610}"/>
    <cellStyle name="Currency 5 2 2 2 6 2 3" xfId="12239" xr:uid="{4C88FCC7-F61D-4AF9-9374-31F1AABF29E9}"/>
    <cellStyle name="Currency 5 2 2 2 6 3" xfId="5883" xr:uid="{00000000-0005-0000-0000-0000BD0B0000}"/>
    <cellStyle name="Currency 5 2 2 2 6 3 2" xfId="14312" xr:uid="{DDFCEF00-DA8B-4406-B40C-5798FEC3358F}"/>
    <cellStyle name="Currency 5 2 2 2 6 4" xfId="10094" xr:uid="{902058EE-05DD-4F84-9216-863F9D84F548}"/>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2 2 2" xfId="16870" xr:uid="{44417608-A86B-452E-9692-6D1816A8C248}"/>
    <cellStyle name="Currency 5 2 2 2 7 2 3" xfId="12652" xr:uid="{0333779A-9B5D-4718-A8C2-086A127B8EDA}"/>
    <cellStyle name="Currency 5 2 2 2 7 3" xfId="6296" xr:uid="{00000000-0005-0000-0000-0000C10B0000}"/>
    <cellStyle name="Currency 5 2 2 2 7 3 2" xfId="14725" xr:uid="{438B6417-2F97-413D-8F7E-4F29CA9470A6}"/>
    <cellStyle name="Currency 5 2 2 2 7 4" xfId="10507" xr:uid="{BD767969-BBF0-46C4-A58E-F851F2D49246}"/>
    <cellStyle name="Currency 5 2 2 2 8" xfId="2423" xr:uid="{00000000-0005-0000-0000-0000C20B0000}"/>
    <cellStyle name="Currency 5 2 2 2 8 2" xfId="6709" xr:uid="{00000000-0005-0000-0000-0000C30B0000}"/>
    <cellStyle name="Currency 5 2 2 2 8 2 2" xfId="15138" xr:uid="{C695A5C8-A0FE-4E78-A97B-C95F903E24FD}"/>
    <cellStyle name="Currency 5 2 2 2 8 3" xfId="10920" xr:uid="{EF1B7608-94B6-47C6-9547-20427F3C3BFE}"/>
    <cellStyle name="Currency 5 2 2 2 9" xfId="2720" xr:uid="{00000000-0005-0000-0000-0000C40B0000}"/>
    <cellStyle name="Currency 5 2 2 3" xfId="200" xr:uid="{00000000-0005-0000-0000-0000C50B0000}"/>
    <cellStyle name="Currency 5 2 2 3 10" xfId="4647" xr:uid="{00000000-0005-0000-0000-0000C60B0000}"/>
    <cellStyle name="Currency 5 2 2 3 10 2" xfId="13076" xr:uid="{4E8AF786-C228-49FD-996A-B5C9E2DA4115}"/>
    <cellStyle name="Currency 5 2 2 3 11" xfId="8858" xr:uid="{E05B74D5-D81A-45A7-B156-8607F6410ED7}"/>
    <cellStyle name="Currency 5 2 2 3 2" xfId="201" xr:uid="{00000000-0005-0000-0000-0000C70B0000}"/>
    <cellStyle name="Currency 5 2 2 3 2 10" xfId="8859" xr:uid="{50C117A4-2D7D-4447-AA38-DBEF8A2F5F1D}"/>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2 2 2" xfId="15636" xr:uid="{B030D4B5-F516-4516-B864-B405CCEBDF4E}"/>
    <cellStyle name="Currency 5 2 2 3 2 2 2 3" xfId="11418" xr:uid="{CF291831-A1F0-4890-98D8-A43211DE6C4E}"/>
    <cellStyle name="Currency 5 2 2 3 2 2 3" xfId="5062" xr:uid="{00000000-0005-0000-0000-0000CB0B0000}"/>
    <cellStyle name="Currency 5 2 2 3 2 2 3 2" xfId="13491" xr:uid="{FAD1E8F3-2E6B-4D3B-87D0-604C44708B56}"/>
    <cellStyle name="Currency 5 2 2 3 2 2 4" xfId="9273" xr:uid="{C5E3245E-3D9C-49D6-969B-C54312310326}"/>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2 2 2" xfId="16049" xr:uid="{146466B2-073E-4FA7-863A-8562172139BB}"/>
    <cellStyle name="Currency 5 2 2 3 2 3 2 3" xfId="11831" xr:uid="{C44CEF5C-CF9A-4DD5-967E-8DC4896623AA}"/>
    <cellStyle name="Currency 5 2 2 3 2 3 3" xfId="5475" xr:uid="{00000000-0005-0000-0000-0000CF0B0000}"/>
    <cellStyle name="Currency 5 2 2 3 2 3 3 2" xfId="13904" xr:uid="{C9339952-001D-4CB6-8E05-55BC428E8576}"/>
    <cellStyle name="Currency 5 2 2 3 2 3 4" xfId="9686" xr:uid="{7E8108EF-B115-4A6C-9D19-27F5CE9819BC}"/>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2 2 2" xfId="16462" xr:uid="{4DEABCF8-3701-4217-A054-934CE8AA3FBB}"/>
    <cellStyle name="Currency 5 2 2 3 2 4 2 3" xfId="12244" xr:uid="{A7130312-CD69-4EC8-BBBF-C56D5F966267}"/>
    <cellStyle name="Currency 5 2 2 3 2 4 3" xfId="5888" xr:uid="{00000000-0005-0000-0000-0000D30B0000}"/>
    <cellStyle name="Currency 5 2 2 3 2 4 3 2" xfId="14317" xr:uid="{940545C0-9F7A-4830-B9F8-F0956D1B4275}"/>
    <cellStyle name="Currency 5 2 2 3 2 4 4" xfId="10099" xr:uid="{1A4B23E5-8F46-40DF-AE26-7252E1A460F9}"/>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2 2 2" xfId="16875" xr:uid="{FA6FAE39-A6DD-4724-9042-8C3D43A04911}"/>
    <cellStyle name="Currency 5 2 2 3 2 5 2 3" xfId="12657" xr:uid="{E067FB32-CD0F-47ED-B8F2-39F9FC80CD40}"/>
    <cellStyle name="Currency 5 2 2 3 2 5 3" xfId="6301" xr:uid="{00000000-0005-0000-0000-0000D70B0000}"/>
    <cellStyle name="Currency 5 2 2 3 2 5 3 2" xfId="14730" xr:uid="{21B8996D-2A1B-47F6-B91A-E49AF22EC0E3}"/>
    <cellStyle name="Currency 5 2 2 3 2 5 4" xfId="10512" xr:uid="{255AB8B4-4C4E-4F9F-A4AB-C0F3F4A1EDE4}"/>
    <cellStyle name="Currency 5 2 2 3 2 6" xfId="2428" xr:uid="{00000000-0005-0000-0000-0000D80B0000}"/>
    <cellStyle name="Currency 5 2 2 3 2 6 2" xfId="6714" xr:uid="{00000000-0005-0000-0000-0000D90B0000}"/>
    <cellStyle name="Currency 5 2 2 3 2 6 2 2" xfId="15143" xr:uid="{C0EA4B86-DD79-48DF-8163-9166352F5670}"/>
    <cellStyle name="Currency 5 2 2 3 2 6 3" xfId="10925" xr:uid="{87F924D9-13EA-4E67-96FF-850CCF0676A7}"/>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8 2 2" xfId="15460" xr:uid="{9DA3629E-EB70-42E4-81FA-D82E760CEFE5}"/>
    <cellStyle name="Currency 5 2 2 3 2 8 3" xfId="11242" xr:uid="{1ED4354A-3B54-4686-89C6-F2A312E2AE64}"/>
    <cellStyle name="Currency 5 2 2 3 2 9" xfId="4648" xr:uid="{00000000-0005-0000-0000-0000DD0B0000}"/>
    <cellStyle name="Currency 5 2 2 3 2 9 2" xfId="13077" xr:uid="{56C24DB7-AC02-4988-9A00-10248D7D4197}"/>
    <cellStyle name="Currency 5 2 2 3 3" xfId="728" xr:uid="{00000000-0005-0000-0000-0000DE0B0000}"/>
    <cellStyle name="Currency 5 2 2 3 3 2" xfId="2982" xr:uid="{00000000-0005-0000-0000-0000DF0B0000}"/>
    <cellStyle name="Currency 5 2 2 3 3 2 2" xfId="7206" xr:uid="{00000000-0005-0000-0000-0000E00B0000}"/>
    <cellStyle name="Currency 5 2 2 3 3 2 2 2" xfId="15635" xr:uid="{5B52B048-5011-4EF1-9F67-58D8CF9B0850}"/>
    <cellStyle name="Currency 5 2 2 3 3 2 3" xfId="11417" xr:uid="{98371B5E-1D67-45C1-A1D9-D9563841E472}"/>
    <cellStyle name="Currency 5 2 2 3 3 3" xfId="5061" xr:uid="{00000000-0005-0000-0000-0000E10B0000}"/>
    <cellStyle name="Currency 5 2 2 3 3 3 2" xfId="13490" xr:uid="{D3A0E0BA-0ABE-4BB1-B245-154C6110FDCF}"/>
    <cellStyle name="Currency 5 2 2 3 3 4" xfId="9272" xr:uid="{3707F2DE-A933-4650-99CB-82DDE2D2C0AB}"/>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2 2 2" xfId="16048" xr:uid="{9D4DFB21-1C3E-4A5D-B765-0056726F9ADE}"/>
    <cellStyle name="Currency 5 2 2 3 4 2 3" xfId="11830" xr:uid="{B7729D7E-FC30-448F-AB84-747F8846AEFE}"/>
    <cellStyle name="Currency 5 2 2 3 4 3" xfId="5474" xr:uid="{00000000-0005-0000-0000-0000E50B0000}"/>
    <cellStyle name="Currency 5 2 2 3 4 3 2" xfId="13903" xr:uid="{6D5C9B73-5CED-44FE-AE5B-A52EC8EE58E7}"/>
    <cellStyle name="Currency 5 2 2 3 4 4" xfId="9685" xr:uid="{790E317C-C16E-48B0-82C2-08AFA3A2D834}"/>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2 2 2" xfId="16461" xr:uid="{BBB8F928-7C95-4890-AC77-48F13E3A6B22}"/>
    <cellStyle name="Currency 5 2 2 3 5 2 3" xfId="12243" xr:uid="{630F482A-861C-425E-82B5-2E7B728B7983}"/>
    <cellStyle name="Currency 5 2 2 3 5 3" xfId="5887" xr:uid="{00000000-0005-0000-0000-0000E90B0000}"/>
    <cellStyle name="Currency 5 2 2 3 5 3 2" xfId="14316" xr:uid="{38255F0C-C751-44CE-9EE1-6C22A1008A24}"/>
    <cellStyle name="Currency 5 2 2 3 5 4" xfId="10098" xr:uid="{807CFEC9-CB8A-476E-9D9D-678AF06B1891}"/>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2 2 2" xfId="16874" xr:uid="{B75C395F-7477-4623-BF57-131442AAA207}"/>
    <cellStyle name="Currency 5 2 2 3 6 2 3" xfId="12656" xr:uid="{7922868A-57D1-499F-BA39-2F15EAF7E4AE}"/>
    <cellStyle name="Currency 5 2 2 3 6 3" xfId="6300" xr:uid="{00000000-0005-0000-0000-0000ED0B0000}"/>
    <cellStyle name="Currency 5 2 2 3 6 3 2" xfId="14729" xr:uid="{C4B73C2F-5072-4150-9F62-30D79E6BF4E6}"/>
    <cellStyle name="Currency 5 2 2 3 6 4" xfId="10511" xr:uid="{8EB9A4E7-61B2-40E2-8E10-0DA495B41169}"/>
    <cellStyle name="Currency 5 2 2 3 7" xfId="2427" xr:uid="{00000000-0005-0000-0000-0000EE0B0000}"/>
    <cellStyle name="Currency 5 2 2 3 7 2" xfId="6713" xr:uid="{00000000-0005-0000-0000-0000EF0B0000}"/>
    <cellStyle name="Currency 5 2 2 3 7 2 2" xfId="15142" xr:uid="{EEEF652A-01B2-4D57-A2F8-9A0E208580E9}"/>
    <cellStyle name="Currency 5 2 2 3 7 3" xfId="10924" xr:uid="{DD8FA5D9-91A7-4665-90F5-FF7EE4327D51}"/>
    <cellStyle name="Currency 5 2 2 3 8" xfId="2724" xr:uid="{00000000-0005-0000-0000-0000F00B0000}"/>
    <cellStyle name="Currency 5 2 2 3 9" xfId="2805" xr:uid="{00000000-0005-0000-0000-0000F10B0000}"/>
    <cellStyle name="Currency 5 2 2 3 9 2" xfId="7030" xr:uid="{00000000-0005-0000-0000-0000F20B0000}"/>
    <cellStyle name="Currency 5 2 2 3 9 2 2" xfId="15459" xr:uid="{EF3C0A17-069C-47A3-A925-FA659ED95F11}"/>
    <cellStyle name="Currency 5 2 2 3 9 3" xfId="11241" xr:uid="{C7E58D6A-0638-42EB-B1B3-0D24B34620F7}"/>
    <cellStyle name="Currency 5 2 2 4" xfId="202" xr:uid="{00000000-0005-0000-0000-0000F30B0000}"/>
    <cellStyle name="Currency 5 2 2 4 10" xfId="8860" xr:uid="{985B01E5-FA32-44AE-93B8-FF9C74E485B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2 2 2" xfId="15637" xr:uid="{C0F9B1EC-8F57-44B4-8E8C-9E1163C86E68}"/>
    <cellStyle name="Currency 5 2 2 4 2 2 3" xfId="11419" xr:uid="{7B65D7A2-67D6-444B-8596-02280754FC4F}"/>
    <cellStyle name="Currency 5 2 2 4 2 3" xfId="5063" xr:uid="{00000000-0005-0000-0000-0000F70B0000}"/>
    <cellStyle name="Currency 5 2 2 4 2 3 2" xfId="13492" xr:uid="{37124FB1-D259-4F74-A2AE-1554185A8CA6}"/>
    <cellStyle name="Currency 5 2 2 4 2 4" xfId="9274" xr:uid="{7EFD798C-BFD6-4486-BA64-1A4EBDDBE0A7}"/>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2 2 2" xfId="16050" xr:uid="{3BD92E3E-57A6-47C8-BA61-67FDB8A030E4}"/>
    <cellStyle name="Currency 5 2 2 4 3 2 3" xfId="11832" xr:uid="{F417EF02-5377-4E31-B7A5-0DE2AE43A895}"/>
    <cellStyle name="Currency 5 2 2 4 3 3" xfId="5476" xr:uid="{00000000-0005-0000-0000-0000FB0B0000}"/>
    <cellStyle name="Currency 5 2 2 4 3 3 2" xfId="13905" xr:uid="{7B258E0C-E06D-434A-9F11-B771BAC4B329}"/>
    <cellStyle name="Currency 5 2 2 4 3 4" xfId="9687" xr:uid="{F3A44EB4-A59E-4148-BED0-0250969C18D4}"/>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2 2 2" xfId="16463" xr:uid="{83513695-D587-4453-8735-C28E17DA8B4C}"/>
    <cellStyle name="Currency 5 2 2 4 4 2 3" xfId="12245" xr:uid="{F383009D-FFE6-4AA3-990E-62F5119033F8}"/>
    <cellStyle name="Currency 5 2 2 4 4 3" xfId="5889" xr:uid="{00000000-0005-0000-0000-0000FF0B0000}"/>
    <cellStyle name="Currency 5 2 2 4 4 3 2" xfId="14318" xr:uid="{76DCA978-ECF1-4D7D-8F5E-0219D43A5A2D}"/>
    <cellStyle name="Currency 5 2 2 4 4 4" xfId="10100" xr:uid="{B002B929-6E01-462C-AF42-CD536C3928BD}"/>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2 2 2" xfId="16876" xr:uid="{EA53C28E-B54B-4566-A059-01976388864D}"/>
    <cellStyle name="Currency 5 2 2 4 5 2 3" xfId="12658" xr:uid="{E901A83F-62C0-4D9F-A233-3FB7A70FF6F0}"/>
    <cellStyle name="Currency 5 2 2 4 5 3" xfId="6302" xr:uid="{00000000-0005-0000-0000-0000030C0000}"/>
    <cellStyle name="Currency 5 2 2 4 5 3 2" xfId="14731" xr:uid="{CDCCEF00-7CDB-461D-9F3E-70DC2DE80E5B}"/>
    <cellStyle name="Currency 5 2 2 4 5 4" xfId="10513" xr:uid="{A7486E54-16A2-426D-88B9-7522F1F643C0}"/>
    <cellStyle name="Currency 5 2 2 4 6" xfId="2429" xr:uid="{00000000-0005-0000-0000-0000040C0000}"/>
    <cellStyle name="Currency 5 2 2 4 6 2" xfId="6715" xr:uid="{00000000-0005-0000-0000-0000050C0000}"/>
    <cellStyle name="Currency 5 2 2 4 6 2 2" xfId="15144" xr:uid="{3DA274EA-CFFC-4046-8D48-569B73797C86}"/>
    <cellStyle name="Currency 5 2 2 4 6 3" xfId="10926" xr:uid="{81F18AFA-52F5-4456-9560-38D7B2C63D0A}"/>
    <cellStyle name="Currency 5 2 2 4 7" xfId="2726" xr:uid="{00000000-0005-0000-0000-0000060C0000}"/>
    <cellStyle name="Currency 5 2 2 4 8" xfId="2807" xr:uid="{00000000-0005-0000-0000-0000070C0000}"/>
    <cellStyle name="Currency 5 2 2 4 8 2" xfId="7032" xr:uid="{00000000-0005-0000-0000-0000080C0000}"/>
    <cellStyle name="Currency 5 2 2 4 8 2 2" xfId="15461" xr:uid="{54F565B8-70C8-469B-BAA9-CE5B65A8DFCF}"/>
    <cellStyle name="Currency 5 2 2 4 8 3" xfId="11243" xr:uid="{724A2021-70F9-4203-A0A7-B585F9E3B7E4}"/>
    <cellStyle name="Currency 5 2 2 4 9" xfId="4649" xr:uid="{00000000-0005-0000-0000-0000090C0000}"/>
    <cellStyle name="Currency 5 2 2 4 9 2" xfId="13078" xr:uid="{18A31BB4-88C8-415C-A329-F1709DB72698}"/>
    <cellStyle name="Currency 5 2 2 5" xfId="203" xr:uid="{00000000-0005-0000-0000-00000A0C0000}"/>
    <cellStyle name="Currency 5 2 2 5 10" xfId="8861" xr:uid="{3106E5AA-B075-4CFC-8074-5DE236C48EE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2 2 2" xfId="15638" xr:uid="{CB3B018B-B430-4173-9C27-C0C396A6928E}"/>
    <cellStyle name="Currency 5 2 2 5 2 2 3" xfId="11420" xr:uid="{FB1209AC-2ED3-40FB-BC7F-1ABA83D1CD0F}"/>
    <cellStyle name="Currency 5 2 2 5 2 3" xfId="5064" xr:uid="{00000000-0005-0000-0000-00000E0C0000}"/>
    <cellStyle name="Currency 5 2 2 5 2 3 2" xfId="13493" xr:uid="{D46A4423-0D12-4D07-8133-FB455A893F03}"/>
    <cellStyle name="Currency 5 2 2 5 2 4" xfId="9275" xr:uid="{D9D2D449-9E22-4671-864E-8C21A0FA3DD2}"/>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2 2 2" xfId="16051" xr:uid="{487550EB-3FF4-46B4-B1AF-1A5178AFB9FA}"/>
    <cellStyle name="Currency 5 2 2 5 3 2 3" xfId="11833" xr:uid="{0863E8A7-7012-46D4-8283-137F9B0A80A1}"/>
    <cellStyle name="Currency 5 2 2 5 3 3" xfId="5477" xr:uid="{00000000-0005-0000-0000-0000120C0000}"/>
    <cellStyle name="Currency 5 2 2 5 3 3 2" xfId="13906" xr:uid="{EC990576-2D75-459B-A37B-3BE625EEC586}"/>
    <cellStyle name="Currency 5 2 2 5 3 4" xfId="9688" xr:uid="{B38228D1-D65F-440D-87E0-13A85AFB0AF9}"/>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2 2 2" xfId="16464" xr:uid="{809D0AA6-C0F3-4494-B51C-EB246A4451BC}"/>
    <cellStyle name="Currency 5 2 2 5 4 2 3" xfId="12246" xr:uid="{BD90E871-FB59-496F-BEAE-091BC9703824}"/>
    <cellStyle name="Currency 5 2 2 5 4 3" xfId="5890" xr:uid="{00000000-0005-0000-0000-0000160C0000}"/>
    <cellStyle name="Currency 5 2 2 5 4 3 2" xfId="14319" xr:uid="{F5601C54-AECD-4440-9DC5-A64088758DB2}"/>
    <cellStyle name="Currency 5 2 2 5 4 4" xfId="10101" xr:uid="{9A70B635-AD0E-432F-8974-4113A5ECF1A5}"/>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2 2 2" xfId="16877" xr:uid="{82F9BD64-9477-4203-8ADA-F1419B4F2254}"/>
    <cellStyle name="Currency 5 2 2 5 5 2 3" xfId="12659" xr:uid="{366DECB2-2433-4C0B-82F5-DDCAA5FE1068}"/>
    <cellStyle name="Currency 5 2 2 5 5 3" xfId="6303" xr:uid="{00000000-0005-0000-0000-00001A0C0000}"/>
    <cellStyle name="Currency 5 2 2 5 5 3 2" xfId="14732" xr:uid="{A31EC930-6DDD-4E7F-BC89-38AFF614273E}"/>
    <cellStyle name="Currency 5 2 2 5 5 4" xfId="10514" xr:uid="{D0FAFDB2-4DCE-4697-966C-389F98B92C9C}"/>
    <cellStyle name="Currency 5 2 2 5 6" xfId="2430" xr:uid="{00000000-0005-0000-0000-00001B0C0000}"/>
    <cellStyle name="Currency 5 2 2 5 6 2" xfId="6716" xr:uid="{00000000-0005-0000-0000-00001C0C0000}"/>
    <cellStyle name="Currency 5 2 2 5 6 2 2" xfId="15145" xr:uid="{AD48F444-A261-4053-A4D2-9BCADD97976B}"/>
    <cellStyle name="Currency 5 2 2 5 6 3" xfId="10927" xr:uid="{14B5046C-98FA-4800-8DAF-B4A311556770}"/>
    <cellStyle name="Currency 5 2 2 5 7" xfId="2727" xr:uid="{00000000-0005-0000-0000-00001D0C0000}"/>
    <cellStyle name="Currency 5 2 2 5 8" xfId="2808" xr:uid="{00000000-0005-0000-0000-00001E0C0000}"/>
    <cellStyle name="Currency 5 2 2 5 8 2" xfId="7033" xr:uid="{00000000-0005-0000-0000-00001F0C0000}"/>
    <cellStyle name="Currency 5 2 2 5 8 2 2" xfId="15462" xr:uid="{A722FBF4-CF74-40E4-9A3E-AF2CC1EE1D94}"/>
    <cellStyle name="Currency 5 2 2 5 8 3" xfId="11244" xr:uid="{5D16D981-C38D-4F6C-951A-6DDD7D522A05}"/>
    <cellStyle name="Currency 5 2 2 5 9" xfId="4650" xr:uid="{00000000-0005-0000-0000-0000200C0000}"/>
    <cellStyle name="Currency 5 2 2 5 9 2" xfId="13079" xr:uid="{562AEEB2-AD4E-4067-B4AB-D50DCF99934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10 2" xfId="13080" xr:uid="{E69AD580-02EE-4C54-A210-13021D69BAC3}"/>
    <cellStyle name="Currency 5 2 4 11" xfId="8862" xr:uid="{596949B0-4637-4D44-97EC-51AF4BB68AB0}"/>
    <cellStyle name="Currency 5 2 4 2" xfId="206" xr:uid="{00000000-0005-0000-0000-0000250C0000}"/>
    <cellStyle name="Currency 5 2 4 2 10" xfId="8863" xr:uid="{A3D6F055-A430-42E6-BEB2-DED17B721C54}"/>
    <cellStyle name="Currency 5 2 4 2 2" xfId="734" xr:uid="{00000000-0005-0000-0000-0000260C0000}"/>
    <cellStyle name="Currency 5 2 4 2 2 2" xfId="2987" xr:uid="{00000000-0005-0000-0000-0000270C0000}"/>
    <cellStyle name="Currency 5 2 4 2 2 2 2" xfId="7211" xr:uid="{00000000-0005-0000-0000-0000280C0000}"/>
    <cellStyle name="Currency 5 2 4 2 2 2 2 2" xfId="15640" xr:uid="{5CB30402-A8E7-46CE-BFAF-74CCFD8A20B0}"/>
    <cellStyle name="Currency 5 2 4 2 2 2 3" xfId="11422" xr:uid="{D91D7793-B3BE-4D00-871E-316F2E94CE62}"/>
    <cellStyle name="Currency 5 2 4 2 2 3" xfId="5066" xr:uid="{00000000-0005-0000-0000-0000290C0000}"/>
    <cellStyle name="Currency 5 2 4 2 2 3 2" xfId="13495" xr:uid="{6EB41578-5942-40FC-B7C8-B594A498A2A5}"/>
    <cellStyle name="Currency 5 2 4 2 2 4" xfId="9277" xr:uid="{763C3192-AEF4-41E3-AD85-8B8AF98FB462}"/>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2 2 2" xfId="16053" xr:uid="{F7CF3982-3B06-4771-9364-0866D18D483C}"/>
    <cellStyle name="Currency 5 2 4 2 3 2 3" xfId="11835" xr:uid="{11CF0391-8E9B-452A-A5DB-F11C5F27BA13}"/>
    <cellStyle name="Currency 5 2 4 2 3 3" xfId="5479" xr:uid="{00000000-0005-0000-0000-00002D0C0000}"/>
    <cellStyle name="Currency 5 2 4 2 3 3 2" xfId="13908" xr:uid="{7F3C20C5-59C3-4A4B-AA12-628AE0EA4DB3}"/>
    <cellStyle name="Currency 5 2 4 2 3 4" xfId="9690" xr:uid="{DAFB90B7-84F4-439D-9F4A-7179743E7A77}"/>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2 2 2" xfId="16466" xr:uid="{1270AB7F-0AF4-4DE7-A5D7-6E7825F65EAD}"/>
    <cellStyle name="Currency 5 2 4 2 4 2 3" xfId="12248" xr:uid="{BCB99C47-6B7E-4482-B5A5-F212A40D6657}"/>
    <cellStyle name="Currency 5 2 4 2 4 3" xfId="5892" xr:uid="{00000000-0005-0000-0000-0000310C0000}"/>
    <cellStyle name="Currency 5 2 4 2 4 3 2" xfId="14321" xr:uid="{FDDFEE33-86CF-4C9D-A19B-1563C7AC76AD}"/>
    <cellStyle name="Currency 5 2 4 2 4 4" xfId="10103" xr:uid="{E13D7BDC-40D1-420E-B272-C3701998AD42}"/>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2 2 2" xfId="16879" xr:uid="{A57D23EA-B972-4566-A38D-D57E198C6B43}"/>
    <cellStyle name="Currency 5 2 4 2 5 2 3" xfId="12661" xr:uid="{A94CECDD-5F36-4EFE-B4B8-A07A7870B4C3}"/>
    <cellStyle name="Currency 5 2 4 2 5 3" xfId="6305" xr:uid="{00000000-0005-0000-0000-0000350C0000}"/>
    <cellStyle name="Currency 5 2 4 2 5 3 2" xfId="14734" xr:uid="{2A548315-549C-4FBB-9347-BB5DBE93C1AC}"/>
    <cellStyle name="Currency 5 2 4 2 5 4" xfId="10516" xr:uid="{C5874012-A3F2-4E4A-ADBD-CA42AA5DC62E}"/>
    <cellStyle name="Currency 5 2 4 2 6" xfId="2432" xr:uid="{00000000-0005-0000-0000-0000360C0000}"/>
    <cellStyle name="Currency 5 2 4 2 6 2" xfId="6718" xr:uid="{00000000-0005-0000-0000-0000370C0000}"/>
    <cellStyle name="Currency 5 2 4 2 6 2 2" xfId="15147" xr:uid="{7C6CA874-0742-4AE1-9052-757025D42C7E}"/>
    <cellStyle name="Currency 5 2 4 2 6 3" xfId="10929" xr:uid="{C1034465-343E-430C-8271-428655CF6065}"/>
    <cellStyle name="Currency 5 2 4 2 7" xfId="2729" xr:uid="{00000000-0005-0000-0000-0000380C0000}"/>
    <cellStyle name="Currency 5 2 4 2 8" xfId="2810" xr:uid="{00000000-0005-0000-0000-0000390C0000}"/>
    <cellStyle name="Currency 5 2 4 2 8 2" xfId="7035" xr:uid="{00000000-0005-0000-0000-00003A0C0000}"/>
    <cellStyle name="Currency 5 2 4 2 8 2 2" xfId="15464" xr:uid="{DD3DD9A8-E4E1-466E-BF02-566F46D45628}"/>
    <cellStyle name="Currency 5 2 4 2 8 3" xfId="11246" xr:uid="{4804E589-ECF4-4C6E-87F8-442314A67BCB}"/>
    <cellStyle name="Currency 5 2 4 2 9" xfId="4652" xr:uid="{00000000-0005-0000-0000-00003B0C0000}"/>
    <cellStyle name="Currency 5 2 4 2 9 2" xfId="13081" xr:uid="{4033A51E-BB91-476F-B0F3-CD547383170F}"/>
    <cellStyle name="Currency 5 2 4 3" xfId="733" xr:uid="{00000000-0005-0000-0000-00003C0C0000}"/>
    <cellStyle name="Currency 5 2 4 3 2" xfId="2986" xr:uid="{00000000-0005-0000-0000-00003D0C0000}"/>
    <cellStyle name="Currency 5 2 4 3 2 2" xfId="7210" xr:uid="{00000000-0005-0000-0000-00003E0C0000}"/>
    <cellStyle name="Currency 5 2 4 3 2 2 2" xfId="15639" xr:uid="{34C1B060-644F-4B8A-9FA0-F218BA700FD1}"/>
    <cellStyle name="Currency 5 2 4 3 2 3" xfId="11421" xr:uid="{95C47A86-45D6-4B09-A345-D62D5D92D7D3}"/>
    <cellStyle name="Currency 5 2 4 3 3" xfId="5065" xr:uid="{00000000-0005-0000-0000-00003F0C0000}"/>
    <cellStyle name="Currency 5 2 4 3 3 2" xfId="13494" xr:uid="{1B824975-90E6-4679-8D1D-5D2449A9A3FF}"/>
    <cellStyle name="Currency 5 2 4 3 4" xfId="9276" xr:uid="{B9EE3DF6-8628-432F-882F-FC68728FE8FE}"/>
    <cellStyle name="Currency 5 2 4 4" xfId="1168" xr:uid="{00000000-0005-0000-0000-0000400C0000}"/>
    <cellStyle name="Currency 5 2 4 4 2" xfId="3399" xr:uid="{00000000-0005-0000-0000-0000410C0000}"/>
    <cellStyle name="Currency 5 2 4 4 2 2" xfId="7623" xr:uid="{00000000-0005-0000-0000-0000420C0000}"/>
    <cellStyle name="Currency 5 2 4 4 2 2 2" xfId="16052" xr:uid="{7283E2A5-1FEE-4210-9E39-5F2F389B3F47}"/>
    <cellStyle name="Currency 5 2 4 4 2 3" xfId="11834" xr:uid="{9ABFC44C-2131-40F1-BA88-B4ABF8110DBB}"/>
    <cellStyle name="Currency 5 2 4 4 3" xfId="5478" xr:uid="{00000000-0005-0000-0000-0000430C0000}"/>
    <cellStyle name="Currency 5 2 4 4 3 2" xfId="13907" xr:uid="{75FCA455-86A6-4378-A521-97FE8300F890}"/>
    <cellStyle name="Currency 5 2 4 4 4" xfId="9689" xr:uid="{FC66F261-4214-4F70-A0E9-625B8995A70A}"/>
    <cellStyle name="Currency 5 2 4 5" xfId="1582" xr:uid="{00000000-0005-0000-0000-0000440C0000}"/>
    <cellStyle name="Currency 5 2 4 5 2" xfId="3812" xr:uid="{00000000-0005-0000-0000-0000450C0000}"/>
    <cellStyle name="Currency 5 2 4 5 2 2" xfId="8036" xr:uid="{00000000-0005-0000-0000-0000460C0000}"/>
    <cellStyle name="Currency 5 2 4 5 2 2 2" xfId="16465" xr:uid="{6A2DF12E-6916-4F21-8A5B-37556937D8E6}"/>
    <cellStyle name="Currency 5 2 4 5 2 3" xfId="12247" xr:uid="{120CC604-BE18-4C6C-8F85-5671DF2218E3}"/>
    <cellStyle name="Currency 5 2 4 5 3" xfId="5891" xr:uid="{00000000-0005-0000-0000-0000470C0000}"/>
    <cellStyle name="Currency 5 2 4 5 3 2" xfId="14320" xr:uid="{03C3FE99-940F-4A91-955C-E33E12318A07}"/>
    <cellStyle name="Currency 5 2 4 5 4" xfId="10102" xr:uid="{80573889-24C7-4EFC-874A-9619D24792EC}"/>
    <cellStyle name="Currency 5 2 4 6" xfId="1996" xr:uid="{00000000-0005-0000-0000-0000480C0000}"/>
    <cellStyle name="Currency 5 2 4 6 2" xfId="4225" xr:uid="{00000000-0005-0000-0000-0000490C0000}"/>
    <cellStyle name="Currency 5 2 4 6 2 2" xfId="8449" xr:uid="{00000000-0005-0000-0000-00004A0C0000}"/>
    <cellStyle name="Currency 5 2 4 6 2 2 2" xfId="16878" xr:uid="{D16E5058-F5D6-4D6F-B267-B9E86641AE6A}"/>
    <cellStyle name="Currency 5 2 4 6 2 3" xfId="12660" xr:uid="{FF1CD94C-261C-4E87-88CF-437FA9EC0029}"/>
    <cellStyle name="Currency 5 2 4 6 3" xfId="6304" xr:uid="{00000000-0005-0000-0000-00004B0C0000}"/>
    <cellStyle name="Currency 5 2 4 6 3 2" xfId="14733" xr:uid="{34B04983-839F-469A-8BAF-D8F8F62D9D68}"/>
    <cellStyle name="Currency 5 2 4 6 4" xfId="10515" xr:uid="{0E7FBE5D-10EE-4C0C-9133-4932456282F0}"/>
    <cellStyle name="Currency 5 2 4 7" xfId="2431" xr:uid="{00000000-0005-0000-0000-00004C0C0000}"/>
    <cellStyle name="Currency 5 2 4 7 2" xfId="6717" xr:uid="{00000000-0005-0000-0000-00004D0C0000}"/>
    <cellStyle name="Currency 5 2 4 7 2 2" xfId="15146" xr:uid="{EF188AE5-B7CF-44B6-86C5-CE45A1383948}"/>
    <cellStyle name="Currency 5 2 4 7 3" xfId="10928" xr:uid="{B751E4E4-41DD-4106-B8B7-B45C1777A2A9}"/>
    <cellStyle name="Currency 5 2 4 8" xfId="2728" xr:uid="{00000000-0005-0000-0000-00004E0C0000}"/>
    <cellStyle name="Currency 5 2 4 9" xfId="2809" xr:uid="{00000000-0005-0000-0000-00004F0C0000}"/>
    <cellStyle name="Currency 5 2 4 9 2" xfId="7034" xr:uid="{00000000-0005-0000-0000-0000500C0000}"/>
    <cellStyle name="Currency 5 2 4 9 2 2" xfId="15463" xr:uid="{9C302E83-6A03-4A7B-AE97-7BAA3FF0095F}"/>
    <cellStyle name="Currency 5 2 4 9 3" xfId="11245" xr:uid="{8DAADD41-7F1A-4086-BDEF-C4639F7B89BD}"/>
    <cellStyle name="Currency 5 2 5" xfId="207" xr:uid="{00000000-0005-0000-0000-0000510C0000}"/>
    <cellStyle name="Currency 5 2 5 10" xfId="8864" xr:uid="{15F2EDFE-A43D-40A1-89D1-4F5995BEA565}"/>
    <cellStyle name="Currency 5 2 5 2" xfId="735" xr:uid="{00000000-0005-0000-0000-0000520C0000}"/>
    <cellStyle name="Currency 5 2 5 2 2" xfId="2988" xr:uid="{00000000-0005-0000-0000-0000530C0000}"/>
    <cellStyle name="Currency 5 2 5 2 2 2" xfId="7212" xr:uid="{00000000-0005-0000-0000-0000540C0000}"/>
    <cellStyle name="Currency 5 2 5 2 2 2 2" xfId="15641" xr:uid="{4DB29742-61D0-4AC8-B4ED-6BD4A0481D88}"/>
    <cellStyle name="Currency 5 2 5 2 2 3" xfId="11423" xr:uid="{9B95878B-2A5B-4E49-822F-17F769B5A2DA}"/>
    <cellStyle name="Currency 5 2 5 2 3" xfId="5067" xr:uid="{00000000-0005-0000-0000-0000550C0000}"/>
    <cellStyle name="Currency 5 2 5 2 3 2" xfId="13496" xr:uid="{A74E6B86-CD2E-49EC-8B21-EE5077A436B0}"/>
    <cellStyle name="Currency 5 2 5 2 4" xfId="9278" xr:uid="{A0781439-3D1C-468A-9FDD-6CE650DA54A6}"/>
    <cellStyle name="Currency 5 2 5 3" xfId="1170" xr:uid="{00000000-0005-0000-0000-0000560C0000}"/>
    <cellStyle name="Currency 5 2 5 3 2" xfId="3401" xr:uid="{00000000-0005-0000-0000-0000570C0000}"/>
    <cellStyle name="Currency 5 2 5 3 2 2" xfId="7625" xr:uid="{00000000-0005-0000-0000-0000580C0000}"/>
    <cellStyle name="Currency 5 2 5 3 2 2 2" xfId="16054" xr:uid="{AD23DA08-B0C3-4092-A5A8-8367C9846F62}"/>
    <cellStyle name="Currency 5 2 5 3 2 3" xfId="11836" xr:uid="{693930AC-B467-404D-AE57-66DEC632DBAE}"/>
    <cellStyle name="Currency 5 2 5 3 3" xfId="5480" xr:uid="{00000000-0005-0000-0000-0000590C0000}"/>
    <cellStyle name="Currency 5 2 5 3 3 2" xfId="13909" xr:uid="{1B889A06-6257-4D1F-ABC3-6887D90B8B1D}"/>
    <cellStyle name="Currency 5 2 5 3 4" xfId="9691" xr:uid="{0032979A-0198-44EB-9FAD-926C5DC59D27}"/>
    <cellStyle name="Currency 5 2 5 4" xfId="1584" xr:uid="{00000000-0005-0000-0000-00005A0C0000}"/>
    <cellStyle name="Currency 5 2 5 4 2" xfId="3814" xr:uid="{00000000-0005-0000-0000-00005B0C0000}"/>
    <cellStyle name="Currency 5 2 5 4 2 2" xfId="8038" xr:uid="{00000000-0005-0000-0000-00005C0C0000}"/>
    <cellStyle name="Currency 5 2 5 4 2 2 2" xfId="16467" xr:uid="{49D59F6E-B536-4416-887F-86B4CD73BB37}"/>
    <cellStyle name="Currency 5 2 5 4 2 3" xfId="12249" xr:uid="{B5A4D808-4FC2-4766-8473-63E33C41E237}"/>
    <cellStyle name="Currency 5 2 5 4 3" xfId="5893" xr:uid="{00000000-0005-0000-0000-00005D0C0000}"/>
    <cellStyle name="Currency 5 2 5 4 3 2" xfId="14322" xr:uid="{EE5D7B85-4B13-4ED5-8C88-7E2050242C2D}"/>
    <cellStyle name="Currency 5 2 5 4 4" xfId="10104" xr:uid="{30B064C0-7F2C-4966-90ED-EC3EEC26BB15}"/>
    <cellStyle name="Currency 5 2 5 5" xfId="1998" xr:uid="{00000000-0005-0000-0000-00005E0C0000}"/>
    <cellStyle name="Currency 5 2 5 5 2" xfId="4227" xr:uid="{00000000-0005-0000-0000-00005F0C0000}"/>
    <cellStyle name="Currency 5 2 5 5 2 2" xfId="8451" xr:uid="{00000000-0005-0000-0000-0000600C0000}"/>
    <cellStyle name="Currency 5 2 5 5 2 2 2" xfId="16880" xr:uid="{4EFEDDC7-BE7D-4BD4-9845-4B5966229371}"/>
    <cellStyle name="Currency 5 2 5 5 2 3" xfId="12662" xr:uid="{9145D93A-C1C5-4050-AF2D-B7BE77B8A6C1}"/>
    <cellStyle name="Currency 5 2 5 5 3" xfId="6306" xr:uid="{00000000-0005-0000-0000-0000610C0000}"/>
    <cellStyle name="Currency 5 2 5 5 3 2" xfId="14735" xr:uid="{F2A2D43A-384F-4B04-B979-0256FF30450D}"/>
    <cellStyle name="Currency 5 2 5 5 4" xfId="10517" xr:uid="{4BF0BD1F-21A1-4111-A591-563E86F1F036}"/>
    <cellStyle name="Currency 5 2 5 6" xfId="2433" xr:uid="{00000000-0005-0000-0000-0000620C0000}"/>
    <cellStyle name="Currency 5 2 5 6 2" xfId="6719" xr:uid="{00000000-0005-0000-0000-0000630C0000}"/>
    <cellStyle name="Currency 5 2 5 6 2 2" xfId="15148" xr:uid="{9CFA7425-D92E-4D49-91D3-9A5287E6AEE7}"/>
    <cellStyle name="Currency 5 2 5 6 3" xfId="10930" xr:uid="{1458FC1E-66CC-4F77-B2B5-A2ABB6C80DBD}"/>
    <cellStyle name="Currency 5 2 5 7" xfId="2730" xr:uid="{00000000-0005-0000-0000-0000640C0000}"/>
    <cellStyle name="Currency 5 2 5 8" xfId="2811" xr:uid="{00000000-0005-0000-0000-0000650C0000}"/>
    <cellStyle name="Currency 5 2 5 8 2" xfId="7036" xr:uid="{00000000-0005-0000-0000-0000660C0000}"/>
    <cellStyle name="Currency 5 2 5 8 2 2" xfId="15465" xr:uid="{90E52C8F-367D-4935-A208-D916619A2710}"/>
    <cellStyle name="Currency 5 2 5 8 3" xfId="11247" xr:uid="{2BA42253-7B28-4581-95C9-C903B681ABB9}"/>
    <cellStyle name="Currency 5 2 5 9" xfId="4653" xr:uid="{00000000-0005-0000-0000-0000670C0000}"/>
    <cellStyle name="Currency 5 2 5 9 2" xfId="13082" xr:uid="{E6E4428E-1B66-4FAD-8DD1-32AB520DC188}"/>
    <cellStyle name="Currency 5 2 6" xfId="208" xr:uid="{00000000-0005-0000-0000-0000680C0000}"/>
    <cellStyle name="Currency 5 2 6 10" xfId="8865" xr:uid="{4D2527CE-B2D0-4EC9-B446-2687294EFCE2}"/>
    <cellStyle name="Currency 5 2 6 2" xfId="736" xr:uid="{00000000-0005-0000-0000-0000690C0000}"/>
    <cellStyle name="Currency 5 2 6 2 2" xfId="2989" xr:uid="{00000000-0005-0000-0000-00006A0C0000}"/>
    <cellStyle name="Currency 5 2 6 2 2 2" xfId="7213" xr:uid="{00000000-0005-0000-0000-00006B0C0000}"/>
    <cellStyle name="Currency 5 2 6 2 2 2 2" xfId="15642" xr:uid="{EFDA72D5-6C4D-4190-8FFD-15D2D8F406A9}"/>
    <cellStyle name="Currency 5 2 6 2 2 3" xfId="11424" xr:uid="{E7C644B7-E5E2-44C1-8260-DB48FBCAD985}"/>
    <cellStyle name="Currency 5 2 6 2 3" xfId="5068" xr:uid="{00000000-0005-0000-0000-00006C0C0000}"/>
    <cellStyle name="Currency 5 2 6 2 3 2" xfId="13497" xr:uid="{87960F9D-E361-4235-A301-97E53972BF4A}"/>
    <cellStyle name="Currency 5 2 6 2 4" xfId="9279" xr:uid="{247C4DEB-4E48-493F-BE53-2F5CEA239DE0}"/>
    <cellStyle name="Currency 5 2 6 3" xfId="1171" xr:uid="{00000000-0005-0000-0000-00006D0C0000}"/>
    <cellStyle name="Currency 5 2 6 3 2" xfId="3402" xr:uid="{00000000-0005-0000-0000-00006E0C0000}"/>
    <cellStyle name="Currency 5 2 6 3 2 2" xfId="7626" xr:uid="{00000000-0005-0000-0000-00006F0C0000}"/>
    <cellStyle name="Currency 5 2 6 3 2 2 2" xfId="16055" xr:uid="{9A171A87-2F82-4AFD-9537-ADCADE27D33F}"/>
    <cellStyle name="Currency 5 2 6 3 2 3" xfId="11837" xr:uid="{BE99ADBB-CAC2-45B1-A4C4-DE8B87D20123}"/>
    <cellStyle name="Currency 5 2 6 3 3" xfId="5481" xr:uid="{00000000-0005-0000-0000-0000700C0000}"/>
    <cellStyle name="Currency 5 2 6 3 3 2" xfId="13910" xr:uid="{CFE45749-5527-45E6-A79B-C10B3C944074}"/>
    <cellStyle name="Currency 5 2 6 3 4" xfId="9692" xr:uid="{DEE99952-598C-4432-ACC2-BA5A1C4F1A79}"/>
    <cellStyle name="Currency 5 2 6 4" xfId="1585" xr:uid="{00000000-0005-0000-0000-0000710C0000}"/>
    <cellStyle name="Currency 5 2 6 4 2" xfId="3815" xr:uid="{00000000-0005-0000-0000-0000720C0000}"/>
    <cellStyle name="Currency 5 2 6 4 2 2" xfId="8039" xr:uid="{00000000-0005-0000-0000-0000730C0000}"/>
    <cellStyle name="Currency 5 2 6 4 2 2 2" xfId="16468" xr:uid="{9442E270-C0EA-46C5-8F58-84C83551FBDC}"/>
    <cellStyle name="Currency 5 2 6 4 2 3" xfId="12250" xr:uid="{BC8F2BC5-539A-4AF3-A2D6-BFD5A99367B2}"/>
    <cellStyle name="Currency 5 2 6 4 3" xfId="5894" xr:uid="{00000000-0005-0000-0000-0000740C0000}"/>
    <cellStyle name="Currency 5 2 6 4 3 2" xfId="14323" xr:uid="{C4718BA3-8B52-4261-B062-6BFA4878E7A1}"/>
    <cellStyle name="Currency 5 2 6 4 4" xfId="10105" xr:uid="{D26D8E8D-7C10-44BB-8267-B6D28DB74393}"/>
    <cellStyle name="Currency 5 2 6 5" xfId="1999" xr:uid="{00000000-0005-0000-0000-0000750C0000}"/>
    <cellStyle name="Currency 5 2 6 5 2" xfId="4228" xr:uid="{00000000-0005-0000-0000-0000760C0000}"/>
    <cellStyle name="Currency 5 2 6 5 2 2" xfId="8452" xr:uid="{00000000-0005-0000-0000-0000770C0000}"/>
    <cellStyle name="Currency 5 2 6 5 2 2 2" xfId="16881" xr:uid="{EE051DB9-0726-400B-B510-1F3FC99A1D38}"/>
    <cellStyle name="Currency 5 2 6 5 2 3" xfId="12663" xr:uid="{BFC728C1-5873-4941-B057-00B671583474}"/>
    <cellStyle name="Currency 5 2 6 5 3" xfId="6307" xr:uid="{00000000-0005-0000-0000-0000780C0000}"/>
    <cellStyle name="Currency 5 2 6 5 3 2" xfId="14736" xr:uid="{D470CA36-429D-4283-A8E9-C00606B42378}"/>
    <cellStyle name="Currency 5 2 6 5 4" xfId="10518" xr:uid="{274D3E67-7CBD-47A0-98CC-F1FD86BA3C8F}"/>
    <cellStyle name="Currency 5 2 6 6" xfId="2434" xr:uid="{00000000-0005-0000-0000-0000790C0000}"/>
    <cellStyle name="Currency 5 2 6 6 2" xfId="6720" xr:uid="{00000000-0005-0000-0000-00007A0C0000}"/>
    <cellStyle name="Currency 5 2 6 6 2 2" xfId="15149" xr:uid="{A53946CE-5EF5-4F5E-8643-546E543CB050}"/>
    <cellStyle name="Currency 5 2 6 6 3" xfId="10931" xr:uid="{0CB137B2-EEA2-44DE-ACA5-C1183BC5F7C7}"/>
    <cellStyle name="Currency 5 2 6 7" xfId="2731" xr:uid="{00000000-0005-0000-0000-00007B0C0000}"/>
    <cellStyle name="Currency 5 2 6 8" xfId="2812" xr:uid="{00000000-0005-0000-0000-00007C0C0000}"/>
    <cellStyle name="Currency 5 2 6 8 2" xfId="7037" xr:uid="{00000000-0005-0000-0000-00007D0C0000}"/>
    <cellStyle name="Currency 5 2 6 8 2 2" xfId="15466" xr:uid="{2F2DB755-E581-4602-9786-9459E117DE83}"/>
    <cellStyle name="Currency 5 2 6 8 3" xfId="11248" xr:uid="{B365ACF9-F75F-44A0-AD6D-5DEAD28B9DD7}"/>
    <cellStyle name="Currency 5 2 6 9" xfId="4654" xr:uid="{00000000-0005-0000-0000-00007E0C0000}"/>
    <cellStyle name="Currency 5 2 6 9 2" xfId="13083" xr:uid="{1B627583-DB42-44B9-86B0-D5EC6D3912A3}"/>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0 2 2" xfId="15467" xr:uid="{C34F5EBF-CDC8-4C2B-83B6-B73200EAF99E}"/>
    <cellStyle name="Currency 5 3 2 10 3" xfId="11249" xr:uid="{7B0F4207-DED7-4A60-A100-2BB66B79844D}"/>
    <cellStyle name="Currency 5 3 2 11" xfId="4655" xr:uid="{00000000-0005-0000-0000-0000840C0000}"/>
    <cellStyle name="Currency 5 3 2 11 2" xfId="13084" xr:uid="{D4B720CA-FDF7-43AE-B263-3DAA0B0F1B62}"/>
    <cellStyle name="Currency 5 3 2 12" xfId="8866" xr:uid="{B034244F-702D-414C-BD3F-B33A8474621A}"/>
    <cellStyle name="Currency 5 3 2 2" xfId="211" xr:uid="{00000000-0005-0000-0000-0000850C0000}"/>
    <cellStyle name="Currency 5 3 2 2 10" xfId="4656" xr:uid="{00000000-0005-0000-0000-0000860C0000}"/>
    <cellStyle name="Currency 5 3 2 2 10 2" xfId="13085" xr:uid="{FABAFDB5-912A-4C7B-9704-64C3D1CA5D7A}"/>
    <cellStyle name="Currency 5 3 2 2 11" xfId="8867" xr:uid="{7ED1D866-F223-4A7C-95A4-24710EAFA415}"/>
    <cellStyle name="Currency 5 3 2 2 2" xfId="212" xr:uid="{00000000-0005-0000-0000-0000870C0000}"/>
    <cellStyle name="Currency 5 3 2 2 2 10" xfId="8868" xr:uid="{02125AB3-AA3E-4E0B-8332-97762D7D04FB}"/>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2 2 2" xfId="15645" xr:uid="{CA2AADA3-6CD8-422F-8F2A-ABAD17196375}"/>
    <cellStyle name="Currency 5 3 2 2 2 2 2 3" xfId="11427" xr:uid="{E31B29A4-B137-4D0C-ACA9-DF99869184DE}"/>
    <cellStyle name="Currency 5 3 2 2 2 2 3" xfId="5071" xr:uid="{00000000-0005-0000-0000-00008B0C0000}"/>
    <cellStyle name="Currency 5 3 2 2 2 2 3 2" xfId="13500" xr:uid="{BA99B2FD-FEE0-484D-84FB-5A2545B069B7}"/>
    <cellStyle name="Currency 5 3 2 2 2 2 4" xfId="9282" xr:uid="{D419488F-6E27-4D0D-A495-DECA9A8C7423}"/>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2 2 2" xfId="16058" xr:uid="{A5B964CF-4700-43F6-A57A-79F84D7EB7FB}"/>
    <cellStyle name="Currency 5 3 2 2 2 3 2 3" xfId="11840" xr:uid="{D1B78826-DE6B-4B18-83F0-2DA4D9D419DD}"/>
    <cellStyle name="Currency 5 3 2 2 2 3 3" xfId="5484" xr:uid="{00000000-0005-0000-0000-00008F0C0000}"/>
    <cellStyle name="Currency 5 3 2 2 2 3 3 2" xfId="13913" xr:uid="{50289730-F784-4B42-AA9C-40D06CAC8282}"/>
    <cellStyle name="Currency 5 3 2 2 2 3 4" xfId="9695" xr:uid="{463A1998-F344-449F-99F4-07D497A42DB1}"/>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2 2 2" xfId="16471" xr:uid="{6DD5B0F3-A14A-467E-9587-7FF432477BC2}"/>
    <cellStyle name="Currency 5 3 2 2 2 4 2 3" xfId="12253" xr:uid="{B269116B-FFDC-4681-9FD1-A901E4E0D5D9}"/>
    <cellStyle name="Currency 5 3 2 2 2 4 3" xfId="5897" xr:uid="{00000000-0005-0000-0000-0000930C0000}"/>
    <cellStyle name="Currency 5 3 2 2 2 4 3 2" xfId="14326" xr:uid="{34DEE519-69FD-43DB-A3A7-B01886B24557}"/>
    <cellStyle name="Currency 5 3 2 2 2 4 4" xfId="10108" xr:uid="{4083147A-F8BD-4010-8847-7610225FC0F4}"/>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2 2 2" xfId="16884" xr:uid="{F2573F10-3692-47AE-A426-2AC4A5D75758}"/>
    <cellStyle name="Currency 5 3 2 2 2 5 2 3" xfId="12666" xr:uid="{C83DC89C-0C82-4382-83C2-A505C276662B}"/>
    <cellStyle name="Currency 5 3 2 2 2 5 3" xfId="6310" xr:uid="{00000000-0005-0000-0000-0000970C0000}"/>
    <cellStyle name="Currency 5 3 2 2 2 5 3 2" xfId="14739" xr:uid="{EA5CF592-E862-47F5-8726-875E6C6C1323}"/>
    <cellStyle name="Currency 5 3 2 2 2 5 4" xfId="10521" xr:uid="{0D9523C8-9688-4BB3-ACD1-8B48A3035CD8}"/>
    <cellStyle name="Currency 5 3 2 2 2 6" xfId="2437" xr:uid="{00000000-0005-0000-0000-0000980C0000}"/>
    <cellStyle name="Currency 5 3 2 2 2 6 2" xfId="6723" xr:uid="{00000000-0005-0000-0000-0000990C0000}"/>
    <cellStyle name="Currency 5 3 2 2 2 6 2 2" xfId="15152" xr:uid="{C74828AA-F3B0-4B4F-8E43-D643ECCD0E87}"/>
    <cellStyle name="Currency 5 3 2 2 2 6 3" xfId="10934" xr:uid="{D059C21B-132E-489A-BEC2-D975399714AD}"/>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8 2 2" xfId="15469" xr:uid="{6E3F2B3B-B230-4408-92A2-7FCF69627860}"/>
    <cellStyle name="Currency 5 3 2 2 2 8 3" xfId="11251" xr:uid="{053E2515-A915-4C15-BFD4-A6B92744F671}"/>
    <cellStyle name="Currency 5 3 2 2 2 9" xfId="4657" xr:uid="{00000000-0005-0000-0000-00009D0C0000}"/>
    <cellStyle name="Currency 5 3 2 2 2 9 2" xfId="13086" xr:uid="{A1F424B6-E0FA-43BD-B168-6F4A9D240C79}"/>
    <cellStyle name="Currency 5 3 2 2 3" xfId="738" xr:uid="{00000000-0005-0000-0000-00009E0C0000}"/>
    <cellStyle name="Currency 5 3 2 2 3 2" xfId="2991" xr:uid="{00000000-0005-0000-0000-00009F0C0000}"/>
    <cellStyle name="Currency 5 3 2 2 3 2 2" xfId="7215" xr:uid="{00000000-0005-0000-0000-0000A00C0000}"/>
    <cellStyle name="Currency 5 3 2 2 3 2 2 2" xfId="15644" xr:uid="{2043C578-B77D-46B1-B601-604C9CC801B4}"/>
    <cellStyle name="Currency 5 3 2 2 3 2 3" xfId="11426" xr:uid="{B44015A8-D8BF-413E-A213-4A7E244FE7D6}"/>
    <cellStyle name="Currency 5 3 2 2 3 3" xfId="5070" xr:uid="{00000000-0005-0000-0000-0000A10C0000}"/>
    <cellStyle name="Currency 5 3 2 2 3 3 2" xfId="13499" xr:uid="{1B085A86-0F6A-4292-AFC1-A01D52588CF6}"/>
    <cellStyle name="Currency 5 3 2 2 3 4" xfId="9281" xr:uid="{CDC56C26-A4CC-46A2-AEAE-F111D0E9EF62}"/>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2 2 2" xfId="16057" xr:uid="{378E4B15-3AE5-47BD-9726-252E77054A67}"/>
    <cellStyle name="Currency 5 3 2 2 4 2 3" xfId="11839" xr:uid="{712767BC-AA78-4DAF-9F69-EB6C190C46D5}"/>
    <cellStyle name="Currency 5 3 2 2 4 3" xfId="5483" xr:uid="{00000000-0005-0000-0000-0000A50C0000}"/>
    <cellStyle name="Currency 5 3 2 2 4 3 2" xfId="13912" xr:uid="{80D9CDBA-8F10-48B3-9DC9-91D6EAB74D5C}"/>
    <cellStyle name="Currency 5 3 2 2 4 4" xfId="9694" xr:uid="{BA2524D1-A9D2-47FD-B999-6CEC473EF7BF}"/>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2 2 2" xfId="16470" xr:uid="{54734705-4D15-47E7-B857-791613AC5BB5}"/>
    <cellStyle name="Currency 5 3 2 2 5 2 3" xfId="12252" xr:uid="{0ED5F8D6-A784-4D9F-A2D7-8F6EC628EFDF}"/>
    <cellStyle name="Currency 5 3 2 2 5 3" xfId="5896" xr:uid="{00000000-0005-0000-0000-0000A90C0000}"/>
    <cellStyle name="Currency 5 3 2 2 5 3 2" xfId="14325" xr:uid="{CD80DC71-B716-41D3-8103-CE195E12DD87}"/>
    <cellStyle name="Currency 5 3 2 2 5 4" xfId="10107" xr:uid="{4A131A4B-55F5-423A-8625-C25BF7AF7332}"/>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2 2 2" xfId="16883" xr:uid="{AC9CBD2A-3FCC-4DF6-A814-A83F94A0DABF}"/>
    <cellStyle name="Currency 5 3 2 2 6 2 3" xfId="12665" xr:uid="{3992176A-6DF5-4692-85F8-6893B3B0EF31}"/>
    <cellStyle name="Currency 5 3 2 2 6 3" xfId="6309" xr:uid="{00000000-0005-0000-0000-0000AD0C0000}"/>
    <cellStyle name="Currency 5 3 2 2 6 3 2" xfId="14738" xr:uid="{73D90A25-77A2-476E-8A4A-0326CDD35D62}"/>
    <cellStyle name="Currency 5 3 2 2 6 4" xfId="10520" xr:uid="{13153999-7ABD-4133-8EFA-5B4CBA22C301}"/>
    <cellStyle name="Currency 5 3 2 2 7" xfId="2436" xr:uid="{00000000-0005-0000-0000-0000AE0C0000}"/>
    <cellStyle name="Currency 5 3 2 2 7 2" xfId="6722" xr:uid="{00000000-0005-0000-0000-0000AF0C0000}"/>
    <cellStyle name="Currency 5 3 2 2 7 2 2" xfId="15151" xr:uid="{D2E26EC7-EBF6-4E99-93E8-F938B0053D3C}"/>
    <cellStyle name="Currency 5 3 2 2 7 3" xfId="10933" xr:uid="{E63F50C3-2B5A-47D4-9BD8-7DD561102618}"/>
    <cellStyle name="Currency 5 3 2 2 8" xfId="2733" xr:uid="{00000000-0005-0000-0000-0000B00C0000}"/>
    <cellStyle name="Currency 5 3 2 2 9" xfId="2814" xr:uid="{00000000-0005-0000-0000-0000B10C0000}"/>
    <cellStyle name="Currency 5 3 2 2 9 2" xfId="7039" xr:uid="{00000000-0005-0000-0000-0000B20C0000}"/>
    <cellStyle name="Currency 5 3 2 2 9 2 2" xfId="15468" xr:uid="{48213C78-5F56-40DF-AA01-729E6D2A9C12}"/>
    <cellStyle name="Currency 5 3 2 2 9 3" xfId="11250" xr:uid="{1634787B-D333-446C-9977-7633C209176C}"/>
    <cellStyle name="Currency 5 3 2 3" xfId="213" xr:uid="{00000000-0005-0000-0000-0000B30C0000}"/>
    <cellStyle name="Currency 5 3 2 3 10" xfId="8869" xr:uid="{83075931-D18F-4DFD-A09E-0E278A18F857}"/>
    <cellStyle name="Currency 5 3 2 3 2" xfId="740" xr:uid="{00000000-0005-0000-0000-0000B40C0000}"/>
    <cellStyle name="Currency 5 3 2 3 2 2" xfId="2993" xr:uid="{00000000-0005-0000-0000-0000B50C0000}"/>
    <cellStyle name="Currency 5 3 2 3 2 2 2" xfId="7217" xr:uid="{00000000-0005-0000-0000-0000B60C0000}"/>
    <cellStyle name="Currency 5 3 2 3 2 2 2 2" xfId="15646" xr:uid="{652C8591-5A3E-42EF-8121-8DBEF2A36687}"/>
    <cellStyle name="Currency 5 3 2 3 2 2 3" xfId="11428" xr:uid="{1EE3786B-D0FE-411A-8B8C-31BEBC0CB7FE}"/>
    <cellStyle name="Currency 5 3 2 3 2 3" xfId="5072" xr:uid="{00000000-0005-0000-0000-0000B70C0000}"/>
    <cellStyle name="Currency 5 3 2 3 2 3 2" xfId="13501" xr:uid="{FDE83072-E8C4-4FBD-A508-383C6B08D6C6}"/>
    <cellStyle name="Currency 5 3 2 3 2 4" xfId="9283" xr:uid="{3A9F7018-590A-44D3-A365-60FC489C316F}"/>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2 2 2" xfId="16059" xr:uid="{64435314-6A19-4473-AA3B-BB8D0DA1E56C}"/>
    <cellStyle name="Currency 5 3 2 3 3 2 3" xfId="11841" xr:uid="{A200EC19-AF68-498C-9E4B-2E706523451E}"/>
    <cellStyle name="Currency 5 3 2 3 3 3" xfId="5485" xr:uid="{00000000-0005-0000-0000-0000BB0C0000}"/>
    <cellStyle name="Currency 5 3 2 3 3 3 2" xfId="13914" xr:uid="{F6A2CFAA-34F3-4282-8CC8-F633D751CA3A}"/>
    <cellStyle name="Currency 5 3 2 3 3 4" xfId="9696" xr:uid="{50FCF5D2-F79B-4279-BCD4-B79CDC3D5F2B}"/>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2 2 2" xfId="16472" xr:uid="{3E30C041-5674-4405-BDCB-466AD383D62D}"/>
    <cellStyle name="Currency 5 3 2 3 4 2 3" xfId="12254" xr:uid="{8D356AE0-23A5-4D63-852A-6FED38061D31}"/>
    <cellStyle name="Currency 5 3 2 3 4 3" xfId="5898" xr:uid="{00000000-0005-0000-0000-0000BF0C0000}"/>
    <cellStyle name="Currency 5 3 2 3 4 3 2" xfId="14327" xr:uid="{25D6CB70-68B4-4D6C-B04B-7204E977E76A}"/>
    <cellStyle name="Currency 5 3 2 3 4 4" xfId="10109" xr:uid="{69A85912-A934-4BBE-9387-6C9941FC18C4}"/>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2 2 2" xfId="16885" xr:uid="{AADF0EA1-30CD-4829-ACCD-38F97CF3B660}"/>
    <cellStyle name="Currency 5 3 2 3 5 2 3" xfId="12667" xr:uid="{248AD1C4-B76F-4B0B-9085-947EAFEA7F47}"/>
    <cellStyle name="Currency 5 3 2 3 5 3" xfId="6311" xr:uid="{00000000-0005-0000-0000-0000C30C0000}"/>
    <cellStyle name="Currency 5 3 2 3 5 3 2" xfId="14740" xr:uid="{680C6CB6-3D65-42CA-B0FE-4A307292C4C0}"/>
    <cellStyle name="Currency 5 3 2 3 5 4" xfId="10522" xr:uid="{CD59CD1C-A71D-4905-A59C-031B27A97E40}"/>
    <cellStyle name="Currency 5 3 2 3 6" xfId="2438" xr:uid="{00000000-0005-0000-0000-0000C40C0000}"/>
    <cellStyle name="Currency 5 3 2 3 6 2" xfId="6724" xr:uid="{00000000-0005-0000-0000-0000C50C0000}"/>
    <cellStyle name="Currency 5 3 2 3 6 2 2" xfId="15153" xr:uid="{52548F32-C197-4C9C-90FC-C344F40DE974}"/>
    <cellStyle name="Currency 5 3 2 3 6 3" xfId="10935" xr:uid="{927B25EB-E203-46EE-B0B0-1E96462C27A4}"/>
    <cellStyle name="Currency 5 3 2 3 7" xfId="2735" xr:uid="{00000000-0005-0000-0000-0000C60C0000}"/>
    <cellStyle name="Currency 5 3 2 3 8" xfId="2816" xr:uid="{00000000-0005-0000-0000-0000C70C0000}"/>
    <cellStyle name="Currency 5 3 2 3 8 2" xfId="7041" xr:uid="{00000000-0005-0000-0000-0000C80C0000}"/>
    <cellStyle name="Currency 5 3 2 3 8 2 2" xfId="15470" xr:uid="{26E2A9A1-55E2-426B-80DC-50E9CA452C2A}"/>
    <cellStyle name="Currency 5 3 2 3 8 3" xfId="11252" xr:uid="{6952A692-1F8F-495B-9361-4CDB26BA2F4F}"/>
    <cellStyle name="Currency 5 3 2 3 9" xfId="4658" xr:uid="{00000000-0005-0000-0000-0000C90C0000}"/>
    <cellStyle name="Currency 5 3 2 3 9 2" xfId="13087" xr:uid="{40EE29BA-0B0B-4E61-8F0D-566883CEF426}"/>
    <cellStyle name="Currency 5 3 2 4" xfId="737" xr:uid="{00000000-0005-0000-0000-0000CA0C0000}"/>
    <cellStyle name="Currency 5 3 2 4 2" xfId="2990" xr:uid="{00000000-0005-0000-0000-0000CB0C0000}"/>
    <cellStyle name="Currency 5 3 2 4 2 2" xfId="7214" xr:uid="{00000000-0005-0000-0000-0000CC0C0000}"/>
    <cellStyle name="Currency 5 3 2 4 2 2 2" xfId="15643" xr:uid="{F1333B7B-0921-4D5E-94DE-AD55FB8DE353}"/>
    <cellStyle name="Currency 5 3 2 4 2 3" xfId="11425" xr:uid="{0576EAA3-E793-42E2-B3EC-5BB3A33350D9}"/>
    <cellStyle name="Currency 5 3 2 4 3" xfId="5069" xr:uid="{00000000-0005-0000-0000-0000CD0C0000}"/>
    <cellStyle name="Currency 5 3 2 4 3 2" xfId="13498" xr:uid="{0B7257CB-AD28-47FD-90EF-F5295B772636}"/>
    <cellStyle name="Currency 5 3 2 4 4" xfId="9280" xr:uid="{79F7EBE8-C588-4C0C-86BE-C2B867356B9E}"/>
    <cellStyle name="Currency 5 3 2 5" xfId="1172" xr:uid="{00000000-0005-0000-0000-0000CE0C0000}"/>
    <cellStyle name="Currency 5 3 2 5 2" xfId="3403" xr:uid="{00000000-0005-0000-0000-0000CF0C0000}"/>
    <cellStyle name="Currency 5 3 2 5 2 2" xfId="7627" xr:uid="{00000000-0005-0000-0000-0000D00C0000}"/>
    <cellStyle name="Currency 5 3 2 5 2 2 2" xfId="16056" xr:uid="{CE79BADB-2105-4ED5-8E47-C2FB16450FF2}"/>
    <cellStyle name="Currency 5 3 2 5 2 3" xfId="11838" xr:uid="{FE51E52B-150C-43C4-8BEC-BBE200D38C50}"/>
    <cellStyle name="Currency 5 3 2 5 3" xfId="5482" xr:uid="{00000000-0005-0000-0000-0000D10C0000}"/>
    <cellStyle name="Currency 5 3 2 5 3 2" xfId="13911" xr:uid="{87038E85-713A-4F5B-B6DA-B6AAEB5F7FEE}"/>
    <cellStyle name="Currency 5 3 2 5 4" xfId="9693" xr:uid="{B5A9E578-FB6E-48F1-9102-9DF61DFE9CED}"/>
    <cellStyle name="Currency 5 3 2 6" xfId="1586" xr:uid="{00000000-0005-0000-0000-0000D20C0000}"/>
    <cellStyle name="Currency 5 3 2 6 2" xfId="3816" xr:uid="{00000000-0005-0000-0000-0000D30C0000}"/>
    <cellStyle name="Currency 5 3 2 6 2 2" xfId="8040" xr:uid="{00000000-0005-0000-0000-0000D40C0000}"/>
    <cellStyle name="Currency 5 3 2 6 2 2 2" xfId="16469" xr:uid="{BECAAC3D-F429-4BC1-94B6-E224B93ABCA3}"/>
    <cellStyle name="Currency 5 3 2 6 2 3" xfId="12251" xr:uid="{399751B3-FEB5-4C32-9FF2-A7A9FE24C9BD}"/>
    <cellStyle name="Currency 5 3 2 6 3" xfId="5895" xr:uid="{00000000-0005-0000-0000-0000D50C0000}"/>
    <cellStyle name="Currency 5 3 2 6 3 2" xfId="14324" xr:uid="{88495848-3706-49C4-AE9B-20C20FA8F2D8}"/>
    <cellStyle name="Currency 5 3 2 6 4" xfId="10106" xr:uid="{D8BFE818-B307-4C36-B727-08324AC26D97}"/>
    <cellStyle name="Currency 5 3 2 7" xfId="2000" xr:uid="{00000000-0005-0000-0000-0000D60C0000}"/>
    <cellStyle name="Currency 5 3 2 7 2" xfId="4229" xr:uid="{00000000-0005-0000-0000-0000D70C0000}"/>
    <cellStyle name="Currency 5 3 2 7 2 2" xfId="8453" xr:uid="{00000000-0005-0000-0000-0000D80C0000}"/>
    <cellStyle name="Currency 5 3 2 7 2 2 2" xfId="16882" xr:uid="{18683F77-5FEE-452F-9C03-EDEE3E03C03E}"/>
    <cellStyle name="Currency 5 3 2 7 2 3" xfId="12664" xr:uid="{FBDC189B-E67F-472A-85D5-53D7567E795A}"/>
    <cellStyle name="Currency 5 3 2 7 3" xfId="6308" xr:uid="{00000000-0005-0000-0000-0000D90C0000}"/>
    <cellStyle name="Currency 5 3 2 7 3 2" xfId="14737" xr:uid="{EC4089C5-D3F1-4615-B087-6572E8915587}"/>
    <cellStyle name="Currency 5 3 2 7 4" xfId="10519" xr:uid="{27B647CC-E396-4BA2-A2A0-553E0CB30494}"/>
    <cellStyle name="Currency 5 3 2 8" xfId="2435" xr:uid="{00000000-0005-0000-0000-0000DA0C0000}"/>
    <cellStyle name="Currency 5 3 2 8 2" xfId="6721" xr:uid="{00000000-0005-0000-0000-0000DB0C0000}"/>
    <cellStyle name="Currency 5 3 2 8 2 2" xfId="15150" xr:uid="{E0F72858-2658-4217-B7B1-C4C07E12943F}"/>
    <cellStyle name="Currency 5 3 2 8 3" xfId="10932" xr:uid="{6DCE87BD-7FB1-4D3E-A510-E9CCAD1A1AB2}"/>
    <cellStyle name="Currency 5 3 2 9" xfId="2732" xr:uid="{00000000-0005-0000-0000-0000DC0C0000}"/>
    <cellStyle name="Currency 5 3 3" xfId="214" xr:uid="{00000000-0005-0000-0000-0000DD0C0000}"/>
    <cellStyle name="Currency 5 3 3 10" xfId="4659" xr:uid="{00000000-0005-0000-0000-0000DE0C0000}"/>
    <cellStyle name="Currency 5 3 3 10 2" xfId="13088" xr:uid="{0EBD1242-DC89-4C27-915B-454BBC2948C4}"/>
    <cellStyle name="Currency 5 3 3 11" xfId="8870" xr:uid="{A2540DAC-72FD-4F60-B38B-41DACDABDEEF}"/>
    <cellStyle name="Currency 5 3 3 2" xfId="215" xr:uid="{00000000-0005-0000-0000-0000DF0C0000}"/>
    <cellStyle name="Currency 5 3 3 2 10" xfId="8871" xr:uid="{B3AEA632-755B-440D-AB1D-3A99A3B79AD7}"/>
    <cellStyle name="Currency 5 3 3 2 2" xfId="742" xr:uid="{00000000-0005-0000-0000-0000E00C0000}"/>
    <cellStyle name="Currency 5 3 3 2 2 2" xfId="2995" xr:uid="{00000000-0005-0000-0000-0000E10C0000}"/>
    <cellStyle name="Currency 5 3 3 2 2 2 2" xfId="7219" xr:uid="{00000000-0005-0000-0000-0000E20C0000}"/>
    <cellStyle name="Currency 5 3 3 2 2 2 2 2" xfId="15648" xr:uid="{429848A3-C1AE-4D0B-B4F4-E7FCA9C1EAAE}"/>
    <cellStyle name="Currency 5 3 3 2 2 2 3" xfId="11430" xr:uid="{8186E8B5-B3AE-4183-A69D-01F78DAEF7BB}"/>
    <cellStyle name="Currency 5 3 3 2 2 3" xfId="5074" xr:uid="{00000000-0005-0000-0000-0000E30C0000}"/>
    <cellStyle name="Currency 5 3 3 2 2 3 2" xfId="13503" xr:uid="{48A2965A-C647-4570-AD1D-F15EEB50B19D}"/>
    <cellStyle name="Currency 5 3 3 2 2 4" xfId="9285" xr:uid="{9B56B45E-94F3-4611-8D87-81D332721658}"/>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2 2 2" xfId="16061" xr:uid="{C334054F-E632-424A-8809-FAFC4989955F}"/>
    <cellStyle name="Currency 5 3 3 2 3 2 3" xfId="11843" xr:uid="{7487737F-9617-4CAE-B137-68C2820BE8F6}"/>
    <cellStyle name="Currency 5 3 3 2 3 3" xfId="5487" xr:uid="{00000000-0005-0000-0000-0000E70C0000}"/>
    <cellStyle name="Currency 5 3 3 2 3 3 2" xfId="13916" xr:uid="{3CBE2194-A7D5-4C73-85E7-D4A195822247}"/>
    <cellStyle name="Currency 5 3 3 2 3 4" xfId="9698" xr:uid="{4605901F-8EBB-4E08-B50A-FCABCDB5138C}"/>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2 2 2" xfId="16474" xr:uid="{4B07D008-87D7-46B2-8FC6-D6D29828745E}"/>
    <cellStyle name="Currency 5 3 3 2 4 2 3" xfId="12256" xr:uid="{8996478C-E56C-4B05-9179-5759E3B6A731}"/>
    <cellStyle name="Currency 5 3 3 2 4 3" xfId="5900" xr:uid="{00000000-0005-0000-0000-0000EB0C0000}"/>
    <cellStyle name="Currency 5 3 3 2 4 3 2" xfId="14329" xr:uid="{10B4144A-760A-4F53-AF3F-1CA8C71C9F8E}"/>
    <cellStyle name="Currency 5 3 3 2 4 4" xfId="10111" xr:uid="{0EF914DF-E3C7-46C0-BB03-0F471F32C5AD}"/>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2 2 2" xfId="16887" xr:uid="{33BA16B4-94F5-4837-9216-4CD0C074BD0C}"/>
    <cellStyle name="Currency 5 3 3 2 5 2 3" xfId="12669" xr:uid="{F126E8E3-C82B-485E-BA1E-FB650AD09FA1}"/>
    <cellStyle name="Currency 5 3 3 2 5 3" xfId="6313" xr:uid="{00000000-0005-0000-0000-0000EF0C0000}"/>
    <cellStyle name="Currency 5 3 3 2 5 3 2" xfId="14742" xr:uid="{E8B64F03-7258-4A4B-B15C-0941738FDF3C}"/>
    <cellStyle name="Currency 5 3 3 2 5 4" xfId="10524" xr:uid="{FBB7D397-69FC-4700-B507-F376D3D1602B}"/>
    <cellStyle name="Currency 5 3 3 2 6" xfId="2440" xr:uid="{00000000-0005-0000-0000-0000F00C0000}"/>
    <cellStyle name="Currency 5 3 3 2 6 2" xfId="6726" xr:uid="{00000000-0005-0000-0000-0000F10C0000}"/>
    <cellStyle name="Currency 5 3 3 2 6 2 2" xfId="15155" xr:uid="{F86453C0-5C83-4013-88BF-950AFE6813EE}"/>
    <cellStyle name="Currency 5 3 3 2 6 3" xfId="10937" xr:uid="{618F77A1-154D-4680-A357-ADC14C98C316}"/>
    <cellStyle name="Currency 5 3 3 2 7" xfId="2737" xr:uid="{00000000-0005-0000-0000-0000F20C0000}"/>
    <cellStyle name="Currency 5 3 3 2 8" xfId="2818" xr:uid="{00000000-0005-0000-0000-0000F30C0000}"/>
    <cellStyle name="Currency 5 3 3 2 8 2" xfId="7043" xr:uid="{00000000-0005-0000-0000-0000F40C0000}"/>
    <cellStyle name="Currency 5 3 3 2 8 2 2" xfId="15472" xr:uid="{5E4E5365-0E44-4A9D-A6DF-DD0E81210061}"/>
    <cellStyle name="Currency 5 3 3 2 8 3" xfId="11254" xr:uid="{64D307C7-A528-4C3C-B3F7-CCE3DAD53D49}"/>
    <cellStyle name="Currency 5 3 3 2 9" xfId="4660" xr:uid="{00000000-0005-0000-0000-0000F50C0000}"/>
    <cellStyle name="Currency 5 3 3 2 9 2" xfId="13089" xr:uid="{D8B3EADA-35AE-47DB-910E-3E4DE6561E69}"/>
    <cellStyle name="Currency 5 3 3 3" xfId="741" xr:uid="{00000000-0005-0000-0000-0000F60C0000}"/>
    <cellStyle name="Currency 5 3 3 3 2" xfId="2994" xr:uid="{00000000-0005-0000-0000-0000F70C0000}"/>
    <cellStyle name="Currency 5 3 3 3 2 2" xfId="7218" xr:uid="{00000000-0005-0000-0000-0000F80C0000}"/>
    <cellStyle name="Currency 5 3 3 3 2 2 2" xfId="15647" xr:uid="{B4607F73-B986-4363-A1A9-AAEA2666D9C1}"/>
    <cellStyle name="Currency 5 3 3 3 2 3" xfId="11429" xr:uid="{1C049F1A-EAA4-4218-A94C-5F2826F0A2C5}"/>
    <cellStyle name="Currency 5 3 3 3 3" xfId="5073" xr:uid="{00000000-0005-0000-0000-0000F90C0000}"/>
    <cellStyle name="Currency 5 3 3 3 3 2" xfId="13502" xr:uid="{A52FD532-80D1-4D99-896F-F05DF47F4817}"/>
    <cellStyle name="Currency 5 3 3 3 4" xfId="9284" xr:uid="{22A78FF0-30A1-4A75-9280-35F62B3E4BAD}"/>
    <cellStyle name="Currency 5 3 3 4" xfId="1176" xr:uid="{00000000-0005-0000-0000-0000FA0C0000}"/>
    <cellStyle name="Currency 5 3 3 4 2" xfId="3407" xr:uid="{00000000-0005-0000-0000-0000FB0C0000}"/>
    <cellStyle name="Currency 5 3 3 4 2 2" xfId="7631" xr:uid="{00000000-0005-0000-0000-0000FC0C0000}"/>
    <cellStyle name="Currency 5 3 3 4 2 2 2" xfId="16060" xr:uid="{9FB83EE9-7E20-4E55-A6FB-B51303A61A12}"/>
    <cellStyle name="Currency 5 3 3 4 2 3" xfId="11842" xr:uid="{82AD40DA-131B-4AD1-A2CE-16039889B053}"/>
    <cellStyle name="Currency 5 3 3 4 3" xfId="5486" xr:uid="{00000000-0005-0000-0000-0000FD0C0000}"/>
    <cellStyle name="Currency 5 3 3 4 3 2" xfId="13915" xr:uid="{6C1B50D6-A5FD-4B82-8AAC-ED068BBFEEF6}"/>
    <cellStyle name="Currency 5 3 3 4 4" xfId="9697" xr:uid="{45F66DAC-47D6-452C-AA47-3AD2A78EB5F3}"/>
    <cellStyle name="Currency 5 3 3 5" xfId="1590" xr:uid="{00000000-0005-0000-0000-0000FE0C0000}"/>
    <cellStyle name="Currency 5 3 3 5 2" xfId="3820" xr:uid="{00000000-0005-0000-0000-0000FF0C0000}"/>
    <cellStyle name="Currency 5 3 3 5 2 2" xfId="8044" xr:uid="{00000000-0005-0000-0000-0000000D0000}"/>
    <cellStyle name="Currency 5 3 3 5 2 2 2" xfId="16473" xr:uid="{B1F2DB6A-35E7-4595-8CCA-EF9090B3700C}"/>
    <cellStyle name="Currency 5 3 3 5 2 3" xfId="12255" xr:uid="{7D6423BA-4AD0-4410-BE2D-8AA0F3EA4D28}"/>
    <cellStyle name="Currency 5 3 3 5 3" xfId="5899" xr:uid="{00000000-0005-0000-0000-0000010D0000}"/>
    <cellStyle name="Currency 5 3 3 5 3 2" xfId="14328" xr:uid="{F682C37C-C173-4DD0-B04E-91E8F4684815}"/>
    <cellStyle name="Currency 5 3 3 5 4" xfId="10110" xr:uid="{353439F5-D743-4B2F-93C1-B24A4009017F}"/>
    <cellStyle name="Currency 5 3 3 6" xfId="2004" xr:uid="{00000000-0005-0000-0000-0000020D0000}"/>
    <cellStyle name="Currency 5 3 3 6 2" xfId="4233" xr:uid="{00000000-0005-0000-0000-0000030D0000}"/>
    <cellStyle name="Currency 5 3 3 6 2 2" xfId="8457" xr:uid="{00000000-0005-0000-0000-0000040D0000}"/>
    <cellStyle name="Currency 5 3 3 6 2 2 2" xfId="16886" xr:uid="{B06F328E-2859-4F7F-8C77-3E65CA675FC9}"/>
    <cellStyle name="Currency 5 3 3 6 2 3" xfId="12668" xr:uid="{02DC9535-7FB7-4D32-BF39-96EAA9C20E71}"/>
    <cellStyle name="Currency 5 3 3 6 3" xfId="6312" xr:uid="{00000000-0005-0000-0000-0000050D0000}"/>
    <cellStyle name="Currency 5 3 3 6 3 2" xfId="14741" xr:uid="{2D0071D5-7823-4717-B2C3-9D53F89DCF13}"/>
    <cellStyle name="Currency 5 3 3 6 4" xfId="10523" xr:uid="{B48FF75F-9E37-4E6A-A6AF-C46E5198C757}"/>
    <cellStyle name="Currency 5 3 3 7" xfId="2439" xr:uid="{00000000-0005-0000-0000-0000060D0000}"/>
    <cellStyle name="Currency 5 3 3 7 2" xfId="6725" xr:uid="{00000000-0005-0000-0000-0000070D0000}"/>
    <cellStyle name="Currency 5 3 3 7 2 2" xfId="15154" xr:uid="{8646FAD6-1167-40F3-91B8-A0DEA339C09C}"/>
    <cellStyle name="Currency 5 3 3 7 3" xfId="10936" xr:uid="{DC177692-4041-4C84-AB3E-464071004D5E}"/>
    <cellStyle name="Currency 5 3 3 8" xfId="2736" xr:uid="{00000000-0005-0000-0000-0000080D0000}"/>
    <cellStyle name="Currency 5 3 3 9" xfId="2817" xr:uid="{00000000-0005-0000-0000-0000090D0000}"/>
    <cellStyle name="Currency 5 3 3 9 2" xfId="7042" xr:uid="{00000000-0005-0000-0000-00000A0D0000}"/>
    <cellStyle name="Currency 5 3 3 9 2 2" xfId="15471" xr:uid="{9944DF8D-50D5-4C8F-B3EB-48872584C8BA}"/>
    <cellStyle name="Currency 5 3 3 9 3" xfId="11253" xr:uid="{06F76864-6950-495E-8595-CA02B2686D48}"/>
    <cellStyle name="Currency 5 3 4" xfId="216" xr:uid="{00000000-0005-0000-0000-00000B0D0000}"/>
    <cellStyle name="Currency 5 3 4 10" xfId="8872" xr:uid="{01707E8A-2878-44AE-9F64-FFF3EB27215F}"/>
    <cellStyle name="Currency 5 3 4 2" xfId="743" xr:uid="{00000000-0005-0000-0000-00000C0D0000}"/>
    <cellStyle name="Currency 5 3 4 2 2" xfId="2996" xr:uid="{00000000-0005-0000-0000-00000D0D0000}"/>
    <cellStyle name="Currency 5 3 4 2 2 2" xfId="7220" xr:uid="{00000000-0005-0000-0000-00000E0D0000}"/>
    <cellStyle name="Currency 5 3 4 2 2 2 2" xfId="15649" xr:uid="{D5C52483-75B6-4350-B249-440AB521E2CD}"/>
    <cellStyle name="Currency 5 3 4 2 2 3" xfId="11431" xr:uid="{5ADF1BE8-DCBE-4A70-B5CD-73C99B5573B7}"/>
    <cellStyle name="Currency 5 3 4 2 3" xfId="5075" xr:uid="{00000000-0005-0000-0000-00000F0D0000}"/>
    <cellStyle name="Currency 5 3 4 2 3 2" xfId="13504" xr:uid="{18A6EEE2-EDD4-4E97-BB02-67472A9B4CF1}"/>
    <cellStyle name="Currency 5 3 4 2 4" xfId="9286" xr:uid="{04FC81E3-E7B4-413F-AF7E-6FA4D4C79360}"/>
    <cellStyle name="Currency 5 3 4 3" xfId="1178" xr:uid="{00000000-0005-0000-0000-0000100D0000}"/>
    <cellStyle name="Currency 5 3 4 3 2" xfId="3409" xr:uid="{00000000-0005-0000-0000-0000110D0000}"/>
    <cellStyle name="Currency 5 3 4 3 2 2" xfId="7633" xr:uid="{00000000-0005-0000-0000-0000120D0000}"/>
    <cellStyle name="Currency 5 3 4 3 2 2 2" xfId="16062" xr:uid="{FB0126EC-BDF1-4527-A73D-2E14A7C43063}"/>
    <cellStyle name="Currency 5 3 4 3 2 3" xfId="11844" xr:uid="{2918DDAD-FAD0-43D4-8A1C-7A24C77834FE}"/>
    <cellStyle name="Currency 5 3 4 3 3" xfId="5488" xr:uid="{00000000-0005-0000-0000-0000130D0000}"/>
    <cellStyle name="Currency 5 3 4 3 3 2" xfId="13917" xr:uid="{1F799FF7-8BEF-4088-B776-057C062B9610}"/>
    <cellStyle name="Currency 5 3 4 3 4" xfId="9699" xr:uid="{2B61553E-2C37-49AC-B0E0-C19DD9CAD0B9}"/>
    <cellStyle name="Currency 5 3 4 4" xfId="1592" xr:uid="{00000000-0005-0000-0000-0000140D0000}"/>
    <cellStyle name="Currency 5 3 4 4 2" xfId="3822" xr:uid="{00000000-0005-0000-0000-0000150D0000}"/>
    <cellStyle name="Currency 5 3 4 4 2 2" xfId="8046" xr:uid="{00000000-0005-0000-0000-0000160D0000}"/>
    <cellStyle name="Currency 5 3 4 4 2 2 2" xfId="16475" xr:uid="{BE98632D-2D40-4BD0-9F83-14F62AE01AA4}"/>
    <cellStyle name="Currency 5 3 4 4 2 3" xfId="12257" xr:uid="{9C0CF133-E4DB-461F-BAA7-0480430BF28F}"/>
    <cellStyle name="Currency 5 3 4 4 3" xfId="5901" xr:uid="{00000000-0005-0000-0000-0000170D0000}"/>
    <cellStyle name="Currency 5 3 4 4 3 2" xfId="14330" xr:uid="{FFB2093A-0D4C-48A2-980B-45FB4554F705}"/>
    <cellStyle name="Currency 5 3 4 4 4" xfId="10112" xr:uid="{D5065A79-75C5-44E6-A019-5F863AFCB7D6}"/>
    <cellStyle name="Currency 5 3 4 5" xfId="2006" xr:uid="{00000000-0005-0000-0000-0000180D0000}"/>
    <cellStyle name="Currency 5 3 4 5 2" xfId="4235" xr:uid="{00000000-0005-0000-0000-0000190D0000}"/>
    <cellStyle name="Currency 5 3 4 5 2 2" xfId="8459" xr:uid="{00000000-0005-0000-0000-00001A0D0000}"/>
    <cellStyle name="Currency 5 3 4 5 2 2 2" xfId="16888" xr:uid="{87DA3E52-B8E2-4D56-BE35-49B72D0AA1BB}"/>
    <cellStyle name="Currency 5 3 4 5 2 3" xfId="12670" xr:uid="{68AFA1AE-F6EF-4534-9D58-D69B6C13B4EB}"/>
    <cellStyle name="Currency 5 3 4 5 3" xfId="6314" xr:uid="{00000000-0005-0000-0000-00001B0D0000}"/>
    <cellStyle name="Currency 5 3 4 5 3 2" xfId="14743" xr:uid="{C8453F5C-F624-4AC8-A11D-AA96466AFF4C}"/>
    <cellStyle name="Currency 5 3 4 5 4" xfId="10525" xr:uid="{4A3E0AA8-448B-4851-8DD2-3F11BE55507F}"/>
    <cellStyle name="Currency 5 3 4 6" xfId="2441" xr:uid="{00000000-0005-0000-0000-00001C0D0000}"/>
    <cellStyle name="Currency 5 3 4 6 2" xfId="6727" xr:uid="{00000000-0005-0000-0000-00001D0D0000}"/>
    <cellStyle name="Currency 5 3 4 6 2 2" xfId="15156" xr:uid="{D0EDD223-03F0-4ADD-B3B6-76C65C5D81A1}"/>
    <cellStyle name="Currency 5 3 4 6 3" xfId="10938" xr:uid="{EDB71C88-6C8A-433A-9D06-B6E28055CE78}"/>
    <cellStyle name="Currency 5 3 4 7" xfId="2738" xr:uid="{00000000-0005-0000-0000-00001E0D0000}"/>
    <cellStyle name="Currency 5 3 4 8" xfId="2819" xr:uid="{00000000-0005-0000-0000-00001F0D0000}"/>
    <cellStyle name="Currency 5 3 4 8 2" xfId="7044" xr:uid="{00000000-0005-0000-0000-0000200D0000}"/>
    <cellStyle name="Currency 5 3 4 8 2 2" xfId="15473" xr:uid="{86CCF5A1-B75B-4F69-8448-2DA132EBAFE7}"/>
    <cellStyle name="Currency 5 3 4 8 3" xfId="11255" xr:uid="{ECD6CC4F-DADA-4C37-87BA-08052FEF4A06}"/>
    <cellStyle name="Currency 5 3 4 9" xfId="4661" xr:uid="{00000000-0005-0000-0000-0000210D0000}"/>
    <cellStyle name="Currency 5 3 4 9 2" xfId="13090" xr:uid="{80A4AB13-6557-452F-A14B-388BBAA2E734}"/>
    <cellStyle name="Currency 5 3 5" xfId="217" xr:uid="{00000000-0005-0000-0000-0000220D0000}"/>
    <cellStyle name="Currency 5 3 5 10" xfId="8873" xr:uid="{A73927B5-5E0F-461B-982D-C5C8F2B91E9D}"/>
    <cellStyle name="Currency 5 3 5 2" xfId="744" xr:uid="{00000000-0005-0000-0000-0000230D0000}"/>
    <cellStyle name="Currency 5 3 5 2 2" xfId="2997" xr:uid="{00000000-0005-0000-0000-0000240D0000}"/>
    <cellStyle name="Currency 5 3 5 2 2 2" xfId="7221" xr:uid="{00000000-0005-0000-0000-0000250D0000}"/>
    <cellStyle name="Currency 5 3 5 2 2 2 2" xfId="15650" xr:uid="{19CE6CEF-F7EF-437B-82C8-3C5F63C302BF}"/>
    <cellStyle name="Currency 5 3 5 2 2 3" xfId="11432" xr:uid="{952B7856-DF16-470B-9CBE-9805BCE15CF7}"/>
    <cellStyle name="Currency 5 3 5 2 3" xfId="5076" xr:uid="{00000000-0005-0000-0000-0000260D0000}"/>
    <cellStyle name="Currency 5 3 5 2 3 2" xfId="13505" xr:uid="{B26E815D-1BAE-4259-A279-A1C266489234}"/>
    <cellStyle name="Currency 5 3 5 2 4" xfId="9287" xr:uid="{DBD48C6F-7FE1-46B4-BF2A-D031E767618C}"/>
    <cellStyle name="Currency 5 3 5 3" xfId="1179" xr:uid="{00000000-0005-0000-0000-0000270D0000}"/>
    <cellStyle name="Currency 5 3 5 3 2" xfId="3410" xr:uid="{00000000-0005-0000-0000-0000280D0000}"/>
    <cellStyle name="Currency 5 3 5 3 2 2" xfId="7634" xr:uid="{00000000-0005-0000-0000-0000290D0000}"/>
    <cellStyle name="Currency 5 3 5 3 2 2 2" xfId="16063" xr:uid="{E6A577EA-ECE8-4141-91D0-31C8853B5B80}"/>
    <cellStyle name="Currency 5 3 5 3 2 3" xfId="11845" xr:uid="{A02FAD29-9417-41FB-909F-DDB662777CFF}"/>
    <cellStyle name="Currency 5 3 5 3 3" xfId="5489" xr:uid="{00000000-0005-0000-0000-00002A0D0000}"/>
    <cellStyle name="Currency 5 3 5 3 3 2" xfId="13918" xr:uid="{7DC13252-7FF8-4DCF-87BA-15CDCBBE3847}"/>
    <cellStyle name="Currency 5 3 5 3 4" xfId="9700" xr:uid="{96DD6BBD-261D-4F5C-92DA-8A82AC630BA4}"/>
    <cellStyle name="Currency 5 3 5 4" xfId="1593" xr:uid="{00000000-0005-0000-0000-00002B0D0000}"/>
    <cellStyle name="Currency 5 3 5 4 2" xfId="3823" xr:uid="{00000000-0005-0000-0000-00002C0D0000}"/>
    <cellStyle name="Currency 5 3 5 4 2 2" xfId="8047" xr:uid="{00000000-0005-0000-0000-00002D0D0000}"/>
    <cellStyle name="Currency 5 3 5 4 2 2 2" xfId="16476" xr:uid="{DA91A523-EF1A-46AF-9844-7E27F87CCB53}"/>
    <cellStyle name="Currency 5 3 5 4 2 3" xfId="12258" xr:uid="{2C7E2E96-8004-4ABE-8D14-FEB5C2278AEB}"/>
    <cellStyle name="Currency 5 3 5 4 3" xfId="5902" xr:uid="{00000000-0005-0000-0000-00002E0D0000}"/>
    <cellStyle name="Currency 5 3 5 4 3 2" xfId="14331" xr:uid="{3921A37E-D8B0-4F20-83C8-A595831B76C2}"/>
    <cellStyle name="Currency 5 3 5 4 4" xfId="10113" xr:uid="{B681245F-D325-4C06-AC22-99CBC36F9EE8}"/>
    <cellStyle name="Currency 5 3 5 5" xfId="2007" xr:uid="{00000000-0005-0000-0000-00002F0D0000}"/>
    <cellStyle name="Currency 5 3 5 5 2" xfId="4236" xr:uid="{00000000-0005-0000-0000-0000300D0000}"/>
    <cellStyle name="Currency 5 3 5 5 2 2" xfId="8460" xr:uid="{00000000-0005-0000-0000-0000310D0000}"/>
    <cellStyle name="Currency 5 3 5 5 2 2 2" xfId="16889" xr:uid="{B7B83C5D-09CA-49DC-9B97-1213B7E0110A}"/>
    <cellStyle name="Currency 5 3 5 5 2 3" xfId="12671" xr:uid="{E6C8C155-9ADC-4C71-A6B6-600EBD86937E}"/>
    <cellStyle name="Currency 5 3 5 5 3" xfId="6315" xr:uid="{00000000-0005-0000-0000-0000320D0000}"/>
    <cellStyle name="Currency 5 3 5 5 3 2" xfId="14744" xr:uid="{701CAE08-5BD9-4BA7-B3DF-E2A9AD1C1440}"/>
    <cellStyle name="Currency 5 3 5 5 4" xfId="10526" xr:uid="{2BDC310C-A25C-4DDE-9271-C289F3CBEE7A}"/>
    <cellStyle name="Currency 5 3 5 6" xfId="2442" xr:uid="{00000000-0005-0000-0000-0000330D0000}"/>
    <cellStyle name="Currency 5 3 5 6 2" xfId="6728" xr:uid="{00000000-0005-0000-0000-0000340D0000}"/>
    <cellStyle name="Currency 5 3 5 6 2 2" xfId="15157" xr:uid="{9B50E9AF-0375-4C44-84E1-A6F5C3F7FCB6}"/>
    <cellStyle name="Currency 5 3 5 6 3" xfId="10939" xr:uid="{78453B77-1BF5-4DBB-A175-072C056B64A3}"/>
    <cellStyle name="Currency 5 3 5 7" xfId="2739" xr:uid="{00000000-0005-0000-0000-0000350D0000}"/>
    <cellStyle name="Currency 5 3 5 8" xfId="2820" xr:uid="{00000000-0005-0000-0000-0000360D0000}"/>
    <cellStyle name="Currency 5 3 5 8 2" xfId="7045" xr:uid="{00000000-0005-0000-0000-0000370D0000}"/>
    <cellStyle name="Currency 5 3 5 8 2 2" xfId="15474" xr:uid="{080D211F-3642-4473-9CAD-275EB5A50F15}"/>
    <cellStyle name="Currency 5 3 5 8 3" xfId="11256" xr:uid="{B6CA456C-D0EE-48B2-B07E-E3416E204D62}"/>
    <cellStyle name="Currency 5 3 5 9" xfId="4662" xr:uid="{00000000-0005-0000-0000-0000380D0000}"/>
    <cellStyle name="Currency 5 3 5 9 2" xfId="13091" xr:uid="{0CEFB42C-3427-43A0-A35A-43341467BFAA}"/>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10 2" xfId="13092" xr:uid="{C6D19B3A-BCE1-4495-B854-F21E852C1903}"/>
    <cellStyle name="Currency 5 5 11" xfId="8874" xr:uid="{D5D2B881-8713-4844-8681-B21B74F952DF}"/>
    <cellStyle name="Currency 5 5 2" xfId="220" xr:uid="{00000000-0005-0000-0000-00003D0D0000}"/>
    <cellStyle name="Currency 5 5 2 10" xfId="8875" xr:uid="{0AEFE52F-EAE3-4871-ACD8-7E964C38E95A}"/>
    <cellStyle name="Currency 5 5 2 2" xfId="747" xr:uid="{00000000-0005-0000-0000-00003E0D0000}"/>
    <cellStyle name="Currency 5 5 2 2 2" xfId="2999" xr:uid="{00000000-0005-0000-0000-00003F0D0000}"/>
    <cellStyle name="Currency 5 5 2 2 2 2" xfId="7223" xr:uid="{00000000-0005-0000-0000-0000400D0000}"/>
    <cellStyle name="Currency 5 5 2 2 2 2 2" xfId="15652" xr:uid="{C73F2A70-C053-4052-8CDD-218867B6DC38}"/>
    <cellStyle name="Currency 5 5 2 2 2 3" xfId="11434" xr:uid="{1A5FCA4E-903A-433F-8CC6-A9A96F187429}"/>
    <cellStyle name="Currency 5 5 2 2 3" xfId="5078" xr:uid="{00000000-0005-0000-0000-0000410D0000}"/>
    <cellStyle name="Currency 5 5 2 2 3 2" xfId="13507" xr:uid="{D79A4110-F306-4417-B569-BC96A503A487}"/>
    <cellStyle name="Currency 5 5 2 2 4" xfId="9289" xr:uid="{AF89EE4F-2540-4A25-B681-0A858BC01E7C}"/>
    <cellStyle name="Currency 5 5 2 3" xfId="1181" xr:uid="{00000000-0005-0000-0000-0000420D0000}"/>
    <cellStyle name="Currency 5 5 2 3 2" xfId="3412" xr:uid="{00000000-0005-0000-0000-0000430D0000}"/>
    <cellStyle name="Currency 5 5 2 3 2 2" xfId="7636" xr:uid="{00000000-0005-0000-0000-0000440D0000}"/>
    <cellStyle name="Currency 5 5 2 3 2 2 2" xfId="16065" xr:uid="{A46A6D8E-978B-432B-B20A-B6936DDDB345}"/>
    <cellStyle name="Currency 5 5 2 3 2 3" xfId="11847" xr:uid="{C2BAADBD-ABC9-4A0E-A3ED-0503701051BE}"/>
    <cellStyle name="Currency 5 5 2 3 3" xfId="5491" xr:uid="{00000000-0005-0000-0000-0000450D0000}"/>
    <cellStyle name="Currency 5 5 2 3 3 2" xfId="13920" xr:uid="{C089112E-403F-41F2-93C6-18E89A835C07}"/>
    <cellStyle name="Currency 5 5 2 3 4" xfId="9702" xr:uid="{4ACDE2D8-5C92-4948-A43F-96E492D98EE0}"/>
    <cellStyle name="Currency 5 5 2 4" xfId="1595" xr:uid="{00000000-0005-0000-0000-0000460D0000}"/>
    <cellStyle name="Currency 5 5 2 4 2" xfId="3825" xr:uid="{00000000-0005-0000-0000-0000470D0000}"/>
    <cellStyle name="Currency 5 5 2 4 2 2" xfId="8049" xr:uid="{00000000-0005-0000-0000-0000480D0000}"/>
    <cellStyle name="Currency 5 5 2 4 2 2 2" xfId="16478" xr:uid="{D14AE866-7B3F-46B3-A7D4-78713555A685}"/>
    <cellStyle name="Currency 5 5 2 4 2 3" xfId="12260" xr:uid="{2F31B879-43A1-476B-A875-F893F10B8D2A}"/>
    <cellStyle name="Currency 5 5 2 4 3" xfId="5904" xr:uid="{00000000-0005-0000-0000-0000490D0000}"/>
    <cellStyle name="Currency 5 5 2 4 3 2" xfId="14333" xr:uid="{054F66BA-0288-4F6C-9A6E-F0C14BD23D00}"/>
    <cellStyle name="Currency 5 5 2 4 4" xfId="10115" xr:uid="{696E26F4-78D3-46E1-89FF-AE21ACBE37D9}"/>
    <cellStyle name="Currency 5 5 2 5" xfId="2009" xr:uid="{00000000-0005-0000-0000-00004A0D0000}"/>
    <cellStyle name="Currency 5 5 2 5 2" xfId="4238" xr:uid="{00000000-0005-0000-0000-00004B0D0000}"/>
    <cellStyle name="Currency 5 5 2 5 2 2" xfId="8462" xr:uid="{00000000-0005-0000-0000-00004C0D0000}"/>
    <cellStyle name="Currency 5 5 2 5 2 2 2" xfId="16891" xr:uid="{EF724CE5-6336-4B45-BF1B-1265AD41CCE8}"/>
    <cellStyle name="Currency 5 5 2 5 2 3" xfId="12673" xr:uid="{15A20C93-F547-4C12-9C90-5031AA183437}"/>
    <cellStyle name="Currency 5 5 2 5 3" xfId="6317" xr:uid="{00000000-0005-0000-0000-00004D0D0000}"/>
    <cellStyle name="Currency 5 5 2 5 3 2" xfId="14746" xr:uid="{89133139-8064-46B9-B460-9DD1866D0E11}"/>
    <cellStyle name="Currency 5 5 2 5 4" xfId="10528" xr:uid="{DF017183-F94F-408E-9A75-EF8DE1BADEAF}"/>
    <cellStyle name="Currency 5 5 2 6" xfId="2444" xr:uid="{00000000-0005-0000-0000-00004E0D0000}"/>
    <cellStyle name="Currency 5 5 2 6 2" xfId="6730" xr:uid="{00000000-0005-0000-0000-00004F0D0000}"/>
    <cellStyle name="Currency 5 5 2 6 2 2" xfId="15159" xr:uid="{B7890DBE-8F3F-4556-A8E9-D8B2745B48DE}"/>
    <cellStyle name="Currency 5 5 2 6 3" xfId="10941" xr:uid="{38115B4C-2568-4DE7-97CC-2454E099DEF7}"/>
    <cellStyle name="Currency 5 5 2 7" xfId="2741" xr:uid="{00000000-0005-0000-0000-0000500D0000}"/>
    <cellStyle name="Currency 5 5 2 8" xfId="2822" xr:uid="{00000000-0005-0000-0000-0000510D0000}"/>
    <cellStyle name="Currency 5 5 2 8 2" xfId="7047" xr:uid="{00000000-0005-0000-0000-0000520D0000}"/>
    <cellStyle name="Currency 5 5 2 8 2 2" xfId="15476" xr:uid="{91176149-76EB-42A2-9C70-76CB192A8C6F}"/>
    <cellStyle name="Currency 5 5 2 8 3" xfId="11258" xr:uid="{CE37F492-7332-4135-8284-4C5593F95C75}"/>
    <cellStyle name="Currency 5 5 2 9" xfId="4664" xr:uid="{00000000-0005-0000-0000-0000530D0000}"/>
    <cellStyle name="Currency 5 5 2 9 2" xfId="13093" xr:uid="{2BAB0289-8FFF-4EBC-BE66-1971FA518E25}"/>
    <cellStyle name="Currency 5 5 3" xfId="746" xr:uid="{00000000-0005-0000-0000-0000540D0000}"/>
    <cellStyle name="Currency 5 5 3 2" xfId="2998" xr:uid="{00000000-0005-0000-0000-0000550D0000}"/>
    <cellStyle name="Currency 5 5 3 2 2" xfId="7222" xr:uid="{00000000-0005-0000-0000-0000560D0000}"/>
    <cellStyle name="Currency 5 5 3 2 2 2" xfId="15651" xr:uid="{7DC54747-998C-435E-835C-C4D9C8996508}"/>
    <cellStyle name="Currency 5 5 3 2 3" xfId="11433" xr:uid="{31AED362-13DC-447D-A54F-E09872080715}"/>
    <cellStyle name="Currency 5 5 3 3" xfId="5077" xr:uid="{00000000-0005-0000-0000-0000570D0000}"/>
    <cellStyle name="Currency 5 5 3 3 2" xfId="13506" xr:uid="{C711E31B-E44F-4DFC-905F-8A6BDCA5F3F1}"/>
    <cellStyle name="Currency 5 5 3 4" xfId="9288" xr:uid="{D436DABF-056C-4540-85B1-1F076BCF61E9}"/>
    <cellStyle name="Currency 5 5 4" xfId="1180" xr:uid="{00000000-0005-0000-0000-0000580D0000}"/>
    <cellStyle name="Currency 5 5 4 2" xfId="3411" xr:uid="{00000000-0005-0000-0000-0000590D0000}"/>
    <cellStyle name="Currency 5 5 4 2 2" xfId="7635" xr:uid="{00000000-0005-0000-0000-00005A0D0000}"/>
    <cellStyle name="Currency 5 5 4 2 2 2" xfId="16064" xr:uid="{8693ED97-AC01-49C9-9249-B5685593218A}"/>
    <cellStyle name="Currency 5 5 4 2 3" xfId="11846" xr:uid="{97F8746C-5877-47B6-9EBA-A1C77A7E31C0}"/>
    <cellStyle name="Currency 5 5 4 3" xfId="5490" xr:uid="{00000000-0005-0000-0000-00005B0D0000}"/>
    <cellStyle name="Currency 5 5 4 3 2" xfId="13919" xr:uid="{B0D580A7-83EB-4CB7-8A01-C412D74353E6}"/>
    <cellStyle name="Currency 5 5 4 4" xfId="9701" xr:uid="{93CBED6D-3130-42DE-A570-7A074AE12DA3}"/>
    <cellStyle name="Currency 5 5 5" xfId="1594" xr:uid="{00000000-0005-0000-0000-00005C0D0000}"/>
    <cellStyle name="Currency 5 5 5 2" xfId="3824" xr:uid="{00000000-0005-0000-0000-00005D0D0000}"/>
    <cellStyle name="Currency 5 5 5 2 2" xfId="8048" xr:uid="{00000000-0005-0000-0000-00005E0D0000}"/>
    <cellStyle name="Currency 5 5 5 2 2 2" xfId="16477" xr:uid="{2FAEBEFE-204C-449C-BA46-8C2F6606607F}"/>
    <cellStyle name="Currency 5 5 5 2 3" xfId="12259" xr:uid="{8BFE8D8F-F39C-4693-BCF8-C419726076A6}"/>
    <cellStyle name="Currency 5 5 5 3" xfId="5903" xr:uid="{00000000-0005-0000-0000-00005F0D0000}"/>
    <cellStyle name="Currency 5 5 5 3 2" xfId="14332" xr:uid="{159D8532-246C-4B6C-8CA3-50FA8953EA9D}"/>
    <cellStyle name="Currency 5 5 5 4" xfId="10114" xr:uid="{0BE949AC-69C6-4225-B5E9-C172DCDF45DF}"/>
    <cellStyle name="Currency 5 5 6" xfId="2008" xr:uid="{00000000-0005-0000-0000-0000600D0000}"/>
    <cellStyle name="Currency 5 5 6 2" xfId="4237" xr:uid="{00000000-0005-0000-0000-0000610D0000}"/>
    <cellStyle name="Currency 5 5 6 2 2" xfId="8461" xr:uid="{00000000-0005-0000-0000-0000620D0000}"/>
    <cellStyle name="Currency 5 5 6 2 2 2" xfId="16890" xr:uid="{9428AF42-19C9-43F7-9058-E72114E33025}"/>
    <cellStyle name="Currency 5 5 6 2 3" xfId="12672" xr:uid="{59A10324-D8B1-4163-A661-972E5A111B8C}"/>
    <cellStyle name="Currency 5 5 6 3" xfId="6316" xr:uid="{00000000-0005-0000-0000-0000630D0000}"/>
    <cellStyle name="Currency 5 5 6 3 2" xfId="14745" xr:uid="{7C9EC535-C6B8-406F-9F82-8152400EF84F}"/>
    <cellStyle name="Currency 5 5 6 4" xfId="10527" xr:uid="{764547A0-027C-47FB-9961-A249C1A11AB9}"/>
    <cellStyle name="Currency 5 5 7" xfId="2443" xr:uid="{00000000-0005-0000-0000-0000640D0000}"/>
    <cellStyle name="Currency 5 5 7 2" xfId="6729" xr:uid="{00000000-0005-0000-0000-0000650D0000}"/>
    <cellStyle name="Currency 5 5 7 2 2" xfId="15158" xr:uid="{583A035F-31E2-4AF3-AC75-20922275C99D}"/>
    <cellStyle name="Currency 5 5 7 3" xfId="10940" xr:uid="{958CD99F-D565-4A05-B679-F969EF5AC0FD}"/>
    <cellStyle name="Currency 5 5 8" xfId="2740" xr:uid="{00000000-0005-0000-0000-0000660D0000}"/>
    <cellStyle name="Currency 5 5 9" xfId="2821" xr:uid="{00000000-0005-0000-0000-0000670D0000}"/>
    <cellStyle name="Currency 5 5 9 2" xfId="7046" xr:uid="{00000000-0005-0000-0000-0000680D0000}"/>
    <cellStyle name="Currency 5 5 9 2 2" xfId="15475" xr:uid="{4F07BF5B-C1D1-48B4-8249-C5C922A3715E}"/>
    <cellStyle name="Currency 5 5 9 3" xfId="11257" xr:uid="{89054C19-875C-4F5A-9009-D7DA7144E67B}"/>
    <cellStyle name="Currency 5 6" xfId="221" xr:uid="{00000000-0005-0000-0000-0000690D0000}"/>
    <cellStyle name="Currency 5 6 10" xfId="8876" xr:uid="{C2AD81E4-7A45-4BA7-94D3-E2303C71D852}"/>
    <cellStyle name="Currency 5 6 2" xfId="748" xr:uid="{00000000-0005-0000-0000-00006A0D0000}"/>
    <cellStyle name="Currency 5 6 2 2" xfId="3000" xr:uid="{00000000-0005-0000-0000-00006B0D0000}"/>
    <cellStyle name="Currency 5 6 2 2 2" xfId="7224" xr:uid="{00000000-0005-0000-0000-00006C0D0000}"/>
    <cellStyle name="Currency 5 6 2 2 2 2" xfId="15653" xr:uid="{1897ECE0-9018-4E18-8129-23D4BCFD32C9}"/>
    <cellStyle name="Currency 5 6 2 2 3" xfId="11435" xr:uid="{6744EEB2-580E-4BF7-ACB6-3A583EA29AE8}"/>
    <cellStyle name="Currency 5 6 2 3" xfId="5079" xr:uid="{00000000-0005-0000-0000-00006D0D0000}"/>
    <cellStyle name="Currency 5 6 2 3 2" xfId="13508" xr:uid="{654FDCE9-8200-4DF1-91E0-25131B9BCDE3}"/>
    <cellStyle name="Currency 5 6 2 4" xfId="9290" xr:uid="{7A638BCE-5531-42DC-9EEC-1C2E4743E197}"/>
    <cellStyle name="Currency 5 6 3" xfId="1182" xr:uid="{00000000-0005-0000-0000-00006E0D0000}"/>
    <cellStyle name="Currency 5 6 3 2" xfId="3413" xr:uid="{00000000-0005-0000-0000-00006F0D0000}"/>
    <cellStyle name="Currency 5 6 3 2 2" xfId="7637" xr:uid="{00000000-0005-0000-0000-0000700D0000}"/>
    <cellStyle name="Currency 5 6 3 2 2 2" xfId="16066" xr:uid="{7DE6BF9B-94DD-473B-8D90-851C6BDEDE6B}"/>
    <cellStyle name="Currency 5 6 3 2 3" xfId="11848" xr:uid="{C94BE754-8FDD-4F6C-B70D-A24DF1FC1C30}"/>
    <cellStyle name="Currency 5 6 3 3" xfId="5492" xr:uid="{00000000-0005-0000-0000-0000710D0000}"/>
    <cellStyle name="Currency 5 6 3 3 2" xfId="13921" xr:uid="{A34D701B-8CAC-4029-A496-7814781BBE8A}"/>
    <cellStyle name="Currency 5 6 3 4" xfId="9703" xr:uid="{27ECEDF2-188D-438C-AD07-F3CD691E7C09}"/>
    <cellStyle name="Currency 5 6 4" xfId="1596" xr:uid="{00000000-0005-0000-0000-0000720D0000}"/>
    <cellStyle name="Currency 5 6 4 2" xfId="3826" xr:uid="{00000000-0005-0000-0000-0000730D0000}"/>
    <cellStyle name="Currency 5 6 4 2 2" xfId="8050" xr:uid="{00000000-0005-0000-0000-0000740D0000}"/>
    <cellStyle name="Currency 5 6 4 2 2 2" xfId="16479" xr:uid="{F7068E12-D3DE-4A45-9F56-01B24A692A5F}"/>
    <cellStyle name="Currency 5 6 4 2 3" xfId="12261" xr:uid="{ACE30407-1804-4064-A012-CC2B1370CF26}"/>
    <cellStyle name="Currency 5 6 4 3" xfId="5905" xr:uid="{00000000-0005-0000-0000-0000750D0000}"/>
    <cellStyle name="Currency 5 6 4 3 2" xfId="14334" xr:uid="{AE0D6269-B438-4D9A-BB75-AAF01DCAEF4B}"/>
    <cellStyle name="Currency 5 6 4 4" xfId="10116" xr:uid="{B7C6DE6B-6034-4659-BF45-F1117E510CE5}"/>
    <cellStyle name="Currency 5 6 5" xfId="2010" xr:uid="{00000000-0005-0000-0000-0000760D0000}"/>
    <cellStyle name="Currency 5 6 5 2" xfId="4239" xr:uid="{00000000-0005-0000-0000-0000770D0000}"/>
    <cellStyle name="Currency 5 6 5 2 2" xfId="8463" xr:uid="{00000000-0005-0000-0000-0000780D0000}"/>
    <cellStyle name="Currency 5 6 5 2 2 2" xfId="16892" xr:uid="{4D2B40AE-A569-4750-BDA2-1A05A1CF2D1B}"/>
    <cellStyle name="Currency 5 6 5 2 3" xfId="12674" xr:uid="{65221EF4-A3CE-4E68-931B-21DC05197538}"/>
    <cellStyle name="Currency 5 6 5 3" xfId="6318" xr:uid="{00000000-0005-0000-0000-0000790D0000}"/>
    <cellStyle name="Currency 5 6 5 3 2" xfId="14747" xr:uid="{8D03421F-E07F-4275-813B-86C38F383154}"/>
    <cellStyle name="Currency 5 6 5 4" xfId="10529" xr:uid="{99879A3C-9138-4EB0-BE2A-DBD9B91AC4B1}"/>
    <cellStyle name="Currency 5 6 6" xfId="2445" xr:uid="{00000000-0005-0000-0000-00007A0D0000}"/>
    <cellStyle name="Currency 5 6 6 2" xfId="6731" xr:uid="{00000000-0005-0000-0000-00007B0D0000}"/>
    <cellStyle name="Currency 5 6 6 2 2" xfId="15160" xr:uid="{3B1336E2-5EB5-4618-AA17-56CF07C07628}"/>
    <cellStyle name="Currency 5 6 6 3" xfId="10942" xr:uid="{0B732AEA-1B38-4962-9504-DCE34FEE93C5}"/>
    <cellStyle name="Currency 5 6 7" xfId="2742" xr:uid="{00000000-0005-0000-0000-00007C0D0000}"/>
    <cellStyle name="Currency 5 6 8" xfId="2823" xr:uid="{00000000-0005-0000-0000-00007D0D0000}"/>
    <cellStyle name="Currency 5 6 8 2" xfId="7048" xr:uid="{00000000-0005-0000-0000-00007E0D0000}"/>
    <cellStyle name="Currency 5 6 8 2 2" xfId="15477" xr:uid="{136AF03E-B29D-4967-9376-05BC91114AAB}"/>
    <cellStyle name="Currency 5 6 8 3" xfId="11259" xr:uid="{7F1E8B03-41C0-47F6-821D-E34C7ACB5813}"/>
    <cellStyle name="Currency 5 6 9" xfId="4665" xr:uid="{00000000-0005-0000-0000-00007F0D0000}"/>
    <cellStyle name="Currency 5 6 9 2" xfId="13094" xr:uid="{DA76C7B0-665D-4633-9C20-E177BA3F674C}"/>
    <cellStyle name="Currency 5 7" xfId="222" xr:uid="{00000000-0005-0000-0000-0000800D0000}"/>
    <cellStyle name="Currency 5 7 10" xfId="8877" xr:uid="{926D9E1F-F7FA-4E1C-9B8C-680568A354DD}"/>
    <cellStyle name="Currency 5 7 2" xfId="749" xr:uid="{00000000-0005-0000-0000-0000810D0000}"/>
    <cellStyle name="Currency 5 7 2 2" xfId="3001" xr:uid="{00000000-0005-0000-0000-0000820D0000}"/>
    <cellStyle name="Currency 5 7 2 2 2" xfId="7225" xr:uid="{00000000-0005-0000-0000-0000830D0000}"/>
    <cellStyle name="Currency 5 7 2 2 2 2" xfId="15654" xr:uid="{D65252ED-92A0-4901-A9EB-571854E72283}"/>
    <cellStyle name="Currency 5 7 2 2 3" xfId="11436" xr:uid="{0BD4E7D2-905A-4112-864E-751FF1534268}"/>
    <cellStyle name="Currency 5 7 2 3" xfId="5080" xr:uid="{00000000-0005-0000-0000-0000840D0000}"/>
    <cellStyle name="Currency 5 7 2 3 2" xfId="13509" xr:uid="{204CF3F7-2441-4BC3-A858-C79635C202CD}"/>
    <cellStyle name="Currency 5 7 2 4" xfId="9291" xr:uid="{C757644D-D00D-4676-8E49-07BA7D438325}"/>
    <cellStyle name="Currency 5 7 3" xfId="1183" xr:uid="{00000000-0005-0000-0000-0000850D0000}"/>
    <cellStyle name="Currency 5 7 3 2" xfId="3414" xr:uid="{00000000-0005-0000-0000-0000860D0000}"/>
    <cellStyle name="Currency 5 7 3 2 2" xfId="7638" xr:uid="{00000000-0005-0000-0000-0000870D0000}"/>
    <cellStyle name="Currency 5 7 3 2 2 2" xfId="16067" xr:uid="{20E28DBA-8859-4932-BDE0-3CD7A08DBD91}"/>
    <cellStyle name="Currency 5 7 3 2 3" xfId="11849" xr:uid="{50A28C60-34B2-4AE1-AAB4-4D0BE8494E60}"/>
    <cellStyle name="Currency 5 7 3 3" xfId="5493" xr:uid="{00000000-0005-0000-0000-0000880D0000}"/>
    <cellStyle name="Currency 5 7 3 3 2" xfId="13922" xr:uid="{93C3FF43-94D9-4D3C-ABD5-2856F8011BD8}"/>
    <cellStyle name="Currency 5 7 3 4" xfId="9704" xr:uid="{D0478EB3-0C05-4FA2-A142-93F401307F77}"/>
    <cellStyle name="Currency 5 7 4" xfId="1597" xr:uid="{00000000-0005-0000-0000-0000890D0000}"/>
    <cellStyle name="Currency 5 7 4 2" xfId="3827" xr:uid="{00000000-0005-0000-0000-00008A0D0000}"/>
    <cellStyle name="Currency 5 7 4 2 2" xfId="8051" xr:uid="{00000000-0005-0000-0000-00008B0D0000}"/>
    <cellStyle name="Currency 5 7 4 2 2 2" xfId="16480" xr:uid="{A655BE5E-5411-4607-971C-B93D1A75C8E4}"/>
    <cellStyle name="Currency 5 7 4 2 3" xfId="12262" xr:uid="{8BA7F3C3-54E9-456C-BF29-75441F88E21B}"/>
    <cellStyle name="Currency 5 7 4 3" xfId="5906" xr:uid="{00000000-0005-0000-0000-00008C0D0000}"/>
    <cellStyle name="Currency 5 7 4 3 2" xfId="14335" xr:uid="{3836D21F-BA40-4289-B133-0EEFA4B571A3}"/>
    <cellStyle name="Currency 5 7 4 4" xfId="10117" xr:uid="{0C168511-0076-4DC6-BD91-91CC9F3925D6}"/>
    <cellStyle name="Currency 5 7 5" xfId="2011" xr:uid="{00000000-0005-0000-0000-00008D0D0000}"/>
    <cellStyle name="Currency 5 7 5 2" xfId="4240" xr:uid="{00000000-0005-0000-0000-00008E0D0000}"/>
    <cellStyle name="Currency 5 7 5 2 2" xfId="8464" xr:uid="{00000000-0005-0000-0000-00008F0D0000}"/>
    <cellStyle name="Currency 5 7 5 2 2 2" xfId="16893" xr:uid="{EB1C097B-8B09-4636-B479-5AFA5DAA4968}"/>
    <cellStyle name="Currency 5 7 5 2 3" xfId="12675" xr:uid="{B576D05F-D27B-4623-AC4B-F8CD1EA920AA}"/>
    <cellStyle name="Currency 5 7 5 3" xfId="6319" xr:uid="{00000000-0005-0000-0000-0000900D0000}"/>
    <cellStyle name="Currency 5 7 5 3 2" xfId="14748" xr:uid="{85A7762F-F349-46A8-8834-787C2F7860C9}"/>
    <cellStyle name="Currency 5 7 5 4" xfId="10530" xr:uid="{A0D4AFE7-E5C4-49FD-8A93-E91B63818746}"/>
    <cellStyle name="Currency 5 7 6" xfId="2446" xr:uid="{00000000-0005-0000-0000-0000910D0000}"/>
    <cellStyle name="Currency 5 7 6 2" xfId="6732" xr:uid="{00000000-0005-0000-0000-0000920D0000}"/>
    <cellStyle name="Currency 5 7 6 2 2" xfId="15161" xr:uid="{B21DD589-4700-4941-B4EF-5F2D015B6C44}"/>
    <cellStyle name="Currency 5 7 6 3" xfId="10943" xr:uid="{2990FDE8-6F2F-4493-9BB9-65DD77B832C7}"/>
    <cellStyle name="Currency 5 7 7" xfId="2743" xr:uid="{00000000-0005-0000-0000-0000930D0000}"/>
    <cellStyle name="Currency 5 7 8" xfId="2824" xr:uid="{00000000-0005-0000-0000-0000940D0000}"/>
    <cellStyle name="Currency 5 7 8 2" xfId="7049" xr:uid="{00000000-0005-0000-0000-0000950D0000}"/>
    <cellStyle name="Currency 5 7 8 2 2" xfId="15478" xr:uid="{A61609C0-6A5A-4574-97AA-CE496E4CA4D0}"/>
    <cellStyle name="Currency 5 7 8 3" xfId="11260" xr:uid="{32371553-D87F-4B97-864D-0C54F372100C}"/>
    <cellStyle name="Currency 5 7 9" xfId="4666" xr:uid="{00000000-0005-0000-0000-0000960D0000}"/>
    <cellStyle name="Currency 5 7 9 2" xfId="13095" xr:uid="{ACE637C4-F178-420B-BA25-338F1A8EAA65}"/>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0 2 2" xfId="15162" xr:uid="{9A4B08FA-9B65-44A5-8FC6-9B45BC69C392}"/>
    <cellStyle name="Normal 12 10 3" xfId="10944" xr:uid="{48726970-1872-4742-A00B-8D5B15AD7D38}"/>
    <cellStyle name="Normal 12 11" xfId="4667" xr:uid="{00000000-0005-0000-0000-0000CC0D0000}"/>
    <cellStyle name="Normal 12 11 2" xfId="13096" xr:uid="{E124C3BE-518D-4EAA-958A-52DB1B3B5AF9}"/>
    <cellStyle name="Normal 12 12" xfId="8878" xr:uid="{536966A9-E93E-4E83-97BF-FC1BE0CFA228}"/>
    <cellStyle name="Normal 12 2" xfId="260" xr:uid="{00000000-0005-0000-0000-0000CD0D0000}"/>
    <cellStyle name="Normal 12 2 10" xfId="8879" xr:uid="{E61255EB-751D-455F-B80A-A5114C5AC7B2}"/>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2 2 2" xfId="15658" xr:uid="{B99E3ABF-15E6-4893-BDE3-8F1DBF5A5E64}"/>
    <cellStyle name="Normal 12 2 2 2 2 2 3" xfId="11440" xr:uid="{4ED51E2A-63DA-41C2-A918-CA212C420408}"/>
    <cellStyle name="Normal 12 2 2 2 2 3" xfId="5084" xr:uid="{00000000-0005-0000-0000-0000D30D0000}"/>
    <cellStyle name="Normal 12 2 2 2 2 3 2" xfId="13513" xr:uid="{5AB1B823-37DE-4BA5-9AFA-532753189BFB}"/>
    <cellStyle name="Normal 12 2 2 2 2 4" xfId="9295" xr:uid="{2C95EE42-D317-47BA-885F-DE55D6ADD7B0}"/>
    <cellStyle name="Normal 12 2 2 2 3" xfId="1187" xr:uid="{00000000-0005-0000-0000-0000D40D0000}"/>
    <cellStyle name="Normal 12 2 2 2 3 2" xfId="3418" xr:uid="{00000000-0005-0000-0000-0000D50D0000}"/>
    <cellStyle name="Normal 12 2 2 2 3 2 2" xfId="7642" xr:uid="{00000000-0005-0000-0000-0000D60D0000}"/>
    <cellStyle name="Normal 12 2 2 2 3 2 2 2" xfId="16071" xr:uid="{B5653330-69DB-4A3A-9B76-06D9447281EB}"/>
    <cellStyle name="Normal 12 2 2 2 3 2 3" xfId="11853" xr:uid="{FE2B577A-62ED-42D7-AFA9-81C803ED7F94}"/>
    <cellStyle name="Normal 12 2 2 2 3 3" xfId="5497" xr:uid="{00000000-0005-0000-0000-0000D70D0000}"/>
    <cellStyle name="Normal 12 2 2 2 3 3 2" xfId="13926" xr:uid="{C62428AB-0564-4AC8-8A9C-6E3226CD601E}"/>
    <cellStyle name="Normal 12 2 2 2 3 4" xfId="9708" xr:uid="{7D9CFB00-0BF1-47B1-8119-9EBB273BF3C4}"/>
    <cellStyle name="Normal 12 2 2 2 4" xfId="1601" xr:uid="{00000000-0005-0000-0000-0000D80D0000}"/>
    <cellStyle name="Normal 12 2 2 2 4 2" xfId="3831" xr:uid="{00000000-0005-0000-0000-0000D90D0000}"/>
    <cellStyle name="Normal 12 2 2 2 4 2 2" xfId="8055" xr:uid="{00000000-0005-0000-0000-0000DA0D0000}"/>
    <cellStyle name="Normal 12 2 2 2 4 2 2 2" xfId="16484" xr:uid="{3262EFA7-C5C6-4A3E-B187-0B62BAEC39ED}"/>
    <cellStyle name="Normal 12 2 2 2 4 2 3" xfId="12266" xr:uid="{43D47DDD-ED31-4D80-8B8D-79B69B5CA7AD}"/>
    <cellStyle name="Normal 12 2 2 2 4 3" xfId="5910" xr:uid="{00000000-0005-0000-0000-0000DB0D0000}"/>
    <cellStyle name="Normal 12 2 2 2 4 3 2" xfId="14339" xr:uid="{C53D045C-FF29-4C2D-B29F-4A7A5FE6E8F7}"/>
    <cellStyle name="Normal 12 2 2 2 4 4" xfId="10121" xr:uid="{C310D3DF-AEB3-45AB-B02D-F96C5709AE63}"/>
    <cellStyle name="Normal 12 2 2 2 5" xfId="2015" xr:uid="{00000000-0005-0000-0000-0000DC0D0000}"/>
    <cellStyle name="Normal 12 2 2 2 5 2" xfId="4244" xr:uid="{00000000-0005-0000-0000-0000DD0D0000}"/>
    <cellStyle name="Normal 12 2 2 2 5 2 2" xfId="8468" xr:uid="{00000000-0005-0000-0000-0000DE0D0000}"/>
    <cellStyle name="Normal 12 2 2 2 5 2 2 2" xfId="16897" xr:uid="{307FF4CD-C45E-47A3-8C84-A0D8BC4F185B}"/>
    <cellStyle name="Normal 12 2 2 2 5 2 3" xfId="12679" xr:uid="{3CD80A36-913C-42AB-B3DD-5F624CC6945F}"/>
    <cellStyle name="Normal 12 2 2 2 5 3" xfId="6323" xr:uid="{00000000-0005-0000-0000-0000DF0D0000}"/>
    <cellStyle name="Normal 12 2 2 2 5 3 2" xfId="14752" xr:uid="{09663F35-FEAA-432C-ADAA-D181E1B788BF}"/>
    <cellStyle name="Normal 12 2 2 2 5 4" xfId="10534" xr:uid="{25C8A3A1-2F82-47AD-8F15-0A1C707C48F8}"/>
    <cellStyle name="Normal 12 2 2 2 6" xfId="2451" xr:uid="{00000000-0005-0000-0000-0000E00D0000}"/>
    <cellStyle name="Normal 12 2 2 2 6 2" xfId="6736" xr:uid="{00000000-0005-0000-0000-0000E10D0000}"/>
    <cellStyle name="Normal 12 2 2 2 6 2 2" xfId="15165" xr:uid="{31970DE4-8CB9-4B55-ADFD-94379E153F23}"/>
    <cellStyle name="Normal 12 2 2 2 6 3" xfId="10947" xr:uid="{8D211C7F-1764-437B-AC27-4C188D65B0E4}"/>
    <cellStyle name="Normal 12 2 2 2 7" xfId="4670" xr:uid="{00000000-0005-0000-0000-0000E20D0000}"/>
    <cellStyle name="Normal 12 2 2 2 7 2" xfId="13099" xr:uid="{539375A3-4626-463C-B157-C9ECA39EE67E}"/>
    <cellStyle name="Normal 12 2 2 2 8" xfId="8881" xr:uid="{3A9949F7-588C-40A1-B05A-410B3D47E917}"/>
    <cellStyle name="Normal 12 2 2 3" xfId="763" xr:uid="{00000000-0005-0000-0000-0000E30D0000}"/>
    <cellStyle name="Normal 12 2 2 3 2" xfId="3004" xr:uid="{00000000-0005-0000-0000-0000E40D0000}"/>
    <cellStyle name="Normal 12 2 2 3 2 2" xfId="7228" xr:uid="{00000000-0005-0000-0000-0000E50D0000}"/>
    <cellStyle name="Normal 12 2 2 3 2 2 2" xfId="15657" xr:uid="{F19C2B70-63E1-4377-BF96-B9CD5A6BC729}"/>
    <cellStyle name="Normal 12 2 2 3 2 3" xfId="11439" xr:uid="{A2234412-6073-406A-8969-1820D45484EB}"/>
    <cellStyle name="Normal 12 2 2 3 3" xfId="5083" xr:uid="{00000000-0005-0000-0000-0000E60D0000}"/>
    <cellStyle name="Normal 12 2 2 3 3 2" xfId="13512" xr:uid="{A8DA86BF-AB1D-49EF-9AE5-77D84AD91072}"/>
    <cellStyle name="Normal 12 2 2 3 4" xfId="9294" xr:uid="{36E904B1-4E01-4030-ACC4-340605A0152A}"/>
    <cellStyle name="Normal 12 2 2 4" xfId="1186" xr:uid="{00000000-0005-0000-0000-0000E70D0000}"/>
    <cellStyle name="Normal 12 2 2 4 2" xfId="3417" xr:uid="{00000000-0005-0000-0000-0000E80D0000}"/>
    <cellStyle name="Normal 12 2 2 4 2 2" xfId="7641" xr:uid="{00000000-0005-0000-0000-0000E90D0000}"/>
    <cellStyle name="Normal 12 2 2 4 2 2 2" xfId="16070" xr:uid="{6558CF57-840B-44AB-9FCC-FFC86FBDA917}"/>
    <cellStyle name="Normal 12 2 2 4 2 3" xfId="11852" xr:uid="{8E3E7DB3-9E75-4176-B9D6-CAE0A8723782}"/>
    <cellStyle name="Normal 12 2 2 4 3" xfId="5496" xr:uid="{00000000-0005-0000-0000-0000EA0D0000}"/>
    <cellStyle name="Normal 12 2 2 4 3 2" xfId="13925" xr:uid="{A2D1789A-F2BA-463F-88E4-A9235506F129}"/>
    <cellStyle name="Normal 12 2 2 4 4" xfId="9707" xr:uid="{8DBF72DF-B4D5-4452-8895-4476719BFA7E}"/>
    <cellStyle name="Normal 12 2 2 5" xfId="1600" xr:uid="{00000000-0005-0000-0000-0000EB0D0000}"/>
    <cellStyle name="Normal 12 2 2 5 2" xfId="3830" xr:uid="{00000000-0005-0000-0000-0000EC0D0000}"/>
    <cellStyle name="Normal 12 2 2 5 2 2" xfId="8054" xr:uid="{00000000-0005-0000-0000-0000ED0D0000}"/>
    <cellStyle name="Normal 12 2 2 5 2 2 2" xfId="16483" xr:uid="{E75402A4-AB16-4EA3-B7D4-22A960EEA784}"/>
    <cellStyle name="Normal 12 2 2 5 2 3" xfId="12265" xr:uid="{F9C72D23-D522-4539-82EF-34C2C8B9537B}"/>
    <cellStyle name="Normal 12 2 2 5 3" xfId="5909" xr:uid="{00000000-0005-0000-0000-0000EE0D0000}"/>
    <cellStyle name="Normal 12 2 2 5 3 2" xfId="14338" xr:uid="{A53F575A-7714-4740-B0BD-618D2AFA7FCC}"/>
    <cellStyle name="Normal 12 2 2 5 4" xfId="10120" xr:uid="{0B79BC1E-61EB-4DC6-9229-A81E46CF1986}"/>
    <cellStyle name="Normal 12 2 2 6" xfId="2014" xr:uid="{00000000-0005-0000-0000-0000EF0D0000}"/>
    <cellStyle name="Normal 12 2 2 6 2" xfId="4243" xr:uid="{00000000-0005-0000-0000-0000F00D0000}"/>
    <cellStyle name="Normal 12 2 2 6 2 2" xfId="8467" xr:uid="{00000000-0005-0000-0000-0000F10D0000}"/>
    <cellStyle name="Normal 12 2 2 6 2 2 2" xfId="16896" xr:uid="{1B01691C-8E9B-4268-A1AE-FC68A73AC1FB}"/>
    <cellStyle name="Normal 12 2 2 6 2 3" xfId="12678" xr:uid="{874418C0-2C4D-4CC8-9EAB-7B01541FE4AD}"/>
    <cellStyle name="Normal 12 2 2 6 3" xfId="6322" xr:uid="{00000000-0005-0000-0000-0000F20D0000}"/>
    <cellStyle name="Normal 12 2 2 6 3 2" xfId="14751" xr:uid="{B6ABAFA5-36F5-410C-B105-D01D79C289D9}"/>
    <cellStyle name="Normal 12 2 2 6 4" xfId="10533" xr:uid="{208E7305-B2F0-4E56-A61B-33F3B01F1FE4}"/>
    <cellStyle name="Normal 12 2 2 7" xfId="2450" xr:uid="{00000000-0005-0000-0000-0000F30D0000}"/>
    <cellStyle name="Normal 12 2 2 7 2" xfId="6735" xr:uid="{00000000-0005-0000-0000-0000F40D0000}"/>
    <cellStyle name="Normal 12 2 2 7 2 2" xfId="15164" xr:uid="{0DD08AB5-89AA-4BF5-AFE3-4AF62ABC1D02}"/>
    <cellStyle name="Normal 12 2 2 7 3" xfId="10946" xr:uid="{F709EDB8-3FC3-48EB-BDBB-526A73659FB0}"/>
    <cellStyle name="Normal 12 2 2 8" xfId="4669" xr:uid="{00000000-0005-0000-0000-0000F50D0000}"/>
    <cellStyle name="Normal 12 2 2 8 2" xfId="13098" xr:uid="{CC7FC19C-5525-45B9-86B6-DD4404E179C1}"/>
    <cellStyle name="Normal 12 2 2 9" xfId="8880" xr:uid="{5D9044DB-2B39-4437-9CEE-31B556723461}"/>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2 2 2" xfId="15659" xr:uid="{64A1B7CA-9075-49BD-80BC-73A49E255678}"/>
    <cellStyle name="Normal 12 2 3 2 2 3" xfId="11441" xr:uid="{289065A6-2BD0-405C-B3D0-5C9F3ED1A744}"/>
    <cellStyle name="Normal 12 2 3 2 3" xfId="5085" xr:uid="{00000000-0005-0000-0000-0000FA0D0000}"/>
    <cellStyle name="Normal 12 2 3 2 3 2" xfId="13514" xr:uid="{3325E760-1C83-4C99-9F98-F34154A17947}"/>
    <cellStyle name="Normal 12 2 3 2 4" xfId="9296" xr:uid="{D425C73A-70EE-4BD9-AC0F-A986D4B97715}"/>
    <cellStyle name="Normal 12 2 3 3" xfId="1188" xr:uid="{00000000-0005-0000-0000-0000FB0D0000}"/>
    <cellStyle name="Normal 12 2 3 3 2" xfId="3419" xr:uid="{00000000-0005-0000-0000-0000FC0D0000}"/>
    <cellStyle name="Normal 12 2 3 3 2 2" xfId="7643" xr:uid="{00000000-0005-0000-0000-0000FD0D0000}"/>
    <cellStyle name="Normal 12 2 3 3 2 2 2" xfId="16072" xr:uid="{44D1A36F-A520-48E2-AF7D-012BFEA23231}"/>
    <cellStyle name="Normal 12 2 3 3 2 3" xfId="11854" xr:uid="{E721D967-6611-406E-947E-47C207446788}"/>
    <cellStyle name="Normal 12 2 3 3 3" xfId="5498" xr:uid="{00000000-0005-0000-0000-0000FE0D0000}"/>
    <cellStyle name="Normal 12 2 3 3 3 2" xfId="13927" xr:uid="{F0698E51-84F1-4F73-A302-C7B98495F635}"/>
    <cellStyle name="Normal 12 2 3 3 4" xfId="9709" xr:uid="{7840CE22-B216-4402-835A-3D85FEE783B2}"/>
    <cellStyle name="Normal 12 2 3 4" xfId="1602" xr:uid="{00000000-0005-0000-0000-0000FF0D0000}"/>
    <cellStyle name="Normal 12 2 3 4 2" xfId="3832" xr:uid="{00000000-0005-0000-0000-0000000E0000}"/>
    <cellStyle name="Normal 12 2 3 4 2 2" xfId="8056" xr:uid="{00000000-0005-0000-0000-0000010E0000}"/>
    <cellStyle name="Normal 12 2 3 4 2 2 2" xfId="16485" xr:uid="{10C3ACAD-9D30-4BDC-A182-D97B09586DCE}"/>
    <cellStyle name="Normal 12 2 3 4 2 3" xfId="12267" xr:uid="{795C500D-B63F-48A6-9542-574CD7FC2DD1}"/>
    <cellStyle name="Normal 12 2 3 4 3" xfId="5911" xr:uid="{00000000-0005-0000-0000-0000020E0000}"/>
    <cellStyle name="Normal 12 2 3 4 3 2" xfId="14340" xr:uid="{B7B21BF9-1862-41E0-8F88-0890650E8656}"/>
    <cellStyle name="Normal 12 2 3 4 4" xfId="10122" xr:uid="{C8FF8F4F-94F7-458B-B0A3-2B362B2B6AA7}"/>
    <cellStyle name="Normal 12 2 3 5" xfId="2016" xr:uid="{00000000-0005-0000-0000-0000030E0000}"/>
    <cellStyle name="Normal 12 2 3 5 2" xfId="4245" xr:uid="{00000000-0005-0000-0000-0000040E0000}"/>
    <cellStyle name="Normal 12 2 3 5 2 2" xfId="8469" xr:uid="{00000000-0005-0000-0000-0000050E0000}"/>
    <cellStyle name="Normal 12 2 3 5 2 2 2" xfId="16898" xr:uid="{E7E79FE8-EBF4-4BF5-83D7-660E4AC92249}"/>
    <cellStyle name="Normal 12 2 3 5 2 3" xfId="12680" xr:uid="{56DF2758-66F4-4B5E-81A8-30863C6072C1}"/>
    <cellStyle name="Normal 12 2 3 5 3" xfId="6324" xr:uid="{00000000-0005-0000-0000-0000060E0000}"/>
    <cellStyle name="Normal 12 2 3 5 3 2" xfId="14753" xr:uid="{83E9F2D9-EB97-43D8-B27B-B749E5EF1351}"/>
    <cellStyle name="Normal 12 2 3 5 4" xfId="10535" xr:uid="{A3E86CCF-BAE1-4771-BD76-0C38CDA84E23}"/>
    <cellStyle name="Normal 12 2 3 6" xfId="2452" xr:uid="{00000000-0005-0000-0000-0000070E0000}"/>
    <cellStyle name="Normal 12 2 3 6 2" xfId="6737" xr:uid="{00000000-0005-0000-0000-0000080E0000}"/>
    <cellStyle name="Normal 12 2 3 6 2 2" xfId="15166" xr:uid="{4105CEA8-717F-43B5-9718-048651A07FF2}"/>
    <cellStyle name="Normal 12 2 3 6 3" xfId="10948" xr:uid="{FE3F1205-2A9C-4CDB-A3DB-20D25E25F6B8}"/>
    <cellStyle name="Normal 12 2 3 7" xfId="4671" xr:uid="{00000000-0005-0000-0000-0000090E0000}"/>
    <cellStyle name="Normal 12 2 3 7 2" xfId="13100" xr:uid="{415C1969-B33A-4E6D-BB68-5C110A5A0DDA}"/>
    <cellStyle name="Normal 12 2 3 8" xfId="8882" xr:uid="{F46B52F1-9B04-41AA-9D7A-613E717859D7}"/>
    <cellStyle name="Normal 12 2 4" xfId="762" xr:uid="{00000000-0005-0000-0000-00000A0E0000}"/>
    <cellStyle name="Normal 12 2 4 2" xfId="3003" xr:uid="{00000000-0005-0000-0000-00000B0E0000}"/>
    <cellStyle name="Normal 12 2 4 2 2" xfId="7227" xr:uid="{00000000-0005-0000-0000-00000C0E0000}"/>
    <cellStyle name="Normal 12 2 4 2 2 2" xfId="15656" xr:uid="{FA9EB2C5-FBD3-4EA4-B2AA-D9F6A37082ED}"/>
    <cellStyle name="Normal 12 2 4 2 3" xfId="11438" xr:uid="{788FCA07-34D5-4D23-B895-195C491C6796}"/>
    <cellStyle name="Normal 12 2 4 3" xfId="5082" xr:uid="{00000000-0005-0000-0000-00000D0E0000}"/>
    <cellStyle name="Normal 12 2 4 3 2" xfId="13511" xr:uid="{DC11A5B0-4797-4911-913E-6D5FC98D43EC}"/>
    <cellStyle name="Normal 12 2 4 4" xfId="9293" xr:uid="{D3920458-63BC-4976-B872-FE2E7CF1BBE1}"/>
    <cellStyle name="Normal 12 2 5" xfId="1185" xr:uid="{00000000-0005-0000-0000-00000E0E0000}"/>
    <cellStyle name="Normal 12 2 5 2" xfId="3416" xr:uid="{00000000-0005-0000-0000-00000F0E0000}"/>
    <cellStyle name="Normal 12 2 5 2 2" xfId="7640" xr:uid="{00000000-0005-0000-0000-0000100E0000}"/>
    <cellStyle name="Normal 12 2 5 2 2 2" xfId="16069" xr:uid="{FF93DAB5-C472-415B-ABB1-127B1355ED0C}"/>
    <cellStyle name="Normal 12 2 5 2 3" xfId="11851" xr:uid="{5CBF9D1F-1573-425B-B1AA-BA3A94E67F31}"/>
    <cellStyle name="Normal 12 2 5 3" xfId="5495" xr:uid="{00000000-0005-0000-0000-0000110E0000}"/>
    <cellStyle name="Normal 12 2 5 3 2" xfId="13924" xr:uid="{AFF38E4B-E112-485A-8A5A-1E6D7F4CA139}"/>
    <cellStyle name="Normal 12 2 5 4" xfId="9706" xr:uid="{C44E7C52-4569-4696-8697-F184E18C11FA}"/>
    <cellStyle name="Normal 12 2 6" xfId="1599" xr:uid="{00000000-0005-0000-0000-0000120E0000}"/>
    <cellStyle name="Normal 12 2 6 2" xfId="3829" xr:uid="{00000000-0005-0000-0000-0000130E0000}"/>
    <cellStyle name="Normal 12 2 6 2 2" xfId="8053" xr:uid="{00000000-0005-0000-0000-0000140E0000}"/>
    <cellStyle name="Normal 12 2 6 2 2 2" xfId="16482" xr:uid="{63535BF9-5319-4831-A16D-6C6B2D0689EC}"/>
    <cellStyle name="Normal 12 2 6 2 3" xfId="12264" xr:uid="{E78F0F32-A479-44A6-8E8E-954525671C0C}"/>
    <cellStyle name="Normal 12 2 6 3" xfId="5908" xr:uid="{00000000-0005-0000-0000-0000150E0000}"/>
    <cellStyle name="Normal 12 2 6 3 2" xfId="14337" xr:uid="{30972228-40EE-4A5A-8876-C66DE387F9EE}"/>
    <cellStyle name="Normal 12 2 6 4" xfId="10119" xr:uid="{95F4F3DE-E8D9-4051-97C9-1D14E93B2E9D}"/>
    <cellStyle name="Normal 12 2 7" xfId="2013" xr:uid="{00000000-0005-0000-0000-0000160E0000}"/>
    <cellStyle name="Normal 12 2 7 2" xfId="4242" xr:uid="{00000000-0005-0000-0000-0000170E0000}"/>
    <cellStyle name="Normal 12 2 7 2 2" xfId="8466" xr:uid="{00000000-0005-0000-0000-0000180E0000}"/>
    <cellStyle name="Normal 12 2 7 2 2 2" xfId="16895" xr:uid="{344A9112-54E9-4E4E-B4C0-01A10668C8E4}"/>
    <cellStyle name="Normal 12 2 7 2 3" xfId="12677" xr:uid="{DC4E3758-276A-4062-894F-B056DB21D99A}"/>
    <cellStyle name="Normal 12 2 7 3" xfId="6321" xr:uid="{00000000-0005-0000-0000-0000190E0000}"/>
    <cellStyle name="Normal 12 2 7 3 2" xfId="14750" xr:uid="{E1E0CDD5-6562-4529-8621-12CD94C44243}"/>
    <cellStyle name="Normal 12 2 7 4" xfId="10532" xr:uid="{85E0E923-D56E-46C4-B466-A7720D797A10}"/>
    <cellStyle name="Normal 12 2 8" xfId="2449" xr:uid="{00000000-0005-0000-0000-00001A0E0000}"/>
    <cellStyle name="Normal 12 2 8 2" xfId="6734" xr:uid="{00000000-0005-0000-0000-00001B0E0000}"/>
    <cellStyle name="Normal 12 2 8 2 2" xfId="15163" xr:uid="{40D74570-5D1C-441D-8CCA-2F91DA9A7CE4}"/>
    <cellStyle name="Normal 12 2 8 3" xfId="10945" xr:uid="{1FD04ECC-0792-4E3A-A780-8819AF82C43C}"/>
    <cellStyle name="Normal 12 2 9" xfId="4668" xr:uid="{00000000-0005-0000-0000-00001C0E0000}"/>
    <cellStyle name="Normal 12 2 9 2" xfId="13097" xr:uid="{EE565807-1203-4591-A97A-78E4CDF7BDB1}"/>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2 2 2" xfId="15661" xr:uid="{DACB2044-06B0-4429-A7D6-87314144268A}"/>
    <cellStyle name="Normal 12 3 2 2 2 3" xfId="11443" xr:uid="{CBC2B88F-A57C-498D-B335-3BB873FC90BA}"/>
    <cellStyle name="Normal 12 3 2 2 3" xfId="5087" xr:uid="{00000000-0005-0000-0000-0000220E0000}"/>
    <cellStyle name="Normal 12 3 2 2 3 2" xfId="13516" xr:uid="{F9257D2F-F7D9-4855-929F-0C710633FA6E}"/>
    <cellStyle name="Normal 12 3 2 2 4" xfId="9298" xr:uid="{6B94E515-7690-40E7-9903-CF92566DE040}"/>
    <cellStyle name="Normal 12 3 2 3" xfId="1190" xr:uid="{00000000-0005-0000-0000-0000230E0000}"/>
    <cellStyle name="Normal 12 3 2 3 2" xfId="3421" xr:uid="{00000000-0005-0000-0000-0000240E0000}"/>
    <cellStyle name="Normal 12 3 2 3 2 2" xfId="7645" xr:uid="{00000000-0005-0000-0000-0000250E0000}"/>
    <cellStyle name="Normal 12 3 2 3 2 2 2" xfId="16074" xr:uid="{D9568A12-2AAD-4977-9965-D412CF5BE439}"/>
    <cellStyle name="Normal 12 3 2 3 2 3" xfId="11856" xr:uid="{9FE974A6-C8A2-4832-AC24-DFF7B64A45D1}"/>
    <cellStyle name="Normal 12 3 2 3 3" xfId="5500" xr:uid="{00000000-0005-0000-0000-0000260E0000}"/>
    <cellStyle name="Normal 12 3 2 3 3 2" xfId="13929" xr:uid="{962C2632-74DE-4A8C-AE2D-3E64008D7890}"/>
    <cellStyle name="Normal 12 3 2 3 4" xfId="9711" xr:uid="{2095055D-6412-44D2-BFAA-B41AB4D8602C}"/>
    <cellStyle name="Normal 12 3 2 4" xfId="1604" xr:uid="{00000000-0005-0000-0000-0000270E0000}"/>
    <cellStyle name="Normal 12 3 2 4 2" xfId="3834" xr:uid="{00000000-0005-0000-0000-0000280E0000}"/>
    <cellStyle name="Normal 12 3 2 4 2 2" xfId="8058" xr:uid="{00000000-0005-0000-0000-0000290E0000}"/>
    <cellStyle name="Normal 12 3 2 4 2 2 2" xfId="16487" xr:uid="{3B6E6A7E-52F6-41EA-AB38-C656F2D9042F}"/>
    <cellStyle name="Normal 12 3 2 4 2 3" xfId="12269" xr:uid="{98A7375E-7B30-4A09-AF88-E6726D88141F}"/>
    <cellStyle name="Normal 12 3 2 4 3" xfId="5913" xr:uid="{00000000-0005-0000-0000-00002A0E0000}"/>
    <cellStyle name="Normal 12 3 2 4 3 2" xfId="14342" xr:uid="{96AF43ED-A80E-438A-8C8E-2F95B7576EC3}"/>
    <cellStyle name="Normal 12 3 2 4 4" xfId="10124" xr:uid="{AB3549AC-3425-4C01-BC77-B261617202AC}"/>
    <cellStyle name="Normal 12 3 2 5" xfId="2018" xr:uid="{00000000-0005-0000-0000-00002B0E0000}"/>
    <cellStyle name="Normal 12 3 2 5 2" xfId="4247" xr:uid="{00000000-0005-0000-0000-00002C0E0000}"/>
    <cellStyle name="Normal 12 3 2 5 2 2" xfId="8471" xr:uid="{00000000-0005-0000-0000-00002D0E0000}"/>
    <cellStyle name="Normal 12 3 2 5 2 2 2" xfId="16900" xr:uid="{D70531C3-2896-4727-BB51-C947CAAD6AF7}"/>
    <cellStyle name="Normal 12 3 2 5 2 3" xfId="12682" xr:uid="{D01315E6-F8BA-4AAB-A991-22FE6463E964}"/>
    <cellStyle name="Normal 12 3 2 5 3" xfId="6326" xr:uid="{00000000-0005-0000-0000-00002E0E0000}"/>
    <cellStyle name="Normal 12 3 2 5 3 2" xfId="14755" xr:uid="{65563B54-3154-4989-B80A-0B7BD137248A}"/>
    <cellStyle name="Normal 12 3 2 5 4" xfId="10537" xr:uid="{D2931276-62A7-43EC-AC79-9DEE1B67318D}"/>
    <cellStyle name="Normal 12 3 2 6" xfId="2454" xr:uid="{00000000-0005-0000-0000-00002F0E0000}"/>
    <cellStyle name="Normal 12 3 2 6 2" xfId="6739" xr:uid="{00000000-0005-0000-0000-0000300E0000}"/>
    <cellStyle name="Normal 12 3 2 6 2 2" xfId="15168" xr:uid="{B49AD606-5E79-4512-9E11-49B0497A16CC}"/>
    <cellStyle name="Normal 12 3 2 6 3" xfId="10950" xr:uid="{A68F20C4-8B59-46DA-B4E4-3E3725BD70BA}"/>
    <cellStyle name="Normal 12 3 2 7" xfId="4673" xr:uid="{00000000-0005-0000-0000-0000310E0000}"/>
    <cellStyle name="Normal 12 3 2 7 2" xfId="13102" xr:uid="{2E79FCF7-0788-4E1C-B0BB-9F4DA8E41ED5}"/>
    <cellStyle name="Normal 12 3 2 8" xfId="8884" xr:uid="{97ABD619-7222-45EE-A929-0EF1DF57310D}"/>
    <cellStyle name="Normal 12 3 3" xfId="766" xr:uid="{00000000-0005-0000-0000-0000320E0000}"/>
    <cellStyle name="Normal 12 3 3 2" xfId="3007" xr:uid="{00000000-0005-0000-0000-0000330E0000}"/>
    <cellStyle name="Normal 12 3 3 2 2" xfId="7231" xr:uid="{00000000-0005-0000-0000-0000340E0000}"/>
    <cellStyle name="Normal 12 3 3 2 2 2" xfId="15660" xr:uid="{ED9F5C34-44BF-4148-96B6-39B5E361A2D2}"/>
    <cellStyle name="Normal 12 3 3 2 3" xfId="11442" xr:uid="{0DCC4E4A-278C-4EE1-8B75-C3CC39DC8EA6}"/>
    <cellStyle name="Normal 12 3 3 3" xfId="5086" xr:uid="{00000000-0005-0000-0000-0000350E0000}"/>
    <cellStyle name="Normal 12 3 3 3 2" xfId="13515" xr:uid="{E839B978-99D3-4917-B46C-0A9A2501A876}"/>
    <cellStyle name="Normal 12 3 3 4" xfId="9297" xr:uid="{B0A0B187-6F70-4952-914E-05F0B0F26B17}"/>
    <cellStyle name="Normal 12 3 4" xfId="1189" xr:uid="{00000000-0005-0000-0000-0000360E0000}"/>
    <cellStyle name="Normal 12 3 4 2" xfId="3420" xr:uid="{00000000-0005-0000-0000-0000370E0000}"/>
    <cellStyle name="Normal 12 3 4 2 2" xfId="7644" xr:uid="{00000000-0005-0000-0000-0000380E0000}"/>
    <cellStyle name="Normal 12 3 4 2 2 2" xfId="16073" xr:uid="{595636F4-6D56-4517-977B-4D1A30988EAE}"/>
    <cellStyle name="Normal 12 3 4 2 3" xfId="11855" xr:uid="{1E8B510C-674F-469B-9D26-BAAD054F0E22}"/>
    <cellStyle name="Normal 12 3 4 3" xfId="5499" xr:uid="{00000000-0005-0000-0000-0000390E0000}"/>
    <cellStyle name="Normal 12 3 4 3 2" xfId="13928" xr:uid="{C52BCDA4-D5C0-4543-9E80-255F04189B9F}"/>
    <cellStyle name="Normal 12 3 4 4" xfId="9710" xr:uid="{706D0AE5-9FE6-4F3E-997E-6BEF63B19DCF}"/>
    <cellStyle name="Normal 12 3 5" xfId="1603" xr:uid="{00000000-0005-0000-0000-00003A0E0000}"/>
    <cellStyle name="Normal 12 3 5 2" xfId="3833" xr:uid="{00000000-0005-0000-0000-00003B0E0000}"/>
    <cellStyle name="Normal 12 3 5 2 2" xfId="8057" xr:uid="{00000000-0005-0000-0000-00003C0E0000}"/>
    <cellStyle name="Normal 12 3 5 2 2 2" xfId="16486" xr:uid="{5CD870CC-9F5D-4285-A250-FFBCEFC2E09C}"/>
    <cellStyle name="Normal 12 3 5 2 3" xfId="12268" xr:uid="{292D65E7-E1EC-4CA1-A3E5-E5C5AD492F18}"/>
    <cellStyle name="Normal 12 3 5 3" xfId="5912" xr:uid="{00000000-0005-0000-0000-00003D0E0000}"/>
    <cellStyle name="Normal 12 3 5 3 2" xfId="14341" xr:uid="{469DE34D-506A-4B9E-B4A1-156812E3510D}"/>
    <cellStyle name="Normal 12 3 5 4" xfId="10123" xr:uid="{3B174934-8A6E-4EF6-AE1A-9961C1C3CD64}"/>
    <cellStyle name="Normal 12 3 6" xfId="2017" xr:uid="{00000000-0005-0000-0000-00003E0E0000}"/>
    <cellStyle name="Normal 12 3 6 2" xfId="4246" xr:uid="{00000000-0005-0000-0000-00003F0E0000}"/>
    <cellStyle name="Normal 12 3 6 2 2" xfId="8470" xr:uid="{00000000-0005-0000-0000-0000400E0000}"/>
    <cellStyle name="Normal 12 3 6 2 2 2" xfId="16899" xr:uid="{10E405E3-2B98-426E-9C1A-E6B537CED751}"/>
    <cellStyle name="Normal 12 3 6 2 3" xfId="12681" xr:uid="{805F074D-BAAD-49BB-8554-98F5B63581AB}"/>
    <cellStyle name="Normal 12 3 6 3" xfId="6325" xr:uid="{00000000-0005-0000-0000-0000410E0000}"/>
    <cellStyle name="Normal 12 3 6 3 2" xfId="14754" xr:uid="{755E56FF-7E52-4A60-8A99-4280C99CEB2E}"/>
    <cellStyle name="Normal 12 3 6 4" xfId="10536" xr:uid="{2F0DA85A-22D5-4418-8AF9-7937BBA3F898}"/>
    <cellStyle name="Normal 12 3 7" xfId="2453" xr:uid="{00000000-0005-0000-0000-0000420E0000}"/>
    <cellStyle name="Normal 12 3 7 2" xfId="6738" xr:uid="{00000000-0005-0000-0000-0000430E0000}"/>
    <cellStyle name="Normal 12 3 7 2 2" xfId="15167" xr:uid="{2F7B8B04-E5F6-4FB9-A79C-DFDB55CBCBA5}"/>
    <cellStyle name="Normal 12 3 7 3" xfId="10949" xr:uid="{687F06FC-2293-474F-9E25-9BBED2DA5FE0}"/>
    <cellStyle name="Normal 12 3 8" xfId="4672" xr:uid="{00000000-0005-0000-0000-0000440E0000}"/>
    <cellStyle name="Normal 12 3 8 2" xfId="13101" xr:uid="{0D7CFC1E-FBB1-479D-821F-E0BDB7B8B744}"/>
    <cellStyle name="Normal 12 3 9" xfId="8883" xr:uid="{8A289E7D-B416-4CF3-851A-A047A7AD4CF8}"/>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2 2 2" xfId="15662" xr:uid="{09748F9D-E344-4859-9EC7-44A472F77AC3}"/>
    <cellStyle name="Normal 12 4 2 2 3" xfId="11444" xr:uid="{BDC30A18-C081-4E25-82D9-C12A4022FE8A}"/>
    <cellStyle name="Normal 12 4 2 3" xfId="5088" xr:uid="{00000000-0005-0000-0000-0000490E0000}"/>
    <cellStyle name="Normal 12 4 2 3 2" xfId="13517" xr:uid="{747634B5-D2FB-432D-89F2-BBE1D76DBC90}"/>
    <cellStyle name="Normal 12 4 2 4" xfId="9299" xr:uid="{FAA9C543-7CFB-497B-92E0-FC2F314B2999}"/>
    <cellStyle name="Normal 12 4 3" xfId="1191" xr:uid="{00000000-0005-0000-0000-00004A0E0000}"/>
    <cellStyle name="Normal 12 4 3 2" xfId="3422" xr:uid="{00000000-0005-0000-0000-00004B0E0000}"/>
    <cellStyle name="Normal 12 4 3 2 2" xfId="7646" xr:uid="{00000000-0005-0000-0000-00004C0E0000}"/>
    <cellStyle name="Normal 12 4 3 2 2 2" xfId="16075" xr:uid="{89115B1B-461E-4B39-BC3A-6BBF5125A5C5}"/>
    <cellStyle name="Normal 12 4 3 2 3" xfId="11857" xr:uid="{5FF46A13-E6FA-4DE1-87B7-80BFF8C04176}"/>
    <cellStyle name="Normal 12 4 3 3" xfId="5501" xr:uid="{00000000-0005-0000-0000-00004D0E0000}"/>
    <cellStyle name="Normal 12 4 3 3 2" xfId="13930" xr:uid="{F8D9167F-96EF-4127-A8E8-700B06FEF4C9}"/>
    <cellStyle name="Normal 12 4 3 4" xfId="9712" xr:uid="{6F333EEF-1190-4A05-B306-64248F48E54A}"/>
    <cellStyle name="Normal 12 4 4" xfId="1605" xr:uid="{00000000-0005-0000-0000-00004E0E0000}"/>
    <cellStyle name="Normal 12 4 4 2" xfId="3835" xr:uid="{00000000-0005-0000-0000-00004F0E0000}"/>
    <cellStyle name="Normal 12 4 4 2 2" xfId="8059" xr:uid="{00000000-0005-0000-0000-0000500E0000}"/>
    <cellStyle name="Normal 12 4 4 2 2 2" xfId="16488" xr:uid="{FCD79A32-5E2F-4A1A-BE02-B684D2F68536}"/>
    <cellStyle name="Normal 12 4 4 2 3" xfId="12270" xr:uid="{EAA203D7-CCF8-403F-B8F8-80A860D842E9}"/>
    <cellStyle name="Normal 12 4 4 3" xfId="5914" xr:uid="{00000000-0005-0000-0000-0000510E0000}"/>
    <cellStyle name="Normal 12 4 4 3 2" xfId="14343" xr:uid="{79ACCEAC-8BED-4F71-9FF0-FCA51386CB83}"/>
    <cellStyle name="Normal 12 4 4 4" xfId="10125" xr:uid="{891DDA27-CC04-449F-A21B-AC58CE04B209}"/>
    <cellStyle name="Normal 12 4 5" xfId="2019" xr:uid="{00000000-0005-0000-0000-0000520E0000}"/>
    <cellStyle name="Normal 12 4 5 2" xfId="4248" xr:uid="{00000000-0005-0000-0000-0000530E0000}"/>
    <cellStyle name="Normal 12 4 5 2 2" xfId="8472" xr:uid="{00000000-0005-0000-0000-0000540E0000}"/>
    <cellStyle name="Normal 12 4 5 2 2 2" xfId="16901" xr:uid="{AE7F5A9F-CB4A-46F4-A852-803B33606FC9}"/>
    <cellStyle name="Normal 12 4 5 2 3" xfId="12683" xr:uid="{D121518F-E688-4602-B19A-C300B1D079D1}"/>
    <cellStyle name="Normal 12 4 5 3" xfId="6327" xr:uid="{00000000-0005-0000-0000-0000550E0000}"/>
    <cellStyle name="Normal 12 4 5 3 2" xfId="14756" xr:uid="{C0F310F7-CC7A-4667-B8CE-FF0AFBF6A10E}"/>
    <cellStyle name="Normal 12 4 5 4" xfId="10538" xr:uid="{C1B85ECF-7F38-41B1-8C86-B53424E36C5A}"/>
    <cellStyle name="Normal 12 4 6" xfId="2455" xr:uid="{00000000-0005-0000-0000-0000560E0000}"/>
    <cellStyle name="Normal 12 4 6 2" xfId="6740" xr:uid="{00000000-0005-0000-0000-0000570E0000}"/>
    <cellStyle name="Normal 12 4 6 2 2" xfId="15169" xr:uid="{6B5ECAB1-6D2D-4544-897E-4ECC0E183640}"/>
    <cellStyle name="Normal 12 4 6 3" xfId="10951" xr:uid="{00DB6ABD-D3C3-443A-BA89-A632DBF4D102}"/>
    <cellStyle name="Normal 12 4 7" xfId="4674" xr:uid="{00000000-0005-0000-0000-0000580E0000}"/>
    <cellStyle name="Normal 12 4 7 2" xfId="13103" xr:uid="{09974293-2BE4-4F53-BD13-137013403989}"/>
    <cellStyle name="Normal 12 4 8" xfId="8885" xr:uid="{F853FDD0-5D0F-4CB0-BE4B-683DC5DA5F38}"/>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2 2 2" xfId="15655" xr:uid="{199B2537-2F44-44DB-8DD3-04A895AD2B80}"/>
    <cellStyle name="Normal 12 6 2 3" xfId="11437" xr:uid="{8BDAE711-07F5-48AA-B22C-BE44C345DD1D}"/>
    <cellStyle name="Normal 12 6 3" xfId="5081" xr:uid="{00000000-0005-0000-0000-00005D0E0000}"/>
    <cellStyle name="Normal 12 6 3 2" xfId="13510" xr:uid="{AD9ED19A-FFBB-4EFC-95CD-474D86FAF611}"/>
    <cellStyle name="Normal 12 6 4" xfId="9292" xr:uid="{7287E41E-6C89-4B32-97F1-F08677CC5F40}"/>
    <cellStyle name="Normal 12 7" xfId="1184" xr:uid="{00000000-0005-0000-0000-00005E0E0000}"/>
    <cellStyle name="Normal 12 7 2" xfId="3415" xr:uid="{00000000-0005-0000-0000-00005F0E0000}"/>
    <cellStyle name="Normal 12 7 2 2" xfId="7639" xr:uid="{00000000-0005-0000-0000-0000600E0000}"/>
    <cellStyle name="Normal 12 7 2 2 2" xfId="16068" xr:uid="{AC4F2711-82F0-4649-8065-E942632DBBA6}"/>
    <cellStyle name="Normal 12 7 2 3" xfId="11850" xr:uid="{57907B0C-A1FD-42EE-9923-FB4E2A96C20C}"/>
    <cellStyle name="Normal 12 7 3" xfId="5494" xr:uid="{00000000-0005-0000-0000-0000610E0000}"/>
    <cellStyle name="Normal 12 7 3 2" xfId="13923" xr:uid="{633C09BA-72A2-45C8-B1E3-338B44140AEF}"/>
    <cellStyle name="Normal 12 7 4" xfId="9705" xr:uid="{A2756381-49BC-4B71-94E3-74D2F74B0FB4}"/>
    <cellStyle name="Normal 12 8" xfId="1598" xr:uid="{00000000-0005-0000-0000-0000620E0000}"/>
    <cellStyle name="Normal 12 8 2" xfId="3828" xr:uid="{00000000-0005-0000-0000-0000630E0000}"/>
    <cellStyle name="Normal 12 8 2 2" xfId="8052" xr:uid="{00000000-0005-0000-0000-0000640E0000}"/>
    <cellStyle name="Normal 12 8 2 2 2" xfId="16481" xr:uid="{DA4E7C9D-BF31-4918-B40D-F08239F76ADD}"/>
    <cellStyle name="Normal 12 8 2 3" xfId="12263" xr:uid="{5B856E27-F7CA-4300-8D5D-A0F77530B0A5}"/>
    <cellStyle name="Normal 12 8 3" xfId="5907" xr:uid="{00000000-0005-0000-0000-0000650E0000}"/>
    <cellStyle name="Normal 12 8 3 2" xfId="14336" xr:uid="{2CF821FC-E40E-48EE-9B64-F605F5EE8797}"/>
    <cellStyle name="Normal 12 8 4" xfId="10118" xr:uid="{D3E5B953-CDDD-4D93-A8C1-6A3305DF96AC}"/>
    <cellStyle name="Normal 12 9" xfId="2012" xr:uid="{00000000-0005-0000-0000-0000660E0000}"/>
    <cellStyle name="Normal 12 9 2" xfId="4241" xr:uid="{00000000-0005-0000-0000-0000670E0000}"/>
    <cellStyle name="Normal 12 9 2 2" xfId="8465" xr:uid="{00000000-0005-0000-0000-0000680E0000}"/>
    <cellStyle name="Normal 12 9 2 2 2" xfId="16894" xr:uid="{A9C1EBD4-C6AD-4887-8D25-D2542F82D657}"/>
    <cellStyle name="Normal 12 9 2 3" xfId="12676" xr:uid="{4687B2C3-701E-499C-974F-24480181CF75}"/>
    <cellStyle name="Normal 12 9 3" xfId="6320" xr:uid="{00000000-0005-0000-0000-0000690E0000}"/>
    <cellStyle name="Normal 12 9 3 2" xfId="14749" xr:uid="{913B519A-58E6-4C76-B687-707CFF54AAD2}"/>
    <cellStyle name="Normal 12 9 4" xfId="10531" xr:uid="{819593DA-5D3E-4168-83B0-908994EFE648}"/>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2 2 2" xfId="15663" xr:uid="{2B2014D2-562F-4138-BDF8-F38DB8566A8B}"/>
    <cellStyle name="Normal 14 2 2 3" xfId="11445" xr:uid="{FA0A62F3-D860-4451-95D4-5F8B5807349C}"/>
    <cellStyle name="Normal 14 2 3" xfId="5089" xr:uid="{00000000-0005-0000-0000-0000700E0000}"/>
    <cellStyle name="Normal 14 2 3 2" xfId="13518" xr:uid="{72404C10-D5AE-466F-BB64-36E0BD9DA020}"/>
    <cellStyle name="Normal 14 2 4" xfId="9300" xr:uid="{6257084E-60B8-4224-B853-320308FE27AC}"/>
    <cellStyle name="Normal 14 3" xfId="1192" xr:uid="{00000000-0005-0000-0000-0000710E0000}"/>
    <cellStyle name="Normal 14 3 2" xfId="3423" xr:uid="{00000000-0005-0000-0000-0000720E0000}"/>
    <cellStyle name="Normal 14 3 2 2" xfId="7647" xr:uid="{00000000-0005-0000-0000-0000730E0000}"/>
    <cellStyle name="Normal 14 3 2 2 2" xfId="16076" xr:uid="{3B67CCAD-FDC2-4E4C-945B-3BF82EEED56E}"/>
    <cellStyle name="Normal 14 3 2 3" xfId="11858" xr:uid="{E4F65798-40FA-4BC0-AB72-5E56A5E80375}"/>
    <cellStyle name="Normal 14 3 3" xfId="5502" xr:uid="{00000000-0005-0000-0000-0000740E0000}"/>
    <cellStyle name="Normal 14 3 3 2" xfId="13931" xr:uid="{EF1E91A4-AEC7-4771-8706-144DEA3D5C28}"/>
    <cellStyle name="Normal 14 3 4" xfId="9713" xr:uid="{2B434BAF-DA59-463A-8525-91ECF22D2B08}"/>
    <cellStyle name="Normal 14 4" xfId="1606" xr:uid="{00000000-0005-0000-0000-0000750E0000}"/>
    <cellStyle name="Normal 14 4 2" xfId="3836" xr:uid="{00000000-0005-0000-0000-0000760E0000}"/>
    <cellStyle name="Normal 14 4 2 2" xfId="8060" xr:uid="{00000000-0005-0000-0000-0000770E0000}"/>
    <cellStyle name="Normal 14 4 2 2 2" xfId="16489" xr:uid="{0F6A4B42-6011-48EB-B961-4EC070724AE9}"/>
    <cellStyle name="Normal 14 4 2 3" xfId="12271" xr:uid="{2E82F831-2252-4A57-9445-E37724A1AC0E}"/>
    <cellStyle name="Normal 14 4 3" xfId="5915" xr:uid="{00000000-0005-0000-0000-0000780E0000}"/>
    <cellStyle name="Normal 14 4 3 2" xfId="14344" xr:uid="{79A6697E-93B3-4558-A9D7-D1ADB2084608}"/>
    <cellStyle name="Normal 14 4 4" xfId="10126" xr:uid="{002B8255-4643-4A20-A97C-D1856ABD0C53}"/>
    <cellStyle name="Normal 14 5" xfId="2020" xr:uid="{00000000-0005-0000-0000-0000790E0000}"/>
    <cellStyle name="Normal 14 5 2" xfId="4249" xr:uid="{00000000-0005-0000-0000-00007A0E0000}"/>
    <cellStyle name="Normal 14 5 2 2" xfId="8473" xr:uid="{00000000-0005-0000-0000-00007B0E0000}"/>
    <cellStyle name="Normal 14 5 2 2 2" xfId="16902" xr:uid="{657919A1-3D0D-46F1-99FB-1384438DA64A}"/>
    <cellStyle name="Normal 14 5 2 3" xfId="12684" xr:uid="{92B99574-7ACC-4614-B71A-7BFD4172318B}"/>
    <cellStyle name="Normal 14 5 3" xfId="6328" xr:uid="{00000000-0005-0000-0000-00007C0E0000}"/>
    <cellStyle name="Normal 14 5 3 2" xfId="14757" xr:uid="{72D7DB11-C02C-4A08-9415-A23BB858C5DF}"/>
    <cellStyle name="Normal 14 5 4" xfId="10539" xr:uid="{98904016-7FF3-4460-B397-D9D8A9F8062E}"/>
    <cellStyle name="Normal 14 6" xfId="2456" xr:uid="{00000000-0005-0000-0000-00007D0E0000}"/>
    <cellStyle name="Normal 14 6 2" xfId="6741" xr:uid="{00000000-0005-0000-0000-00007E0E0000}"/>
    <cellStyle name="Normal 14 6 2 2" xfId="15170" xr:uid="{9950C2AF-B024-482B-B1AE-F33B5C4A4704}"/>
    <cellStyle name="Normal 14 6 3" xfId="10952" xr:uid="{A2140B46-2499-4E3C-A274-11713FEB34CB}"/>
    <cellStyle name="Normal 14 7" xfId="4675" xr:uid="{00000000-0005-0000-0000-00007F0E0000}"/>
    <cellStyle name="Normal 14 7 2" xfId="13104" xr:uid="{56C022A9-1FBD-4C8F-B668-9F4B1DB575AC}"/>
    <cellStyle name="Normal 14 8" xfId="8886" xr:uid="{433893B4-7128-4E46-AC08-181B84F3C639}"/>
    <cellStyle name="Normal 15" xfId="4497" xr:uid="{00000000-0005-0000-0000-0000800E0000}"/>
    <cellStyle name="Normal 15 2" xfId="12930" xr:uid="{B22A6248-A30B-4E30-840D-77B5309FBCE5}"/>
    <cellStyle name="Normal 16" xfId="4501" xr:uid="{00000000-0005-0000-0000-0000810E0000}"/>
    <cellStyle name="Normal 16 2" xfId="12933" xr:uid="{4363F1B2-3454-4869-A122-FBBACB1CF069}"/>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2 2 2" xfId="16903" xr:uid="{43F6DD5E-4C30-4F24-B5D4-9CFB9E0C9471}"/>
    <cellStyle name="Normal 2 4 2 10 2 3" xfId="12685" xr:uid="{A3CE7B06-C175-4E9B-AE85-5BC61F8FABA1}"/>
    <cellStyle name="Normal 2 4 2 10 3" xfId="6329" xr:uid="{00000000-0005-0000-0000-0000900E0000}"/>
    <cellStyle name="Normal 2 4 2 10 3 2" xfId="14758" xr:uid="{6FE4BC9A-24F0-48E1-B6B6-BFE1C3E7CC9F}"/>
    <cellStyle name="Normal 2 4 2 10 4" xfId="10540" xr:uid="{D89596CA-8C57-4AB1-B83D-152608D550DD}"/>
    <cellStyle name="Normal 2 4 2 11" xfId="2457" xr:uid="{00000000-0005-0000-0000-0000910E0000}"/>
    <cellStyle name="Normal 2 4 2 11 2" xfId="6742" xr:uid="{00000000-0005-0000-0000-0000920E0000}"/>
    <cellStyle name="Normal 2 4 2 11 2 2" xfId="15171" xr:uid="{2FB057D7-74C4-460B-BE32-BA366D4E523E}"/>
    <cellStyle name="Normal 2 4 2 11 3" xfId="10953" xr:uid="{10D40AAE-E1DB-4372-84C3-0F6F373C28DE}"/>
    <cellStyle name="Normal 2 4 2 12" xfId="4676" xr:uid="{00000000-0005-0000-0000-0000930E0000}"/>
    <cellStyle name="Normal 2 4 2 12 2" xfId="13105" xr:uid="{3F395A03-F43D-47B5-91FA-1D60BCEFFFF2}"/>
    <cellStyle name="Normal 2 4 2 13" xfId="8887" xr:uid="{322AE4CE-4B8D-4F7B-A7B9-7092538E2BFD}"/>
    <cellStyle name="Normal 2 4 2 2" xfId="280" xr:uid="{00000000-0005-0000-0000-0000940E0000}"/>
    <cellStyle name="Normal 2 4 2 3" xfId="281" xr:uid="{00000000-0005-0000-0000-0000950E0000}"/>
    <cellStyle name="Normal 2 4 2 3 10" xfId="4677" xr:uid="{00000000-0005-0000-0000-0000960E0000}"/>
    <cellStyle name="Normal 2 4 2 3 10 2" xfId="13106" xr:uid="{D78E7B45-F157-489A-9DDE-9BDC98670026}"/>
    <cellStyle name="Normal 2 4 2 3 11" xfId="8888" xr:uid="{A00649EA-C894-43EE-BD9C-24C324D29C30}"/>
    <cellStyle name="Normal 2 4 2 3 2" xfId="282" xr:uid="{00000000-0005-0000-0000-0000970E0000}"/>
    <cellStyle name="Normal 2 4 2 3 2 10" xfId="8889" xr:uid="{9202D32F-A5E1-43D5-B5A7-B2FC0FF3429C}"/>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2 2 2" xfId="15668" xr:uid="{3F93D99F-0A15-4B5A-A3D9-6C09A57FDC73}"/>
    <cellStyle name="Normal 2 4 2 3 2 2 2 2 2 3" xfId="11450" xr:uid="{56597F91-A131-46D8-884A-02FDABCDB436}"/>
    <cellStyle name="Normal 2 4 2 3 2 2 2 2 3" xfId="5094" xr:uid="{00000000-0005-0000-0000-00009D0E0000}"/>
    <cellStyle name="Normal 2 4 2 3 2 2 2 2 3 2" xfId="13523" xr:uid="{47E0C2C5-7239-4D77-B867-F7C648DE399E}"/>
    <cellStyle name="Normal 2 4 2 3 2 2 2 2 4" xfId="9305" xr:uid="{B80FAE83-097A-4655-96FA-10C7C8879975}"/>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2 2 2" xfId="16081" xr:uid="{E8227BC8-CA7B-441A-80FF-A9768859B3BD}"/>
    <cellStyle name="Normal 2 4 2 3 2 2 2 3 2 3" xfId="11863" xr:uid="{034ED5D4-6FAF-42B1-BA19-8289B21BFFA7}"/>
    <cellStyle name="Normal 2 4 2 3 2 2 2 3 3" xfId="5507" xr:uid="{00000000-0005-0000-0000-0000A10E0000}"/>
    <cellStyle name="Normal 2 4 2 3 2 2 2 3 3 2" xfId="13936" xr:uid="{7C409B7E-5458-4B81-BAFB-58E5AFF7B0E3}"/>
    <cellStyle name="Normal 2 4 2 3 2 2 2 3 4" xfId="9718" xr:uid="{DD249848-84F6-455C-B000-43DF6BCDEA7C}"/>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2 2 2" xfId="16494" xr:uid="{ABC39FFC-969C-497D-A1FC-F568BE593310}"/>
    <cellStyle name="Normal 2 4 2 3 2 2 2 4 2 3" xfId="12276" xr:uid="{54796648-868F-4D4E-8C0D-AF6A33B1FC60}"/>
    <cellStyle name="Normal 2 4 2 3 2 2 2 4 3" xfId="5920" xr:uid="{00000000-0005-0000-0000-0000A50E0000}"/>
    <cellStyle name="Normal 2 4 2 3 2 2 2 4 3 2" xfId="14349" xr:uid="{35593D60-5854-4A86-993A-04F0F915101E}"/>
    <cellStyle name="Normal 2 4 2 3 2 2 2 4 4" xfId="10131" xr:uid="{14AB96A6-11F7-4C08-AC37-4E2756FE30F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2 2 2" xfId="16907" xr:uid="{94A02141-4470-48E9-B97D-83BA69FBCCF5}"/>
    <cellStyle name="Normal 2 4 2 3 2 2 2 5 2 3" xfId="12689" xr:uid="{B807BE55-EBA6-49AF-8A80-4802918DFAC1}"/>
    <cellStyle name="Normal 2 4 2 3 2 2 2 5 3" xfId="6333" xr:uid="{00000000-0005-0000-0000-0000A90E0000}"/>
    <cellStyle name="Normal 2 4 2 3 2 2 2 5 3 2" xfId="14762" xr:uid="{7AEFD85B-43A4-4CB8-A8B4-03A70583DABC}"/>
    <cellStyle name="Normal 2 4 2 3 2 2 2 5 4" xfId="10544" xr:uid="{5C30AD4B-2531-479D-8DAF-55AEAB68BD3F}"/>
    <cellStyle name="Normal 2 4 2 3 2 2 2 6" xfId="2461" xr:uid="{00000000-0005-0000-0000-0000AA0E0000}"/>
    <cellStyle name="Normal 2 4 2 3 2 2 2 6 2" xfId="6746" xr:uid="{00000000-0005-0000-0000-0000AB0E0000}"/>
    <cellStyle name="Normal 2 4 2 3 2 2 2 6 2 2" xfId="15175" xr:uid="{0C232F8F-4BF9-48F0-97EB-1D4667323859}"/>
    <cellStyle name="Normal 2 4 2 3 2 2 2 6 3" xfId="10957" xr:uid="{E3B466D3-FE1B-414B-883A-544F16E67A4D}"/>
    <cellStyle name="Normal 2 4 2 3 2 2 2 7" xfId="4680" xr:uid="{00000000-0005-0000-0000-0000AC0E0000}"/>
    <cellStyle name="Normal 2 4 2 3 2 2 2 7 2" xfId="13109" xr:uid="{D7197752-CDE2-4D61-9E97-43CADDFFAAF7}"/>
    <cellStyle name="Normal 2 4 2 3 2 2 2 8" xfId="8891" xr:uid="{319945B6-97A6-4E20-8654-E467CABDCFFE}"/>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2 2 2" xfId="15667" xr:uid="{1D638838-E298-4DEE-B710-383828653461}"/>
    <cellStyle name="Normal 2 4 2 3 2 2 3 2 3" xfId="11449" xr:uid="{48132714-2A36-4C9F-B4F0-C8E04D3615D5}"/>
    <cellStyle name="Normal 2 4 2 3 2 2 3 3" xfId="5093" xr:uid="{00000000-0005-0000-0000-0000B00E0000}"/>
    <cellStyle name="Normal 2 4 2 3 2 2 3 3 2" xfId="13522" xr:uid="{C133B951-B059-4E4D-83CC-B9522C9463EC}"/>
    <cellStyle name="Normal 2 4 2 3 2 2 3 4" xfId="9304" xr:uid="{B685C353-5307-4772-A36E-80C523D18A65}"/>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2 2 2" xfId="16080" xr:uid="{B7944ECC-C60A-463F-98E4-5F166BB930E2}"/>
    <cellStyle name="Normal 2 4 2 3 2 2 4 2 3" xfId="11862" xr:uid="{4F4D684B-BBCC-4659-A0AB-6EEC76F0B8DE}"/>
    <cellStyle name="Normal 2 4 2 3 2 2 4 3" xfId="5506" xr:uid="{00000000-0005-0000-0000-0000B40E0000}"/>
    <cellStyle name="Normal 2 4 2 3 2 2 4 3 2" xfId="13935" xr:uid="{B88BD39B-FD24-4EBF-8DB1-8D2045C02495}"/>
    <cellStyle name="Normal 2 4 2 3 2 2 4 4" xfId="9717" xr:uid="{A0B3FAD2-E8D5-4CA1-8AA6-129FBCC22A04}"/>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2 2 2" xfId="16493" xr:uid="{A7699955-1F1E-4B57-9C01-BA42438F3BB3}"/>
    <cellStyle name="Normal 2 4 2 3 2 2 5 2 3" xfId="12275" xr:uid="{AD2DC9F4-5EF9-41B1-9F4E-3DE61D5AE636}"/>
    <cellStyle name="Normal 2 4 2 3 2 2 5 3" xfId="5919" xr:uid="{00000000-0005-0000-0000-0000B80E0000}"/>
    <cellStyle name="Normal 2 4 2 3 2 2 5 3 2" xfId="14348" xr:uid="{E846CFE8-8C10-4E80-B757-A0D6985876FA}"/>
    <cellStyle name="Normal 2 4 2 3 2 2 5 4" xfId="10130" xr:uid="{D11F34CA-8135-4D17-8C85-0248A566BC2B}"/>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2 2 2" xfId="16906" xr:uid="{978F5BCE-C269-4F75-879E-9D0C5B62FDCE}"/>
    <cellStyle name="Normal 2 4 2 3 2 2 6 2 3" xfId="12688" xr:uid="{833C5B1F-D1F8-4B86-AC21-EDC4C5A2A680}"/>
    <cellStyle name="Normal 2 4 2 3 2 2 6 3" xfId="6332" xr:uid="{00000000-0005-0000-0000-0000BC0E0000}"/>
    <cellStyle name="Normal 2 4 2 3 2 2 6 3 2" xfId="14761" xr:uid="{DEA9CFE8-ACAC-4CED-8BB7-ECE13981BF6C}"/>
    <cellStyle name="Normal 2 4 2 3 2 2 6 4" xfId="10543" xr:uid="{57B4AFA6-8676-456B-BC65-3E23DEFA8707}"/>
    <cellStyle name="Normal 2 4 2 3 2 2 7" xfId="2460" xr:uid="{00000000-0005-0000-0000-0000BD0E0000}"/>
    <cellStyle name="Normal 2 4 2 3 2 2 7 2" xfId="6745" xr:uid="{00000000-0005-0000-0000-0000BE0E0000}"/>
    <cellStyle name="Normal 2 4 2 3 2 2 7 2 2" xfId="15174" xr:uid="{ACB62B74-55FC-4638-AE36-A0D99324B2B2}"/>
    <cellStyle name="Normal 2 4 2 3 2 2 7 3" xfId="10956" xr:uid="{BF782BF9-62F3-4089-836B-3DF2A79736F3}"/>
    <cellStyle name="Normal 2 4 2 3 2 2 8" xfId="4679" xr:uid="{00000000-0005-0000-0000-0000BF0E0000}"/>
    <cellStyle name="Normal 2 4 2 3 2 2 8 2" xfId="13108" xr:uid="{E000F8F8-DF67-4C47-B76A-C384BDEAD13D}"/>
    <cellStyle name="Normal 2 4 2 3 2 2 9" xfId="8890" xr:uid="{50CCF08C-ED03-46E7-AB6F-E475A7EBB885}"/>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2 2 2" xfId="15669" xr:uid="{300FEAB0-F24D-4FB7-A10B-F99757A8C8E9}"/>
    <cellStyle name="Normal 2 4 2 3 2 3 2 2 3" xfId="11451" xr:uid="{85B850BC-9456-41A3-8129-2EB898F1E0EF}"/>
    <cellStyle name="Normal 2 4 2 3 2 3 2 3" xfId="5095" xr:uid="{00000000-0005-0000-0000-0000C40E0000}"/>
    <cellStyle name="Normal 2 4 2 3 2 3 2 3 2" xfId="13524" xr:uid="{EDFDCB61-5CFF-45D4-9628-E92454E7B88B}"/>
    <cellStyle name="Normal 2 4 2 3 2 3 2 4" xfId="9306" xr:uid="{2583BB42-98D5-46D6-B3EE-870EA74E7221}"/>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2 2 2" xfId="16082" xr:uid="{C3576D6E-50BE-4B13-9496-8087D278DFAC}"/>
    <cellStyle name="Normal 2 4 2 3 2 3 3 2 3" xfId="11864" xr:uid="{4E4AFCBC-C544-418B-AC2C-D4209D0125D8}"/>
    <cellStyle name="Normal 2 4 2 3 2 3 3 3" xfId="5508" xr:uid="{00000000-0005-0000-0000-0000C80E0000}"/>
    <cellStyle name="Normal 2 4 2 3 2 3 3 3 2" xfId="13937" xr:uid="{A756B400-8EF4-495C-B16E-B131C316D5D3}"/>
    <cellStyle name="Normal 2 4 2 3 2 3 3 4" xfId="9719" xr:uid="{A4A159F5-D20F-46E3-A888-CAEB43CBF276}"/>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2 2 2" xfId="16495" xr:uid="{3091ECE5-EDDF-471E-9E8A-8320320794ED}"/>
    <cellStyle name="Normal 2 4 2 3 2 3 4 2 3" xfId="12277" xr:uid="{882FA6F4-1DF6-4EED-B97D-2744B7712CE1}"/>
    <cellStyle name="Normal 2 4 2 3 2 3 4 3" xfId="5921" xr:uid="{00000000-0005-0000-0000-0000CC0E0000}"/>
    <cellStyle name="Normal 2 4 2 3 2 3 4 3 2" xfId="14350" xr:uid="{C8558BFE-41D2-47E0-8F83-7FEF9BD84BB8}"/>
    <cellStyle name="Normal 2 4 2 3 2 3 4 4" xfId="10132" xr:uid="{61E37AEE-AD55-48D4-A11B-884BC635E102}"/>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2 2 2" xfId="16908" xr:uid="{AA43DA89-885A-4394-85FF-C1E27AB18BC8}"/>
    <cellStyle name="Normal 2 4 2 3 2 3 5 2 3" xfId="12690" xr:uid="{D7825F67-B5E3-41F8-99F0-53036D82F406}"/>
    <cellStyle name="Normal 2 4 2 3 2 3 5 3" xfId="6334" xr:uid="{00000000-0005-0000-0000-0000D00E0000}"/>
    <cellStyle name="Normal 2 4 2 3 2 3 5 3 2" xfId="14763" xr:uid="{B37D009A-5341-4DF4-AB60-54693C301089}"/>
    <cellStyle name="Normal 2 4 2 3 2 3 5 4" xfId="10545" xr:uid="{2B16A51B-3244-471B-9189-22F934344FA3}"/>
    <cellStyle name="Normal 2 4 2 3 2 3 6" xfId="2462" xr:uid="{00000000-0005-0000-0000-0000D10E0000}"/>
    <cellStyle name="Normal 2 4 2 3 2 3 6 2" xfId="6747" xr:uid="{00000000-0005-0000-0000-0000D20E0000}"/>
    <cellStyle name="Normal 2 4 2 3 2 3 6 2 2" xfId="15176" xr:uid="{5A221525-6CDD-4022-B52D-DE36FA76E300}"/>
    <cellStyle name="Normal 2 4 2 3 2 3 6 3" xfId="10958" xr:uid="{BED2C2CB-BC0C-46A8-941F-2781D51846BC}"/>
    <cellStyle name="Normal 2 4 2 3 2 3 7" xfId="4681" xr:uid="{00000000-0005-0000-0000-0000D30E0000}"/>
    <cellStyle name="Normal 2 4 2 3 2 3 7 2" xfId="13110" xr:uid="{76F3A152-99FF-428D-8404-10CE89DBDD02}"/>
    <cellStyle name="Normal 2 4 2 3 2 3 8" xfId="8892" xr:uid="{3B044379-DED2-4C74-B05B-9F22E1452E91}"/>
    <cellStyle name="Normal 2 4 2 3 2 4" xfId="774" xr:uid="{00000000-0005-0000-0000-0000D40E0000}"/>
    <cellStyle name="Normal 2 4 2 3 2 4 2" xfId="3013" xr:uid="{00000000-0005-0000-0000-0000D50E0000}"/>
    <cellStyle name="Normal 2 4 2 3 2 4 2 2" xfId="7237" xr:uid="{00000000-0005-0000-0000-0000D60E0000}"/>
    <cellStyle name="Normal 2 4 2 3 2 4 2 2 2" xfId="15666" xr:uid="{140C7872-0B48-424B-ACE0-E11BC9EBA689}"/>
    <cellStyle name="Normal 2 4 2 3 2 4 2 3" xfId="11448" xr:uid="{1F30B23A-74DD-4DE2-B978-7376A5E83D49}"/>
    <cellStyle name="Normal 2 4 2 3 2 4 3" xfId="5092" xr:uid="{00000000-0005-0000-0000-0000D70E0000}"/>
    <cellStyle name="Normal 2 4 2 3 2 4 3 2" xfId="13521" xr:uid="{EE958751-01B8-4806-A03C-BDBAE478FC6E}"/>
    <cellStyle name="Normal 2 4 2 3 2 4 4" xfId="9303" xr:uid="{25B4AB73-7B04-44B3-A367-5A6D0139C8BB}"/>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2 2 2" xfId="16079" xr:uid="{7F3C0CEA-B4DE-4984-B2CD-340158EAFEE9}"/>
    <cellStyle name="Normal 2 4 2 3 2 5 2 3" xfId="11861" xr:uid="{1A5AC91E-CA11-4749-ABD1-50B95F0691BD}"/>
    <cellStyle name="Normal 2 4 2 3 2 5 3" xfId="5505" xr:uid="{00000000-0005-0000-0000-0000DB0E0000}"/>
    <cellStyle name="Normal 2 4 2 3 2 5 3 2" xfId="13934" xr:uid="{A1C813E7-88B9-4381-8AC3-4448E1E22E19}"/>
    <cellStyle name="Normal 2 4 2 3 2 5 4" xfId="9716" xr:uid="{50217F07-5C9F-4A82-99D7-673EA2ADEB5E}"/>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2 2 2" xfId="16492" xr:uid="{C2A2F91A-EB01-498D-A272-7B7E2E701781}"/>
    <cellStyle name="Normal 2 4 2 3 2 6 2 3" xfId="12274" xr:uid="{A4FE0DF5-D147-4EDC-870A-25E944D82ABC}"/>
    <cellStyle name="Normal 2 4 2 3 2 6 3" xfId="5918" xr:uid="{00000000-0005-0000-0000-0000DF0E0000}"/>
    <cellStyle name="Normal 2 4 2 3 2 6 3 2" xfId="14347" xr:uid="{24BDF39A-F89A-49EC-B0DC-92FAE4B49873}"/>
    <cellStyle name="Normal 2 4 2 3 2 6 4" xfId="10129" xr:uid="{49D60244-484F-4D98-8365-96359873D487}"/>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2 2 2" xfId="16905" xr:uid="{E5B93FD0-34FE-4F2E-9912-08065DC80C45}"/>
    <cellStyle name="Normal 2 4 2 3 2 7 2 3" xfId="12687" xr:uid="{F9589826-F059-4D8B-81B3-2BA14CFE2D2F}"/>
    <cellStyle name="Normal 2 4 2 3 2 7 3" xfId="6331" xr:uid="{00000000-0005-0000-0000-0000E30E0000}"/>
    <cellStyle name="Normal 2 4 2 3 2 7 3 2" xfId="14760" xr:uid="{82146544-761C-4ACB-9120-5E837D7742DD}"/>
    <cellStyle name="Normal 2 4 2 3 2 7 4" xfId="10542" xr:uid="{5A011BA7-FAC6-4B39-AA87-1BBCDEF9350E}"/>
    <cellStyle name="Normal 2 4 2 3 2 8" xfId="2459" xr:uid="{00000000-0005-0000-0000-0000E40E0000}"/>
    <cellStyle name="Normal 2 4 2 3 2 8 2" xfId="6744" xr:uid="{00000000-0005-0000-0000-0000E50E0000}"/>
    <cellStyle name="Normal 2 4 2 3 2 8 2 2" xfId="15173" xr:uid="{4CCF469E-D677-41BA-8170-84B71AC82C8E}"/>
    <cellStyle name="Normal 2 4 2 3 2 8 3" xfId="10955" xr:uid="{0A3157C3-BBA5-4EF4-8092-E8A6BB44CE43}"/>
    <cellStyle name="Normal 2 4 2 3 2 9" xfId="4678" xr:uid="{00000000-0005-0000-0000-0000E60E0000}"/>
    <cellStyle name="Normal 2 4 2 3 2 9 2" xfId="13107" xr:uid="{811582A4-0BE4-45FB-AB78-A6DC651E6D16}"/>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2 2 2" xfId="15671" xr:uid="{8414DBBF-2AAE-4CDE-A71A-A283FD0B679C}"/>
    <cellStyle name="Normal 2 4 2 3 3 2 2 2 3" xfId="11453" xr:uid="{6FD3BFF3-139E-4B1D-A03B-23627050FC1B}"/>
    <cellStyle name="Normal 2 4 2 3 3 2 2 3" xfId="5097" xr:uid="{00000000-0005-0000-0000-0000EC0E0000}"/>
    <cellStyle name="Normal 2 4 2 3 3 2 2 3 2" xfId="13526" xr:uid="{4AB1B336-E119-497E-8511-3B3B2934A94A}"/>
    <cellStyle name="Normal 2 4 2 3 3 2 2 4" xfId="9308" xr:uid="{B31279CF-09F5-4481-9D19-ACE0246D787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2 2 2" xfId="16084" xr:uid="{3CE50F6D-D956-4007-8360-396FB6962423}"/>
    <cellStyle name="Normal 2 4 2 3 3 2 3 2 3" xfId="11866" xr:uid="{1B123000-D2BA-4433-9FC0-07BC23891485}"/>
    <cellStyle name="Normal 2 4 2 3 3 2 3 3" xfId="5510" xr:uid="{00000000-0005-0000-0000-0000F00E0000}"/>
    <cellStyle name="Normal 2 4 2 3 3 2 3 3 2" xfId="13939" xr:uid="{750B570E-812C-4BC6-84C9-698890569017}"/>
    <cellStyle name="Normal 2 4 2 3 3 2 3 4" xfId="9721" xr:uid="{56D89BAC-9BF0-4CFA-84A6-1C9AEB92C103}"/>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2 2 2" xfId="16497" xr:uid="{E0AF0FCE-5D3E-4DD0-AE78-666C7F6FDF58}"/>
    <cellStyle name="Normal 2 4 2 3 3 2 4 2 3" xfId="12279" xr:uid="{D1BE90D9-1B51-4957-B033-EA2450AD4577}"/>
    <cellStyle name="Normal 2 4 2 3 3 2 4 3" xfId="5923" xr:uid="{00000000-0005-0000-0000-0000F40E0000}"/>
    <cellStyle name="Normal 2 4 2 3 3 2 4 3 2" xfId="14352" xr:uid="{49B9D174-BED4-4491-9500-62227C9D12F8}"/>
    <cellStyle name="Normal 2 4 2 3 3 2 4 4" xfId="10134" xr:uid="{F8DE57D1-9565-4C89-93A2-F4E32B4E9B88}"/>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2 2 2" xfId="16910" xr:uid="{42857862-6BFE-4531-84D6-D4DF2222339F}"/>
    <cellStyle name="Normal 2 4 2 3 3 2 5 2 3" xfId="12692" xr:uid="{AC66F6FF-86F6-4636-98A0-5771FF48A3B9}"/>
    <cellStyle name="Normal 2 4 2 3 3 2 5 3" xfId="6336" xr:uid="{00000000-0005-0000-0000-0000F80E0000}"/>
    <cellStyle name="Normal 2 4 2 3 3 2 5 3 2" xfId="14765" xr:uid="{C312AE19-80F1-4A6B-A3CD-80596B12F9DE}"/>
    <cellStyle name="Normal 2 4 2 3 3 2 5 4" xfId="10547" xr:uid="{35A22836-12D4-465D-8504-A73DEDC24783}"/>
    <cellStyle name="Normal 2 4 2 3 3 2 6" xfId="2464" xr:uid="{00000000-0005-0000-0000-0000F90E0000}"/>
    <cellStyle name="Normal 2 4 2 3 3 2 6 2" xfId="6749" xr:uid="{00000000-0005-0000-0000-0000FA0E0000}"/>
    <cellStyle name="Normal 2 4 2 3 3 2 6 2 2" xfId="15178" xr:uid="{956266A7-8040-457C-9908-A3C3B07655D6}"/>
    <cellStyle name="Normal 2 4 2 3 3 2 6 3" xfId="10960" xr:uid="{B78FE899-166F-4E7B-9F88-2105A1C48784}"/>
    <cellStyle name="Normal 2 4 2 3 3 2 7" xfId="4683" xr:uid="{00000000-0005-0000-0000-0000FB0E0000}"/>
    <cellStyle name="Normal 2 4 2 3 3 2 7 2" xfId="13112" xr:uid="{4FFBA972-542A-49C7-8E1F-289723415607}"/>
    <cellStyle name="Normal 2 4 2 3 3 2 8" xfId="8894" xr:uid="{D9F8DD3A-699D-4FBF-A7B9-4A74E3519E71}"/>
    <cellStyle name="Normal 2 4 2 3 3 3" xfId="778" xr:uid="{00000000-0005-0000-0000-0000FC0E0000}"/>
    <cellStyle name="Normal 2 4 2 3 3 3 2" xfId="3017" xr:uid="{00000000-0005-0000-0000-0000FD0E0000}"/>
    <cellStyle name="Normal 2 4 2 3 3 3 2 2" xfId="7241" xr:uid="{00000000-0005-0000-0000-0000FE0E0000}"/>
    <cellStyle name="Normal 2 4 2 3 3 3 2 2 2" xfId="15670" xr:uid="{269EDE8F-5F6F-4AE9-8F41-E6FD19D43440}"/>
    <cellStyle name="Normal 2 4 2 3 3 3 2 3" xfId="11452" xr:uid="{4858005A-9EC3-4D46-B8DA-9A19D4F1ED19}"/>
    <cellStyle name="Normal 2 4 2 3 3 3 3" xfId="5096" xr:uid="{00000000-0005-0000-0000-0000FF0E0000}"/>
    <cellStyle name="Normal 2 4 2 3 3 3 3 2" xfId="13525" xr:uid="{9BA3E34A-1FF8-4FD1-8FB4-066B74764D5C}"/>
    <cellStyle name="Normal 2 4 2 3 3 3 4" xfId="9307" xr:uid="{61F235D3-318D-4806-AEC1-24A494DCFACE}"/>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2 2 2" xfId="16083" xr:uid="{245D225A-9546-49F1-B384-FA31DB0EBC47}"/>
    <cellStyle name="Normal 2 4 2 3 3 4 2 3" xfId="11865" xr:uid="{D12C089A-E26F-49F2-90A9-D790C44137DA}"/>
    <cellStyle name="Normal 2 4 2 3 3 4 3" xfId="5509" xr:uid="{00000000-0005-0000-0000-0000030F0000}"/>
    <cellStyle name="Normal 2 4 2 3 3 4 3 2" xfId="13938" xr:uid="{A43152F3-01AA-4431-BB48-971C6EF6A004}"/>
    <cellStyle name="Normal 2 4 2 3 3 4 4" xfId="9720" xr:uid="{42FC7D74-EAFA-4342-9136-19499BFDD1BE}"/>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2 2 2" xfId="16496" xr:uid="{D59EE9DE-80BD-49BE-B10F-428B2A6D8CB8}"/>
    <cellStyle name="Normal 2 4 2 3 3 5 2 3" xfId="12278" xr:uid="{6CE3D702-92BC-4E47-8E09-1422F1076350}"/>
    <cellStyle name="Normal 2 4 2 3 3 5 3" xfId="5922" xr:uid="{00000000-0005-0000-0000-0000070F0000}"/>
    <cellStyle name="Normal 2 4 2 3 3 5 3 2" xfId="14351" xr:uid="{7D94FE05-FADA-4F98-9CFA-511C0F453BCB}"/>
    <cellStyle name="Normal 2 4 2 3 3 5 4" xfId="10133" xr:uid="{9CFACA02-75BD-4765-8996-38319099B2C3}"/>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2 2 2" xfId="16909" xr:uid="{6C621914-CBAF-4987-95D1-AC96A846FF9F}"/>
    <cellStyle name="Normal 2 4 2 3 3 6 2 3" xfId="12691" xr:uid="{495F5565-8C81-4050-A32F-B3372EC49421}"/>
    <cellStyle name="Normal 2 4 2 3 3 6 3" xfId="6335" xr:uid="{00000000-0005-0000-0000-00000B0F0000}"/>
    <cellStyle name="Normal 2 4 2 3 3 6 3 2" xfId="14764" xr:uid="{8C125691-B119-4ADF-8CFB-61E291BF8D68}"/>
    <cellStyle name="Normal 2 4 2 3 3 6 4" xfId="10546" xr:uid="{3914D161-BE9B-4DF1-B3E8-A5694CC3329A}"/>
    <cellStyle name="Normal 2 4 2 3 3 7" xfId="2463" xr:uid="{00000000-0005-0000-0000-00000C0F0000}"/>
    <cellStyle name="Normal 2 4 2 3 3 7 2" xfId="6748" xr:uid="{00000000-0005-0000-0000-00000D0F0000}"/>
    <cellStyle name="Normal 2 4 2 3 3 7 2 2" xfId="15177" xr:uid="{7B5F5340-7B25-4721-8847-F0D4BFF3BF3A}"/>
    <cellStyle name="Normal 2 4 2 3 3 7 3" xfId="10959" xr:uid="{92C40B5A-73C4-4B4C-B300-28693D99AD76}"/>
    <cellStyle name="Normal 2 4 2 3 3 8" xfId="4682" xr:uid="{00000000-0005-0000-0000-00000E0F0000}"/>
    <cellStyle name="Normal 2 4 2 3 3 8 2" xfId="13111" xr:uid="{44D06E8A-342C-4CFB-BD1B-3711A0340C23}"/>
    <cellStyle name="Normal 2 4 2 3 3 9" xfId="8893" xr:uid="{CC6BA3EC-6277-471B-B856-A7B0808CB344}"/>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2 2 2" xfId="15672" xr:uid="{DB5951CB-BAFD-4D6E-AE4A-D7C04C6FBFBA}"/>
    <cellStyle name="Normal 2 4 2 3 4 2 2 3" xfId="11454" xr:uid="{7CA54C24-554A-4606-9E8D-0E38F849FF55}"/>
    <cellStyle name="Normal 2 4 2 3 4 2 3" xfId="5098" xr:uid="{00000000-0005-0000-0000-0000130F0000}"/>
    <cellStyle name="Normal 2 4 2 3 4 2 3 2" xfId="13527" xr:uid="{2EFDD394-5020-4891-A3AC-F3FEAAD8822A}"/>
    <cellStyle name="Normal 2 4 2 3 4 2 4" xfId="9309" xr:uid="{446627EA-9832-4E26-B613-BA8B2D61B1ED}"/>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2 2 2" xfId="16085" xr:uid="{6FD41916-86A9-4646-9704-57B9631B562A}"/>
    <cellStyle name="Normal 2 4 2 3 4 3 2 3" xfId="11867" xr:uid="{EE270CB2-1286-4302-8BD1-4F25E9276C6C}"/>
    <cellStyle name="Normal 2 4 2 3 4 3 3" xfId="5511" xr:uid="{00000000-0005-0000-0000-0000170F0000}"/>
    <cellStyle name="Normal 2 4 2 3 4 3 3 2" xfId="13940" xr:uid="{6A05282D-8263-4F6A-9962-486F04E43BB2}"/>
    <cellStyle name="Normal 2 4 2 3 4 3 4" xfId="9722" xr:uid="{CBA20265-43DE-4898-9A1B-EEF7835F9ECA}"/>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2 2 2" xfId="16498" xr:uid="{2C58EACD-E01E-40BC-8E03-EE28ADA435B2}"/>
    <cellStyle name="Normal 2 4 2 3 4 4 2 3" xfId="12280" xr:uid="{EB5BA4B6-B54B-4E05-8D5A-8A24A81FF3D9}"/>
    <cellStyle name="Normal 2 4 2 3 4 4 3" xfId="5924" xr:uid="{00000000-0005-0000-0000-00001B0F0000}"/>
    <cellStyle name="Normal 2 4 2 3 4 4 3 2" xfId="14353" xr:uid="{47054D19-B438-47E4-A2BC-F2EEA9E11455}"/>
    <cellStyle name="Normal 2 4 2 3 4 4 4" xfId="10135" xr:uid="{45474034-1D80-4E95-8A3A-0648F1A16A77}"/>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2 2 2" xfId="16911" xr:uid="{2FDD2182-497F-4943-AE2E-F3826B737129}"/>
    <cellStyle name="Normal 2 4 2 3 4 5 2 3" xfId="12693" xr:uid="{82740D86-454A-4E6C-86C7-0FBEFFAE0DAD}"/>
    <cellStyle name="Normal 2 4 2 3 4 5 3" xfId="6337" xr:uid="{00000000-0005-0000-0000-00001F0F0000}"/>
    <cellStyle name="Normal 2 4 2 3 4 5 3 2" xfId="14766" xr:uid="{7BF1F830-8B32-4C8A-A466-D081619C75A5}"/>
    <cellStyle name="Normal 2 4 2 3 4 5 4" xfId="10548" xr:uid="{70B674A4-A1B9-4A01-A170-CFC5D09557E3}"/>
    <cellStyle name="Normal 2 4 2 3 4 6" xfId="2465" xr:uid="{00000000-0005-0000-0000-0000200F0000}"/>
    <cellStyle name="Normal 2 4 2 3 4 6 2" xfId="6750" xr:uid="{00000000-0005-0000-0000-0000210F0000}"/>
    <cellStyle name="Normal 2 4 2 3 4 6 2 2" xfId="15179" xr:uid="{77F4A78D-3362-4B6E-A325-81BA25C27CA3}"/>
    <cellStyle name="Normal 2 4 2 3 4 6 3" xfId="10961" xr:uid="{F8FF049D-902C-4AE9-8619-C2622CB21FFA}"/>
    <cellStyle name="Normal 2 4 2 3 4 7" xfId="4684" xr:uid="{00000000-0005-0000-0000-0000220F0000}"/>
    <cellStyle name="Normal 2 4 2 3 4 7 2" xfId="13113" xr:uid="{3C913B58-B315-438C-B6A7-EF4701C1A765}"/>
    <cellStyle name="Normal 2 4 2 3 4 8" xfId="8895" xr:uid="{3E96CB19-4ACF-4D89-83F0-CC94AA924E31}"/>
    <cellStyle name="Normal 2 4 2 3 5" xfId="773" xr:uid="{00000000-0005-0000-0000-0000230F0000}"/>
    <cellStyle name="Normal 2 4 2 3 5 2" xfId="3012" xr:uid="{00000000-0005-0000-0000-0000240F0000}"/>
    <cellStyle name="Normal 2 4 2 3 5 2 2" xfId="7236" xr:uid="{00000000-0005-0000-0000-0000250F0000}"/>
    <cellStyle name="Normal 2 4 2 3 5 2 2 2" xfId="15665" xr:uid="{32A65A9A-FCC8-42B6-8DA2-F3DCAE95A291}"/>
    <cellStyle name="Normal 2 4 2 3 5 2 3" xfId="11447" xr:uid="{D9933597-C277-4D60-8EAF-150B4424D7F7}"/>
    <cellStyle name="Normal 2 4 2 3 5 3" xfId="5091" xr:uid="{00000000-0005-0000-0000-0000260F0000}"/>
    <cellStyle name="Normal 2 4 2 3 5 3 2" xfId="13520" xr:uid="{CC7AE379-8345-40DB-829A-1DAB70AB8C20}"/>
    <cellStyle name="Normal 2 4 2 3 5 4" xfId="9302" xr:uid="{8B49F586-F7CC-4F95-B434-0FF947C34334}"/>
    <cellStyle name="Normal 2 4 2 3 6" xfId="1195" xr:uid="{00000000-0005-0000-0000-0000270F0000}"/>
    <cellStyle name="Normal 2 4 2 3 6 2" xfId="3425" xr:uid="{00000000-0005-0000-0000-0000280F0000}"/>
    <cellStyle name="Normal 2 4 2 3 6 2 2" xfId="7649" xr:uid="{00000000-0005-0000-0000-0000290F0000}"/>
    <cellStyle name="Normal 2 4 2 3 6 2 2 2" xfId="16078" xr:uid="{3EC495EF-DACC-48A7-BC95-14943E66E11A}"/>
    <cellStyle name="Normal 2 4 2 3 6 2 3" xfId="11860" xr:uid="{953EE4E9-4074-40AF-91FA-EFF3842A1F93}"/>
    <cellStyle name="Normal 2 4 2 3 6 3" xfId="5504" xr:uid="{00000000-0005-0000-0000-00002A0F0000}"/>
    <cellStyle name="Normal 2 4 2 3 6 3 2" xfId="13933" xr:uid="{9F4D0F9E-467E-40D1-90A5-CBF6294B0FB5}"/>
    <cellStyle name="Normal 2 4 2 3 6 4" xfId="9715" xr:uid="{01200911-F5F1-4EF0-B507-5DC9F4E23622}"/>
    <cellStyle name="Normal 2 4 2 3 7" xfId="1608" xr:uid="{00000000-0005-0000-0000-00002B0F0000}"/>
    <cellStyle name="Normal 2 4 2 3 7 2" xfId="3838" xr:uid="{00000000-0005-0000-0000-00002C0F0000}"/>
    <cellStyle name="Normal 2 4 2 3 7 2 2" xfId="8062" xr:uid="{00000000-0005-0000-0000-00002D0F0000}"/>
    <cellStyle name="Normal 2 4 2 3 7 2 2 2" xfId="16491" xr:uid="{831143E5-3BDA-4870-8FAD-E5736F71B5F4}"/>
    <cellStyle name="Normal 2 4 2 3 7 2 3" xfId="12273" xr:uid="{43AA2A83-CCA9-46CC-A72C-C0B657EA6AF0}"/>
    <cellStyle name="Normal 2 4 2 3 7 3" xfId="5917" xr:uid="{00000000-0005-0000-0000-00002E0F0000}"/>
    <cellStyle name="Normal 2 4 2 3 7 3 2" xfId="14346" xr:uid="{5552EE2E-7D54-49F2-AB9B-4D3E38132831}"/>
    <cellStyle name="Normal 2 4 2 3 7 4" xfId="10128" xr:uid="{5CF2E266-54A6-4F3A-8B4A-83212A436B17}"/>
    <cellStyle name="Normal 2 4 2 3 8" xfId="2022" xr:uid="{00000000-0005-0000-0000-00002F0F0000}"/>
    <cellStyle name="Normal 2 4 2 3 8 2" xfId="4251" xr:uid="{00000000-0005-0000-0000-0000300F0000}"/>
    <cellStyle name="Normal 2 4 2 3 8 2 2" xfId="8475" xr:uid="{00000000-0005-0000-0000-0000310F0000}"/>
    <cellStyle name="Normal 2 4 2 3 8 2 2 2" xfId="16904" xr:uid="{B2C2A2A1-F20A-412A-87AA-491573C6715E}"/>
    <cellStyle name="Normal 2 4 2 3 8 2 3" xfId="12686" xr:uid="{3F7E6A2B-9FE0-456A-B4D2-3371E968A3EF}"/>
    <cellStyle name="Normal 2 4 2 3 8 3" xfId="6330" xr:uid="{00000000-0005-0000-0000-0000320F0000}"/>
    <cellStyle name="Normal 2 4 2 3 8 3 2" xfId="14759" xr:uid="{2BA44A44-483A-4588-8D76-40C037E171DC}"/>
    <cellStyle name="Normal 2 4 2 3 8 4" xfId="10541" xr:uid="{82C575DD-9E98-43F6-99C2-44FE4AA43BC3}"/>
    <cellStyle name="Normal 2 4 2 3 9" xfId="2458" xr:uid="{00000000-0005-0000-0000-0000330F0000}"/>
    <cellStyle name="Normal 2 4 2 3 9 2" xfId="6743" xr:uid="{00000000-0005-0000-0000-0000340F0000}"/>
    <cellStyle name="Normal 2 4 2 3 9 2 2" xfId="15172" xr:uid="{9E8F1DAE-7935-4583-8E85-DF37E2887558}"/>
    <cellStyle name="Normal 2 4 2 3 9 3" xfId="10954" xr:uid="{AD150CED-2CFD-4A94-92F1-5FA7CB6177B2}"/>
    <cellStyle name="Normal 2 4 2 4" xfId="289" xr:uid="{00000000-0005-0000-0000-0000350F0000}"/>
    <cellStyle name="Normal 2 4 2 4 10" xfId="8896" xr:uid="{71D0E49F-BAA0-4467-8CC9-5D3EF071D508}"/>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2 2 2" xfId="15675" xr:uid="{59093BBE-9075-4FE6-B319-7583AFF867D0}"/>
    <cellStyle name="Normal 2 4 2 4 2 2 2 2 3" xfId="11457" xr:uid="{43316F82-E5CA-44E5-8E09-BE70866F18CC}"/>
    <cellStyle name="Normal 2 4 2 4 2 2 2 3" xfId="5101" xr:uid="{00000000-0005-0000-0000-00003B0F0000}"/>
    <cellStyle name="Normal 2 4 2 4 2 2 2 3 2" xfId="13530" xr:uid="{EA9139B8-5D99-4038-BED7-56AF0BF785A8}"/>
    <cellStyle name="Normal 2 4 2 4 2 2 2 4" xfId="9312" xr:uid="{A20E5C76-37F8-4BFF-91B2-E7909778E64F}"/>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2 2 2" xfId="16088" xr:uid="{AED0CA8E-5BD6-437B-BE0C-6F8102094724}"/>
    <cellStyle name="Normal 2 4 2 4 2 2 3 2 3" xfId="11870" xr:uid="{F21D792E-6986-4F5E-8F5C-A2E7B4776002}"/>
    <cellStyle name="Normal 2 4 2 4 2 2 3 3" xfId="5514" xr:uid="{00000000-0005-0000-0000-00003F0F0000}"/>
    <cellStyle name="Normal 2 4 2 4 2 2 3 3 2" xfId="13943" xr:uid="{F24AD8FF-F59E-4DAA-8902-ABF3F8916BAE}"/>
    <cellStyle name="Normal 2 4 2 4 2 2 3 4" xfId="9725" xr:uid="{0D9DB76B-1B93-4077-88FA-0160ACFFAC97}"/>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2 2 2" xfId="16501" xr:uid="{EC093A46-882F-44F0-A26E-1BE07A64BE41}"/>
    <cellStyle name="Normal 2 4 2 4 2 2 4 2 3" xfId="12283" xr:uid="{E4AE5DCF-2EF1-4BCE-BB1D-DFADDB1EC474}"/>
    <cellStyle name="Normal 2 4 2 4 2 2 4 3" xfId="5927" xr:uid="{00000000-0005-0000-0000-0000430F0000}"/>
    <cellStyle name="Normal 2 4 2 4 2 2 4 3 2" xfId="14356" xr:uid="{1C99B954-08BC-4558-9D8A-FF6AB4B991E7}"/>
    <cellStyle name="Normal 2 4 2 4 2 2 4 4" xfId="10138" xr:uid="{A22B8FC2-C38E-4FC0-9F99-CB385719E5F8}"/>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2 2 2" xfId="16914" xr:uid="{CBF8E3EA-845A-4A62-B58E-4FCA5F0B8B7C}"/>
    <cellStyle name="Normal 2 4 2 4 2 2 5 2 3" xfId="12696" xr:uid="{BC8E1A44-0E47-4D26-AA4B-26247C45DC55}"/>
    <cellStyle name="Normal 2 4 2 4 2 2 5 3" xfId="6340" xr:uid="{00000000-0005-0000-0000-0000470F0000}"/>
    <cellStyle name="Normal 2 4 2 4 2 2 5 3 2" xfId="14769" xr:uid="{49DFB74A-2338-444F-AD9A-6EC56A3B9580}"/>
    <cellStyle name="Normal 2 4 2 4 2 2 5 4" xfId="10551" xr:uid="{83810674-92A2-4EBA-8FEA-A1E43E70489D}"/>
    <cellStyle name="Normal 2 4 2 4 2 2 6" xfId="2468" xr:uid="{00000000-0005-0000-0000-0000480F0000}"/>
    <cellStyle name="Normal 2 4 2 4 2 2 6 2" xfId="6753" xr:uid="{00000000-0005-0000-0000-0000490F0000}"/>
    <cellStyle name="Normal 2 4 2 4 2 2 6 2 2" xfId="15182" xr:uid="{E17503BE-F22C-4422-B16B-205AE0C03E10}"/>
    <cellStyle name="Normal 2 4 2 4 2 2 6 3" xfId="10964" xr:uid="{C1EC48AC-0B9D-42C7-B8ED-DE04518D979B}"/>
    <cellStyle name="Normal 2 4 2 4 2 2 7" xfId="4687" xr:uid="{00000000-0005-0000-0000-00004A0F0000}"/>
    <cellStyle name="Normal 2 4 2 4 2 2 7 2" xfId="13116" xr:uid="{817A3A3B-4EBF-4950-8DC0-2D194F7C6C46}"/>
    <cellStyle name="Normal 2 4 2 4 2 2 8" xfId="8898" xr:uid="{FA10D829-7438-400E-AFA0-43F27198A95D}"/>
    <cellStyle name="Normal 2 4 2 4 2 3" xfId="782" xr:uid="{00000000-0005-0000-0000-00004B0F0000}"/>
    <cellStyle name="Normal 2 4 2 4 2 3 2" xfId="3021" xr:uid="{00000000-0005-0000-0000-00004C0F0000}"/>
    <cellStyle name="Normal 2 4 2 4 2 3 2 2" xfId="7245" xr:uid="{00000000-0005-0000-0000-00004D0F0000}"/>
    <cellStyle name="Normal 2 4 2 4 2 3 2 2 2" xfId="15674" xr:uid="{498DB597-A0F5-484A-9CD9-0D90082D31EA}"/>
    <cellStyle name="Normal 2 4 2 4 2 3 2 3" xfId="11456" xr:uid="{787322F2-EF30-493C-AD75-E70AE6AD568B}"/>
    <cellStyle name="Normal 2 4 2 4 2 3 3" xfId="5100" xr:uid="{00000000-0005-0000-0000-00004E0F0000}"/>
    <cellStyle name="Normal 2 4 2 4 2 3 3 2" xfId="13529" xr:uid="{E0794348-95C2-41C8-9355-FFFEEADFCD31}"/>
    <cellStyle name="Normal 2 4 2 4 2 3 4" xfId="9311" xr:uid="{EE5663FB-9B02-471E-B6B1-898808DCF9CD}"/>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2 2 2" xfId="16087" xr:uid="{830841C4-86D8-4F0A-BCA9-CC2396AFA698}"/>
    <cellStyle name="Normal 2 4 2 4 2 4 2 3" xfId="11869" xr:uid="{7F70E8DF-DFF6-4E35-A2C1-137F7378769A}"/>
    <cellStyle name="Normal 2 4 2 4 2 4 3" xfId="5513" xr:uid="{00000000-0005-0000-0000-0000520F0000}"/>
    <cellStyle name="Normal 2 4 2 4 2 4 3 2" xfId="13942" xr:uid="{9A95F01C-CF73-40AC-BB76-E15BBA03C87A}"/>
    <cellStyle name="Normal 2 4 2 4 2 4 4" xfId="9724" xr:uid="{3690BCCB-0522-41D7-9FA9-27FBC60ACEE2}"/>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2 2 2" xfId="16500" xr:uid="{7F4C569D-EB0A-4278-9C97-9E634CC78F54}"/>
    <cellStyle name="Normal 2 4 2 4 2 5 2 3" xfId="12282" xr:uid="{C65079AF-0157-4B27-9ED9-92AA565FAA48}"/>
    <cellStyle name="Normal 2 4 2 4 2 5 3" xfId="5926" xr:uid="{00000000-0005-0000-0000-0000560F0000}"/>
    <cellStyle name="Normal 2 4 2 4 2 5 3 2" xfId="14355" xr:uid="{AAE1F40F-5746-4FCC-8813-941267475B32}"/>
    <cellStyle name="Normal 2 4 2 4 2 5 4" xfId="10137" xr:uid="{A104CA71-A859-4072-BBAC-4C5269EB8675}"/>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2 2 2" xfId="16913" xr:uid="{035C19FA-E936-4BB9-A2A5-A31AA8795204}"/>
    <cellStyle name="Normal 2 4 2 4 2 6 2 3" xfId="12695" xr:uid="{08FA9986-6726-44EE-9407-F58B5987235E}"/>
    <cellStyle name="Normal 2 4 2 4 2 6 3" xfId="6339" xr:uid="{00000000-0005-0000-0000-00005A0F0000}"/>
    <cellStyle name="Normal 2 4 2 4 2 6 3 2" xfId="14768" xr:uid="{07992CF2-8380-4C41-BD0F-DA1436D361E7}"/>
    <cellStyle name="Normal 2 4 2 4 2 6 4" xfId="10550" xr:uid="{017FE24C-3091-4012-A21E-079DD16EFE63}"/>
    <cellStyle name="Normal 2 4 2 4 2 7" xfId="2467" xr:uid="{00000000-0005-0000-0000-00005B0F0000}"/>
    <cellStyle name="Normal 2 4 2 4 2 7 2" xfId="6752" xr:uid="{00000000-0005-0000-0000-00005C0F0000}"/>
    <cellStyle name="Normal 2 4 2 4 2 7 2 2" xfId="15181" xr:uid="{D899FAAE-D126-46A2-A5F9-11D6C711026F}"/>
    <cellStyle name="Normal 2 4 2 4 2 7 3" xfId="10963" xr:uid="{4BA0FA6D-A367-4840-B019-3662088C1D3B}"/>
    <cellStyle name="Normal 2 4 2 4 2 8" xfId="4686" xr:uid="{00000000-0005-0000-0000-00005D0F0000}"/>
    <cellStyle name="Normal 2 4 2 4 2 8 2" xfId="13115" xr:uid="{0E037E11-0177-4442-B672-1EE274D9603C}"/>
    <cellStyle name="Normal 2 4 2 4 2 9" xfId="8897" xr:uid="{FF858C76-5962-45E3-A5F6-6D8FD18990AF}"/>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2 2 2" xfId="15676" xr:uid="{73DBF5B0-1D45-4214-A776-ABFA7221A108}"/>
    <cellStyle name="Normal 2 4 2 4 3 2 2 3" xfId="11458" xr:uid="{14551328-3AD2-4915-A8E9-E48764561BC1}"/>
    <cellStyle name="Normal 2 4 2 4 3 2 3" xfId="5102" xr:uid="{00000000-0005-0000-0000-0000620F0000}"/>
    <cellStyle name="Normal 2 4 2 4 3 2 3 2" xfId="13531" xr:uid="{26F5FFDA-DA9B-422E-BEE5-B037AD07284D}"/>
    <cellStyle name="Normal 2 4 2 4 3 2 4" xfId="9313" xr:uid="{A8FF616E-EB16-4062-9CEB-6D44E46FCBC8}"/>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2 2 2" xfId="16089" xr:uid="{3F6A0053-4922-4D30-BEEB-F5F2E6B23049}"/>
    <cellStyle name="Normal 2 4 2 4 3 3 2 3" xfId="11871" xr:uid="{7A4F948C-CCCA-4D38-BCC5-1BAD01BF65CB}"/>
    <cellStyle name="Normal 2 4 2 4 3 3 3" xfId="5515" xr:uid="{00000000-0005-0000-0000-0000660F0000}"/>
    <cellStyle name="Normal 2 4 2 4 3 3 3 2" xfId="13944" xr:uid="{DB8BFD8C-16D0-4A8F-BC46-D7B4A24EBFC7}"/>
    <cellStyle name="Normal 2 4 2 4 3 3 4" xfId="9726" xr:uid="{1BA942BC-71DF-4AED-9302-015C319B5D1C}"/>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2 2 2" xfId="16502" xr:uid="{F0D176A4-3747-4E56-A45B-DE8B58E4A836}"/>
    <cellStyle name="Normal 2 4 2 4 3 4 2 3" xfId="12284" xr:uid="{EE075812-DDE9-4398-BB85-26AB20FEC6F5}"/>
    <cellStyle name="Normal 2 4 2 4 3 4 3" xfId="5928" xr:uid="{00000000-0005-0000-0000-00006A0F0000}"/>
    <cellStyle name="Normal 2 4 2 4 3 4 3 2" xfId="14357" xr:uid="{761DD73D-63AA-44A6-8ACE-1AE9B88FA86D}"/>
    <cellStyle name="Normal 2 4 2 4 3 4 4" xfId="10139" xr:uid="{8295178A-9979-4F9E-A724-8F93E1C1C74D}"/>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2 2 2" xfId="16915" xr:uid="{08B36EBC-9C6A-45CC-9E3E-DFA642146ACA}"/>
    <cellStyle name="Normal 2 4 2 4 3 5 2 3" xfId="12697" xr:uid="{91AA8E47-2F18-48BD-8951-2463993CD8A4}"/>
    <cellStyle name="Normal 2 4 2 4 3 5 3" xfId="6341" xr:uid="{00000000-0005-0000-0000-00006E0F0000}"/>
    <cellStyle name="Normal 2 4 2 4 3 5 3 2" xfId="14770" xr:uid="{EE7F8851-C7ED-4D08-AE33-95A0F2E11354}"/>
    <cellStyle name="Normal 2 4 2 4 3 5 4" xfId="10552" xr:uid="{FC6A9971-0691-4F7C-BEC7-AE608E0603A2}"/>
    <cellStyle name="Normal 2 4 2 4 3 6" xfId="2469" xr:uid="{00000000-0005-0000-0000-00006F0F0000}"/>
    <cellStyle name="Normal 2 4 2 4 3 6 2" xfId="6754" xr:uid="{00000000-0005-0000-0000-0000700F0000}"/>
    <cellStyle name="Normal 2 4 2 4 3 6 2 2" xfId="15183" xr:uid="{D7BA9E8C-09E2-4A5E-9135-107BCDB668C3}"/>
    <cellStyle name="Normal 2 4 2 4 3 6 3" xfId="10965" xr:uid="{2EBB0DD4-91B9-4068-BD76-9CE86C30921F}"/>
    <cellStyle name="Normal 2 4 2 4 3 7" xfId="4688" xr:uid="{00000000-0005-0000-0000-0000710F0000}"/>
    <cellStyle name="Normal 2 4 2 4 3 7 2" xfId="13117" xr:uid="{10415F62-8F14-4AED-B405-9244C8E8415A}"/>
    <cellStyle name="Normal 2 4 2 4 3 8" xfId="8899" xr:uid="{17CFE69E-EC79-4267-84B9-9AE7FEC33AFC}"/>
    <cellStyle name="Normal 2 4 2 4 4" xfId="781" xr:uid="{00000000-0005-0000-0000-0000720F0000}"/>
    <cellStyle name="Normal 2 4 2 4 4 2" xfId="3020" xr:uid="{00000000-0005-0000-0000-0000730F0000}"/>
    <cellStyle name="Normal 2 4 2 4 4 2 2" xfId="7244" xr:uid="{00000000-0005-0000-0000-0000740F0000}"/>
    <cellStyle name="Normal 2 4 2 4 4 2 2 2" xfId="15673" xr:uid="{1EB97A5D-F794-4725-8C3E-FE8E3FFD0CC6}"/>
    <cellStyle name="Normal 2 4 2 4 4 2 3" xfId="11455" xr:uid="{B1A09D31-5FEA-48B8-B71F-FE83B569684E}"/>
    <cellStyle name="Normal 2 4 2 4 4 3" xfId="5099" xr:uid="{00000000-0005-0000-0000-0000750F0000}"/>
    <cellStyle name="Normal 2 4 2 4 4 3 2" xfId="13528" xr:uid="{61CF34D3-C051-4B7F-B1E6-823B8A04CF7E}"/>
    <cellStyle name="Normal 2 4 2 4 4 4" xfId="9310" xr:uid="{703B4FA1-2CFC-4E8B-BB95-BAC687D6AF66}"/>
    <cellStyle name="Normal 2 4 2 4 5" xfId="1203" xr:uid="{00000000-0005-0000-0000-0000760F0000}"/>
    <cellStyle name="Normal 2 4 2 4 5 2" xfId="3433" xr:uid="{00000000-0005-0000-0000-0000770F0000}"/>
    <cellStyle name="Normal 2 4 2 4 5 2 2" xfId="7657" xr:uid="{00000000-0005-0000-0000-0000780F0000}"/>
    <cellStyle name="Normal 2 4 2 4 5 2 2 2" xfId="16086" xr:uid="{24A7FA62-E25F-4A45-808B-4F95DB8DFDB9}"/>
    <cellStyle name="Normal 2 4 2 4 5 2 3" xfId="11868" xr:uid="{945E96AE-25AD-4FC6-82E2-E1F01055ABB9}"/>
    <cellStyle name="Normal 2 4 2 4 5 3" xfId="5512" xr:uid="{00000000-0005-0000-0000-0000790F0000}"/>
    <cellStyle name="Normal 2 4 2 4 5 3 2" xfId="13941" xr:uid="{41652D8A-61CF-4C1E-AFAF-E3634723AB3D}"/>
    <cellStyle name="Normal 2 4 2 4 5 4" xfId="9723" xr:uid="{F4C4FB3D-818C-4B47-B8B0-11A0BE401A8E}"/>
    <cellStyle name="Normal 2 4 2 4 6" xfId="1616" xr:uid="{00000000-0005-0000-0000-00007A0F0000}"/>
    <cellStyle name="Normal 2 4 2 4 6 2" xfId="3846" xr:uid="{00000000-0005-0000-0000-00007B0F0000}"/>
    <cellStyle name="Normal 2 4 2 4 6 2 2" xfId="8070" xr:uid="{00000000-0005-0000-0000-00007C0F0000}"/>
    <cellStyle name="Normal 2 4 2 4 6 2 2 2" xfId="16499" xr:uid="{2653E26E-8656-4F84-84CB-AB8F42DC8A63}"/>
    <cellStyle name="Normal 2 4 2 4 6 2 3" xfId="12281" xr:uid="{36DD3D11-5D8C-4381-A571-DAA9BAE732B1}"/>
    <cellStyle name="Normal 2 4 2 4 6 3" xfId="5925" xr:uid="{00000000-0005-0000-0000-00007D0F0000}"/>
    <cellStyle name="Normal 2 4 2 4 6 3 2" xfId="14354" xr:uid="{9EDDB22B-17B0-4874-9B38-BB10AD9C8AE2}"/>
    <cellStyle name="Normal 2 4 2 4 6 4" xfId="10136" xr:uid="{ECE13099-D1F9-4B09-A575-721729389B94}"/>
    <cellStyle name="Normal 2 4 2 4 7" xfId="2030" xr:uid="{00000000-0005-0000-0000-00007E0F0000}"/>
    <cellStyle name="Normal 2 4 2 4 7 2" xfId="4259" xr:uid="{00000000-0005-0000-0000-00007F0F0000}"/>
    <cellStyle name="Normal 2 4 2 4 7 2 2" xfId="8483" xr:uid="{00000000-0005-0000-0000-0000800F0000}"/>
    <cellStyle name="Normal 2 4 2 4 7 2 2 2" xfId="16912" xr:uid="{E41676FC-F0AD-479B-9B66-0D37ADD915B3}"/>
    <cellStyle name="Normal 2 4 2 4 7 2 3" xfId="12694" xr:uid="{D8F4F158-06A3-4103-BDF3-FEE6C7B8D11C}"/>
    <cellStyle name="Normal 2 4 2 4 7 3" xfId="6338" xr:uid="{00000000-0005-0000-0000-0000810F0000}"/>
    <cellStyle name="Normal 2 4 2 4 7 3 2" xfId="14767" xr:uid="{45A3A4F0-2D91-474C-A7E7-42723BB763F4}"/>
    <cellStyle name="Normal 2 4 2 4 7 4" xfId="10549" xr:uid="{E3ABD5A3-DE07-4EEF-B257-0473BEA224EE}"/>
    <cellStyle name="Normal 2 4 2 4 8" xfId="2466" xr:uid="{00000000-0005-0000-0000-0000820F0000}"/>
    <cellStyle name="Normal 2 4 2 4 8 2" xfId="6751" xr:uid="{00000000-0005-0000-0000-0000830F0000}"/>
    <cellStyle name="Normal 2 4 2 4 8 2 2" xfId="15180" xr:uid="{4C4DE0EA-203B-4D1A-96EA-6405EC4019D1}"/>
    <cellStyle name="Normal 2 4 2 4 8 3" xfId="10962" xr:uid="{ACA9B977-62B7-4AF7-B192-5A23610B4A83}"/>
    <cellStyle name="Normal 2 4 2 4 9" xfId="4685" xr:uid="{00000000-0005-0000-0000-0000840F0000}"/>
    <cellStyle name="Normal 2 4 2 4 9 2" xfId="13114" xr:uid="{1EDC13CA-680E-4AB5-BE37-13BA1F0AEF16}"/>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2 2 2" xfId="15678" xr:uid="{CB6A60C4-F94D-4D4B-BAEB-0438BEEF88AE}"/>
    <cellStyle name="Normal 2 4 2 5 2 2 2 3" xfId="11460" xr:uid="{C7469829-07C1-4470-BD27-2FF614BB8D04}"/>
    <cellStyle name="Normal 2 4 2 5 2 2 3" xfId="5104" xr:uid="{00000000-0005-0000-0000-00008A0F0000}"/>
    <cellStyle name="Normal 2 4 2 5 2 2 3 2" xfId="13533" xr:uid="{8851CB98-F43E-4AAD-B146-D929ADAB8794}"/>
    <cellStyle name="Normal 2 4 2 5 2 2 4" xfId="9315" xr:uid="{038B6487-3121-4AF3-9828-36C48B9569D9}"/>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2 2 2" xfId="16091" xr:uid="{0D11FA85-95F7-4F77-8812-CAACC247EC89}"/>
    <cellStyle name="Normal 2 4 2 5 2 3 2 3" xfId="11873" xr:uid="{9E55A203-1688-4A51-A811-03773B43AE64}"/>
    <cellStyle name="Normal 2 4 2 5 2 3 3" xfId="5517" xr:uid="{00000000-0005-0000-0000-00008E0F0000}"/>
    <cellStyle name="Normal 2 4 2 5 2 3 3 2" xfId="13946" xr:uid="{E384913F-6947-44FF-9264-CA7BBD01D3B5}"/>
    <cellStyle name="Normal 2 4 2 5 2 3 4" xfId="9728" xr:uid="{C999DD62-4759-47D6-87B5-272955593BB5}"/>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2 2 2" xfId="16504" xr:uid="{B7947A02-9689-46DE-900F-B512D24F6308}"/>
    <cellStyle name="Normal 2 4 2 5 2 4 2 3" xfId="12286" xr:uid="{92203E5A-4B95-4FDF-BDDA-FBE7A96216D5}"/>
    <cellStyle name="Normal 2 4 2 5 2 4 3" xfId="5930" xr:uid="{00000000-0005-0000-0000-0000920F0000}"/>
    <cellStyle name="Normal 2 4 2 5 2 4 3 2" xfId="14359" xr:uid="{A255B66D-B96E-4D35-872B-D335B8609CEF}"/>
    <cellStyle name="Normal 2 4 2 5 2 4 4" xfId="10141" xr:uid="{315193CB-B8C9-4CF0-B748-15736A1D2969}"/>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2 2 2" xfId="16917" xr:uid="{4A85669A-A18F-4A77-B1A7-F3D94E2EC31E}"/>
    <cellStyle name="Normal 2 4 2 5 2 5 2 3" xfId="12699" xr:uid="{93455117-ED9C-4D3F-BBD0-BCBF253A380D}"/>
    <cellStyle name="Normal 2 4 2 5 2 5 3" xfId="6343" xr:uid="{00000000-0005-0000-0000-0000960F0000}"/>
    <cellStyle name="Normal 2 4 2 5 2 5 3 2" xfId="14772" xr:uid="{F5983239-4948-4321-A106-5CE865C11899}"/>
    <cellStyle name="Normal 2 4 2 5 2 5 4" xfId="10554" xr:uid="{006C8EA2-080C-49D2-83AF-DC4E2BD57B2A}"/>
    <cellStyle name="Normal 2 4 2 5 2 6" xfId="2471" xr:uid="{00000000-0005-0000-0000-0000970F0000}"/>
    <cellStyle name="Normal 2 4 2 5 2 6 2" xfId="6756" xr:uid="{00000000-0005-0000-0000-0000980F0000}"/>
    <cellStyle name="Normal 2 4 2 5 2 6 2 2" xfId="15185" xr:uid="{104CC521-4E9F-4C5D-B6A2-603B28DE9A8F}"/>
    <cellStyle name="Normal 2 4 2 5 2 6 3" xfId="10967" xr:uid="{9C18704F-E486-4B35-BB41-3C52B4489C5D}"/>
    <cellStyle name="Normal 2 4 2 5 2 7" xfId="4690" xr:uid="{00000000-0005-0000-0000-0000990F0000}"/>
    <cellStyle name="Normal 2 4 2 5 2 7 2" xfId="13119" xr:uid="{F96E8EBF-4119-4113-959E-D13F094E8937}"/>
    <cellStyle name="Normal 2 4 2 5 2 8" xfId="8901" xr:uid="{C1BEF8E1-CE6F-42FB-8F87-F6AAC175E9D1}"/>
    <cellStyle name="Normal 2 4 2 5 3" xfId="785" xr:uid="{00000000-0005-0000-0000-00009A0F0000}"/>
    <cellStyle name="Normal 2 4 2 5 3 2" xfId="3024" xr:uid="{00000000-0005-0000-0000-00009B0F0000}"/>
    <cellStyle name="Normal 2 4 2 5 3 2 2" xfId="7248" xr:uid="{00000000-0005-0000-0000-00009C0F0000}"/>
    <cellStyle name="Normal 2 4 2 5 3 2 2 2" xfId="15677" xr:uid="{82473D97-BD24-4924-ADED-6F741AE14F9F}"/>
    <cellStyle name="Normal 2 4 2 5 3 2 3" xfId="11459" xr:uid="{520AF062-92CC-4801-B8A2-8883F98FC538}"/>
    <cellStyle name="Normal 2 4 2 5 3 3" xfId="5103" xr:uid="{00000000-0005-0000-0000-00009D0F0000}"/>
    <cellStyle name="Normal 2 4 2 5 3 3 2" xfId="13532" xr:uid="{E2B44A40-451B-462B-B3F2-E93679676AF0}"/>
    <cellStyle name="Normal 2 4 2 5 3 4" xfId="9314" xr:uid="{CCF8F0AC-0169-41E8-904C-E18D87EDA031}"/>
    <cellStyle name="Normal 2 4 2 5 4" xfId="1207" xr:uid="{00000000-0005-0000-0000-00009E0F0000}"/>
    <cellStyle name="Normal 2 4 2 5 4 2" xfId="3437" xr:uid="{00000000-0005-0000-0000-00009F0F0000}"/>
    <cellStyle name="Normal 2 4 2 5 4 2 2" xfId="7661" xr:uid="{00000000-0005-0000-0000-0000A00F0000}"/>
    <cellStyle name="Normal 2 4 2 5 4 2 2 2" xfId="16090" xr:uid="{C25ACF49-44A4-4B80-8C51-F6C314810120}"/>
    <cellStyle name="Normal 2 4 2 5 4 2 3" xfId="11872" xr:uid="{C91DBEFC-F936-4FF0-BD89-DE00AE7705A4}"/>
    <cellStyle name="Normal 2 4 2 5 4 3" xfId="5516" xr:uid="{00000000-0005-0000-0000-0000A10F0000}"/>
    <cellStyle name="Normal 2 4 2 5 4 3 2" xfId="13945" xr:uid="{97325923-2BA9-49DC-8B2B-C86AB8FEE285}"/>
    <cellStyle name="Normal 2 4 2 5 4 4" xfId="9727" xr:uid="{CB91B5F8-5F85-4A8A-954E-DCDCEC16E248}"/>
    <cellStyle name="Normal 2 4 2 5 5" xfId="1620" xr:uid="{00000000-0005-0000-0000-0000A20F0000}"/>
    <cellStyle name="Normal 2 4 2 5 5 2" xfId="3850" xr:uid="{00000000-0005-0000-0000-0000A30F0000}"/>
    <cellStyle name="Normal 2 4 2 5 5 2 2" xfId="8074" xr:uid="{00000000-0005-0000-0000-0000A40F0000}"/>
    <cellStyle name="Normal 2 4 2 5 5 2 2 2" xfId="16503" xr:uid="{05D31486-09EC-4F05-B096-337493DF31F1}"/>
    <cellStyle name="Normal 2 4 2 5 5 2 3" xfId="12285" xr:uid="{532D2BE0-C1E0-4CD7-821A-96B3158B42C3}"/>
    <cellStyle name="Normal 2 4 2 5 5 3" xfId="5929" xr:uid="{00000000-0005-0000-0000-0000A50F0000}"/>
    <cellStyle name="Normal 2 4 2 5 5 3 2" xfId="14358" xr:uid="{57E97826-2E89-4A9F-B46E-E7CC1CDC5956}"/>
    <cellStyle name="Normal 2 4 2 5 5 4" xfId="10140" xr:uid="{8710C804-B845-4385-80CC-9C3F05D9785F}"/>
    <cellStyle name="Normal 2 4 2 5 6" xfId="2034" xr:uid="{00000000-0005-0000-0000-0000A60F0000}"/>
    <cellStyle name="Normal 2 4 2 5 6 2" xfId="4263" xr:uid="{00000000-0005-0000-0000-0000A70F0000}"/>
    <cellStyle name="Normal 2 4 2 5 6 2 2" xfId="8487" xr:uid="{00000000-0005-0000-0000-0000A80F0000}"/>
    <cellStyle name="Normal 2 4 2 5 6 2 2 2" xfId="16916" xr:uid="{03BF359E-F5A3-4EB6-8696-60899AE59FB4}"/>
    <cellStyle name="Normal 2 4 2 5 6 2 3" xfId="12698" xr:uid="{9A5DE87C-87F8-4C01-A820-7D5F35326163}"/>
    <cellStyle name="Normal 2 4 2 5 6 3" xfId="6342" xr:uid="{00000000-0005-0000-0000-0000A90F0000}"/>
    <cellStyle name="Normal 2 4 2 5 6 3 2" xfId="14771" xr:uid="{0CA0A07C-E36C-4282-ACC7-5DBDE407B9AD}"/>
    <cellStyle name="Normal 2 4 2 5 6 4" xfId="10553" xr:uid="{D69B7EFF-C966-4B21-9440-59571CDD136A}"/>
    <cellStyle name="Normal 2 4 2 5 7" xfId="2470" xr:uid="{00000000-0005-0000-0000-0000AA0F0000}"/>
    <cellStyle name="Normal 2 4 2 5 7 2" xfId="6755" xr:uid="{00000000-0005-0000-0000-0000AB0F0000}"/>
    <cellStyle name="Normal 2 4 2 5 7 2 2" xfId="15184" xr:uid="{9279AC1B-9CB0-4824-B257-48F8B47D023B}"/>
    <cellStyle name="Normal 2 4 2 5 7 3" xfId="10966" xr:uid="{CC847CC6-E6CE-4BAE-B894-2FEDD954B333}"/>
    <cellStyle name="Normal 2 4 2 5 8" xfId="4689" xr:uid="{00000000-0005-0000-0000-0000AC0F0000}"/>
    <cellStyle name="Normal 2 4 2 5 8 2" xfId="13118" xr:uid="{88468F5E-CF9E-47B6-8F70-4C5F43F3322A}"/>
    <cellStyle name="Normal 2 4 2 5 9" xfId="8900" xr:uid="{BF840704-61AA-445A-8525-B6FE669188DE}"/>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2 2 2" xfId="15679" xr:uid="{0238B8D4-2A56-4485-9DBE-601DB55502C9}"/>
    <cellStyle name="Normal 2 4 2 6 2 2 3" xfId="11461" xr:uid="{2D06BF5C-B79E-44CB-AD75-247F424E8F20}"/>
    <cellStyle name="Normal 2 4 2 6 2 3" xfId="5105" xr:uid="{00000000-0005-0000-0000-0000B10F0000}"/>
    <cellStyle name="Normal 2 4 2 6 2 3 2" xfId="13534" xr:uid="{B2B5D918-1815-4DD3-989C-7D4D38AC9590}"/>
    <cellStyle name="Normal 2 4 2 6 2 4" xfId="9316" xr:uid="{6980F20D-B730-4D14-96E1-DB3F173CDE4C}"/>
    <cellStyle name="Normal 2 4 2 6 3" xfId="1209" xr:uid="{00000000-0005-0000-0000-0000B20F0000}"/>
    <cellStyle name="Normal 2 4 2 6 3 2" xfId="3439" xr:uid="{00000000-0005-0000-0000-0000B30F0000}"/>
    <cellStyle name="Normal 2 4 2 6 3 2 2" xfId="7663" xr:uid="{00000000-0005-0000-0000-0000B40F0000}"/>
    <cellStyle name="Normal 2 4 2 6 3 2 2 2" xfId="16092" xr:uid="{19D8FF6A-6802-4B40-9DA2-66FECAECAE5E}"/>
    <cellStyle name="Normal 2 4 2 6 3 2 3" xfId="11874" xr:uid="{DED0051E-1BA1-417A-B9B6-76499B43D5A2}"/>
    <cellStyle name="Normal 2 4 2 6 3 3" xfId="5518" xr:uid="{00000000-0005-0000-0000-0000B50F0000}"/>
    <cellStyle name="Normal 2 4 2 6 3 3 2" xfId="13947" xr:uid="{6841CDF9-8566-4646-B7BF-69DC2B09DA91}"/>
    <cellStyle name="Normal 2 4 2 6 3 4" xfId="9729" xr:uid="{FA10DF03-BFAC-4BBD-8AE2-E8621C4B5E6F}"/>
    <cellStyle name="Normal 2 4 2 6 4" xfId="1622" xr:uid="{00000000-0005-0000-0000-0000B60F0000}"/>
    <cellStyle name="Normal 2 4 2 6 4 2" xfId="3852" xr:uid="{00000000-0005-0000-0000-0000B70F0000}"/>
    <cellStyle name="Normal 2 4 2 6 4 2 2" xfId="8076" xr:uid="{00000000-0005-0000-0000-0000B80F0000}"/>
    <cellStyle name="Normal 2 4 2 6 4 2 2 2" xfId="16505" xr:uid="{2F72AD15-31AF-42AD-9E71-96A6DAF12A2F}"/>
    <cellStyle name="Normal 2 4 2 6 4 2 3" xfId="12287" xr:uid="{54C85FF4-41F4-4044-B1A3-E134B4185167}"/>
    <cellStyle name="Normal 2 4 2 6 4 3" xfId="5931" xr:uid="{00000000-0005-0000-0000-0000B90F0000}"/>
    <cellStyle name="Normal 2 4 2 6 4 3 2" xfId="14360" xr:uid="{8C3DAE8E-B448-4FC6-82A4-5F51F8F9A40F}"/>
    <cellStyle name="Normal 2 4 2 6 4 4" xfId="10142" xr:uid="{A1C131A4-A230-4C37-A84C-41D559B2BE1C}"/>
    <cellStyle name="Normal 2 4 2 6 5" xfId="2036" xr:uid="{00000000-0005-0000-0000-0000BA0F0000}"/>
    <cellStyle name="Normal 2 4 2 6 5 2" xfId="4265" xr:uid="{00000000-0005-0000-0000-0000BB0F0000}"/>
    <cellStyle name="Normal 2 4 2 6 5 2 2" xfId="8489" xr:uid="{00000000-0005-0000-0000-0000BC0F0000}"/>
    <cellStyle name="Normal 2 4 2 6 5 2 2 2" xfId="16918" xr:uid="{C35812D7-0F1E-4B1A-A2FC-8B0F8908CFE2}"/>
    <cellStyle name="Normal 2 4 2 6 5 2 3" xfId="12700" xr:uid="{F55AE25E-ACB6-4F92-BF35-CC44E594D704}"/>
    <cellStyle name="Normal 2 4 2 6 5 3" xfId="6344" xr:uid="{00000000-0005-0000-0000-0000BD0F0000}"/>
    <cellStyle name="Normal 2 4 2 6 5 3 2" xfId="14773" xr:uid="{9F7CEE0D-E9AB-4DC2-A735-B058E1E5B92B}"/>
    <cellStyle name="Normal 2 4 2 6 5 4" xfId="10555" xr:uid="{FAF5B5E4-532E-4704-AD19-52EE3D86DDFE}"/>
    <cellStyle name="Normal 2 4 2 6 6" xfId="2472" xr:uid="{00000000-0005-0000-0000-0000BE0F0000}"/>
    <cellStyle name="Normal 2 4 2 6 6 2" xfId="6757" xr:uid="{00000000-0005-0000-0000-0000BF0F0000}"/>
    <cellStyle name="Normal 2 4 2 6 6 2 2" xfId="15186" xr:uid="{235A6505-408E-40DB-BDDF-BA5F5366EE19}"/>
    <cellStyle name="Normal 2 4 2 6 6 3" xfId="10968" xr:uid="{ACF01D6E-12C4-45AF-9908-52C2846D97DE}"/>
    <cellStyle name="Normal 2 4 2 6 7" xfId="4691" xr:uid="{00000000-0005-0000-0000-0000C00F0000}"/>
    <cellStyle name="Normal 2 4 2 6 7 2" xfId="13120" xr:uid="{C10CF6B6-07BA-4FB4-A5DF-85BCC6F04763}"/>
    <cellStyle name="Normal 2 4 2 6 8" xfId="8902" xr:uid="{7A8AB922-716A-4C97-8E19-B934D2CF56A5}"/>
    <cellStyle name="Normal 2 4 2 7" xfId="772" xr:uid="{00000000-0005-0000-0000-0000C10F0000}"/>
    <cellStyle name="Normal 2 4 2 7 2" xfId="3011" xr:uid="{00000000-0005-0000-0000-0000C20F0000}"/>
    <cellStyle name="Normal 2 4 2 7 2 2" xfId="7235" xr:uid="{00000000-0005-0000-0000-0000C30F0000}"/>
    <cellStyle name="Normal 2 4 2 7 2 2 2" xfId="15664" xr:uid="{44450776-4A1D-4741-96B4-EBD8EFA0AF49}"/>
    <cellStyle name="Normal 2 4 2 7 2 3" xfId="11446" xr:uid="{AF68ECE9-28F9-44F7-86AE-267FF9CA1508}"/>
    <cellStyle name="Normal 2 4 2 7 3" xfId="5090" xr:uid="{00000000-0005-0000-0000-0000C40F0000}"/>
    <cellStyle name="Normal 2 4 2 7 3 2" xfId="13519" xr:uid="{3B639278-3C14-4865-BC98-8049B68ABCD1}"/>
    <cellStyle name="Normal 2 4 2 7 4" xfId="9301" xr:uid="{D79D78B4-E131-41B0-B16B-CE48698AAF54}"/>
    <cellStyle name="Normal 2 4 2 8" xfId="1194" xr:uid="{00000000-0005-0000-0000-0000C50F0000}"/>
    <cellStyle name="Normal 2 4 2 8 2" xfId="3424" xr:uid="{00000000-0005-0000-0000-0000C60F0000}"/>
    <cellStyle name="Normal 2 4 2 8 2 2" xfId="7648" xr:uid="{00000000-0005-0000-0000-0000C70F0000}"/>
    <cellStyle name="Normal 2 4 2 8 2 2 2" xfId="16077" xr:uid="{54D82535-0AB5-439C-8669-89A47E58401D}"/>
    <cellStyle name="Normal 2 4 2 8 2 3" xfId="11859" xr:uid="{5AECD235-9D38-4047-A5B2-7C22E826F907}"/>
    <cellStyle name="Normal 2 4 2 8 3" xfId="5503" xr:uid="{00000000-0005-0000-0000-0000C80F0000}"/>
    <cellStyle name="Normal 2 4 2 8 3 2" xfId="13932" xr:uid="{BC2B6469-A50A-4369-BFF0-34343D15116B}"/>
    <cellStyle name="Normal 2 4 2 8 4" xfId="9714" xr:uid="{EF851670-BCE2-45CF-8ACC-A9A10661A40F}"/>
    <cellStyle name="Normal 2 4 2 9" xfId="1607" xr:uid="{00000000-0005-0000-0000-0000C90F0000}"/>
    <cellStyle name="Normal 2 4 2 9 2" xfId="3837" xr:uid="{00000000-0005-0000-0000-0000CA0F0000}"/>
    <cellStyle name="Normal 2 4 2 9 2 2" xfId="8061" xr:uid="{00000000-0005-0000-0000-0000CB0F0000}"/>
    <cellStyle name="Normal 2 4 2 9 2 2 2" xfId="16490" xr:uid="{3DFFF8B2-0224-42DB-B4A6-86EE1EA8C46F}"/>
    <cellStyle name="Normal 2 4 2 9 2 3" xfId="12272" xr:uid="{570B19C4-5790-4470-84F4-A19D5A612F1D}"/>
    <cellStyle name="Normal 2 4 2 9 3" xfId="5916" xr:uid="{00000000-0005-0000-0000-0000CC0F0000}"/>
    <cellStyle name="Normal 2 4 2 9 3 2" xfId="14345" xr:uid="{27CD644E-4333-4B9C-BD8C-A8ED1E1898C8}"/>
    <cellStyle name="Normal 2 4 2 9 4" xfId="10127" xr:uid="{FA2DF82C-016A-4AD1-881C-985E9CE76CE7}"/>
    <cellStyle name="Normal 2 4 3" xfId="296" xr:uid="{00000000-0005-0000-0000-0000CD0F0000}"/>
    <cellStyle name="Normal 2 4 3 10" xfId="8903" xr:uid="{C904770B-1A09-469F-A895-69FAB9B5475F}"/>
    <cellStyle name="Normal 2 4 3 2" xfId="297" xr:uid="{00000000-0005-0000-0000-0000CE0F0000}"/>
    <cellStyle name="Normal 2 4 3 3" xfId="298" xr:uid="{00000000-0005-0000-0000-0000CF0F0000}"/>
    <cellStyle name="Normal 2 4 3 3 10" xfId="8904" xr:uid="{A3D45256-F0CD-4D10-9855-E351508B6787}"/>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2 2 2" xfId="15683" xr:uid="{30607ECE-356D-47AA-B872-630B65DA8955}"/>
    <cellStyle name="Normal 2 4 3 3 2 2 2 2 3" xfId="11465" xr:uid="{54061AFB-ECB9-4ECF-99E2-094B89A326C1}"/>
    <cellStyle name="Normal 2 4 3 3 2 2 2 3" xfId="5109" xr:uid="{00000000-0005-0000-0000-0000D50F0000}"/>
    <cellStyle name="Normal 2 4 3 3 2 2 2 3 2" xfId="13538" xr:uid="{02038453-CDEB-4960-B90F-9A611D74DC8D}"/>
    <cellStyle name="Normal 2 4 3 3 2 2 2 4" xfId="9320" xr:uid="{CCA8C001-49DD-4BFD-9185-2A1837FE8B87}"/>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2 2 2" xfId="16096" xr:uid="{B011099F-7937-49A7-8437-09C1C1F4ACE7}"/>
    <cellStyle name="Normal 2 4 3 3 2 2 3 2 3" xfId="11878" xr:uid="{24E47625-DCC1-4314-91CC-4E1BA70B64D4}"/>
    <cellStyle name="Normal 2 4 3 3 2 2 3 3" xfId="5522" xr:uid="{00000000-0005-0000-0000-0000D90F0000}"/>
    <cellStyle name="Normal 2 4 3 3 2 2 3 3 2" xfId="13951" xr:uid="{D6060C00-FFBF-4F97-8E5C-A64A847B740B}"/>
    <cellStyle name="Normal 2 4 3 3 2 2 3 4" xfId="9733" xr:uid="{8F0C6C7B-0544-4CEE-909B-8BED67E968A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2 2 2" xfId="16509" xr:uid="{AE3441C3-63D8-42C6-9DDD-877CF8004C61}"/>
    <cellStyle name="Normal 2 4 3 3 2 2 4 2 3" xfId="12291" xr:uid="{5258FB6E-645E-4A49-92E6-BFBCC56909C8}"/>
    <cellStyle name="Normal 2 4 3 3 2 2 4 3" xfId="5935" xr:uid="{00000000-0005-0000-0000-0000DD0F0000}"/>
    <cellStyle name="Normal 2 4 3 3 2 2 4 3 2" xfId="14364" xr:uid="{97E547D5-0470-442E-9CDB-EB739647FDB3}"/>
    <cellStyle name="Normal 2 4 3 3 2 2 4 4" xfId="10146" xr:uid="{4B0FAE0D-6E0F-4BD1-AE7D-3FDC7F5D1291}"/>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2 2 2" xfId="16922" xr:uid="{3563C446-0FB2-497C-AD11-34D9131AD66D}"/>
    <cellStyle name="Normal 2 4 3 3 2 2 5 2 3" xfId="12704" xr:uid="{265E16E5-5970-49BB-9B38-F8C05F7011F8}"/>
    <cellStyle name="Normal 2 4 3 3 2 2 5 3" xfId="6348" xr:uid="{00000000-0005-0000-0000-0000E10F0000}"/>
    <cellStyle name="Normal 2 4 3 3 2 2 5 3 2" xfId="14777" xr:uid="{E92129F7-D501-47D3-8404-D57503BE7158}"/>
    <cellStyle name="Normal 2 4 3 3 2 2 5 4" xfId="10559" xr:uid="{5DF81607-6C6D-4094-8401-CDC3DB06C52F}"/>
    <cellStyle name="Normal 2 4 3 3 2 2 6" xfId="2476" xr:uid="{00000000-0005-0000-0000-0000E20F0000}"/>
    <cellStyle name="Normal 2 4 3 3 2 2 6 2" xfId="6761" xr:uid="{00000000-0005-0000-0000-0000E30F0000}"/>
    <cellStyle name="Normal 2 4 3 3 2 2 6 2 2" xfId="15190" xr:uid="{C03AE7BB-8B52-4A53-9F63-ADCCDF3AD41B}"/>
    <cellStyle name="Normal 2 4 3 3 2 2 6 3" xfId="10972" xr:uid="{82926750-A82B-4BB4-A70D-B9759F5976B0}"/>
    <cellStyle name="Normal 2 4 3 3 2 2 7" xfId="4695" xr:uid="{00000000-0005-0000-0000-0000E40F0000}"/>
    <cellStyle name="Normal 2 4 3 3 2 2 7 2" xfId="13124" xr:uid="{9133A90E-A2CB-4325-9E56-27C61E2EEA83}"/>
    <cellStyle name="Normal 2 4 3 3 2 2 8" xfId="8906" xr:uid="{47F30F70-8646-4B71-8EEE-A5C4EDD0B51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2 2 2" xfId="15682" xr:uid="{20266840-F0C8-429E-BF6C-E2618DAFF69D}"/>
    <cellStyle name="Normal 2 4 3 3 2 3 2 3" xfId="11464" xr:uid="{058073CD-9F46-48B5-8ADE-74C775DA30DF}"/>
    <cellStyle name="Normal 2 4 3 3 2 3 3" xfId="5108" xr:uid="{00000000-0005-0000-0000-0000E80F0000}"/>
    <cellStyle name="Normal 2 4 3 3 2 3 3 2" xfId="13537" xr:uid="{92DD716F-50FC-4037-A044-385D96ECE753}"/>
    <cellStyle name="Normal 2 4 3 3 2 3 4" xfId="9319" xr:uid="{C200B802-CA14-477D-8D86-A50D1040201A}"/>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2 2 2" xfId="16095" xr:uid="{65BF1012-0336-4980-867C-2D32C5A1DC4C}"/>
    <cellStyle name="Normal 2 4 3 3 2 4 2 3" xfId="11877" xr:uid="{8B352202-9583-418D-919D-B44CA08B5A7D}"/>
    <cellStyle name="Normal 2 4 3 3 2 4 3" xfId="5521" xr:uid="{00000000-0005-0000-0000-0000EC0F0000}"/>
    <cellStyle name="Normal 2 4 3 3 2 4 3 2" xfId="13950" xr:uid="{CC47E7E2-6DBF-4BDE-B274-9BFD626992A8}"/>
    <cellStyle name="Normal 2 4 3 3 2 4 4" xfId="9732" xr:uid="{F0BFB9AE-CE2D-4A4C-A010-04BC0F29AA7D}"/>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2 2 2" xfId="16508" xr:uid="{9D81A193-541E-4E6B-A3CB-6C4745913B51}"/>
    <cellStyle name="Normal 2 4 3 3 2 5 2 3" xfId="12290" xr:uid="{E7A858BA-CED7-4A1E-95C4-42F6FD1C87E8}"/>
    <cellStyle name="Normal 2 4 3 3 2 5 3" xfId="5934" xr:uid="{00000000-0005-0000-0000-0000F00F0000}"/>
    <cellStyle name="Normal 2 4 3 3 2 5 3 2" xfId="14363" xr:uid="{D342A191-6C84-4980-AC40-8F30ADD7E697}"/>
    <cellStyle name="Normal 2 4 3 3 2 5 4" xfId="10145" xr:uid="{F7C2A750-B7B8-4C8A-9539-D8E4AED8A13F}"/>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2 2 2" xfId="16921" xr:uid="{4B0C64D6-3A84-40D9-9E0E-52516B72E27F}"/>
    <cellStyle name="Normal 2 4 3 3 2 6 2 3" xfId="12703" xr:uid="{3DEB3B58-47E4-43AD-AC51-BDB45A284041}"/>
    <cellStyle name="Normal 2 4 3 3 2 6 3" xfId="6347" xr:uid="{00000000-0005-0000-0000-0000F40F0000}"/>
    <cellStyle name="Normal 2 4 3 3 2 6 3 2" xfId="14776" xr:uid="{58BEEB22-B5C4-4623-B896-FA0AB83BD1B8}"/>
    <cellStyle name="Normal 2 4 3 3 2 6 4" xfId="10558" xr:uid="{F4522B8D-A347-4928-880B-5062431A0088}"/>
    <cellStyle name="Normal 2 4 3 3 2 7" xfId="2475" xr:uid="{00000000-0005-0000-0000-0000F50F0000}"/>
    <cellStyle name="Normal 2 4 3 3 2 7 2" xfId="6760" xr:uid="{00000000-0005-0000-0000-0000F60F0000}"/>
    <cellStyle name="Normal 2 4 3 3 2 7 2 2" xfId="15189" xr:uid="{13E697F0-A452-4712-9C86-4A00BC7C3E46}"/>
    <cellStyle name="Normal 2 4 3 3 2 7 3" xfId="10971" xr:uid="{AF714D76-3B83-4E59-9698-F82E0B8F2DE2}"/>
    <cellStyle name="Normal 2 4 3 3 2 8" xfId="4694" xr:uid="{00000000-0005-0000-0000-0000F70F0000}"/>
    <cellStyle name="Normal 2 4 3 3 2 8 2" xfId="13123" xr:uid="{1AA592E6-D39B-41D1-B01F-062F310E69B1}"/>
    <cellStyle name="Normal 2 4 3 3 2 9" xfId="8905" xr:uid="{1377B982-D6A3-4DA1-AC9F-F64F4B3D8DD4}"/>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2 2 2" xfId="15684" xr:uid="{B02EB610-ABAE-411B-858B-205CA4783B56}"/>
    <cellStyle name="Normal 2 4 3 3 3 2 2 3" xfId="11466" xr:uid="{4DDA95D6-560D-498F-B616-34E583CE80C9}"/>
    <cellStyle name="Normal 2 4 3 3 3 2 3" xfId="5110" xr:uid="{00000000-0005-0000-0000-0000FC0F0000}"/>
    <cellStyle name="Normal 2 4 3 3 3 2 3 2" xfId="13539" xr:uid="{6B84F006-93F5-4569-A50E-7E848A5DFBAD}"/>
    <cellStyle name="Normal 2 4 3 3 3 2 4" xfId="9321" xr:uid="{6579C733-53AF-462C-B28C-EEEAD2E87CE9}"/>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2 2 2" xfId="16097" xr:uid="{77342FDC-2D24-4641-8B4A-F6FDA8BEAAC8}"/>
    <cellStyle name="Normal 2 4 3 3 3 3 2 3" xfId="11879" xr:uid="{A99F3AA1-C4EF-4B73-BA99-654E182187F2}"/>
    <cellStyle name="Normal 2 4 3 3 3 3 3" xfId="5523" xr:uid="{00000000-0005-0000-0000-000000100000}"/>
    <cellStyle name="Normal 2 4 3 3 3 3 3 2" xfId="13952" xr:uid="{4D45F0E6-4E22-436B-9365-D9C072A0B6FE}"/>
    <cellStyle name="Normal 2 4 3 3 3 3 4" xfId="9734" xr:uid="{B8ACCFC1-2BAE-48B4-85ED-492A69741AFC}"/>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2 2 2" xfId="16510" xr:uid="{DF07B613-5991-4BAD-BD33-8DB0A3ADBE7F}"/>
    <cellStyle name="Normal 2 4 3 3 3 4 2 3" xfId="12292" xr:uid="{196A4D01-9F18-43D0-878D-DAA7AB4D14AF}"/>
    <cellStyle name="Normal 2 4 3 3 3 4 3" xfId="5936" xr:uid="{00000000-0005-0000-0000-000004100000}"/>
    <cellStyle name="Normal 2 4 3 3 3 4 3 2" xfId="14365" xr:uid="{88A2BDD5-4ED5-4391-803F-6CF0B2D2AD90}"/>
    <cellStyle name="Normal 2 4 3 3 3 4 4" xfId="10147" xr:uid="{1DA8BEE9-5A89-43F3-A01A-D6500C1FA469}"/>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2 2 2" xfId="16923" xr:uid="{46CB1F5D-5DCB-4AAF-9156-CA63FCBD48FD}"/>
    <cellStyle name="Normal 2 4 3 3 3 5 2 3" xfId="12705" xr:uid="{C1359C48-0DDF-4922-9DA8-5FD74C96EE40}"/>
    <cellStyle name="Normal 2 4 3 3 3 5 3" xfId="6349" xr:uid="{00000000-0005-0000-0000-000008100000}"/>
    <cellStyle name="Normal 2 4 3 3 3 5 3 2" xfId="14778" xr:uid="{A83FD510-76F3-47BB-BE8E-595814EB5A6F}"/>
    <cellStyle name="Normal 2 4 3 3 3 5 4" xfId="10560" xr:uid="{C5EFB924-BE71-4C15-A2F8-8F5436E3754A}"/>
    <cellStyle name="Normal 2 4 3 3 3 6" xfId="2477" xr:uid="{00000000-0005-0000-0000-000009100000}"/>
    <cellStyle name="Normal 2 4 3 3 3 6 2" xfId="6762" xr:uid="{00000000-0005-0000-0000-00000A100000}"/>
    <cellStyle name="Normal 2 4 3 3 3 6 2 2" xfId="15191" xr:uid="{A69A58E7-9243-49A0-ACE3-F212427C19C8}"/>
    <cellStyle name="Normal 2 4 3 3 3 6 3" xfId="10973" xr:uid="{FAD0FF8A-38B1-463F-9A72-3EE616E2127E}"/>
    <cellStyle name="Normal 2 4 3 3 3 7" xfId="4696" xr:uid="{00000000-0005-0000-0000-00000B100000}"/>
    <cellStyle name="Normal 2 4 3 3 3 7 2" xfId="13125" xr:uid="{B9D610FC-DA97-4008-8515-03FB19619EB1}"/>
    <cellStyle name="Normal 2 4 3 3 3 8" xfId="8907" xr:uid="{D81361BF-FA05-496A-8B0D-28EE1442BB30}"/>
    <cellStyle name="Normal 2 4 3 3 4" xfId="789" xr:uid="{00000000-0005-0000-0000-00000C100000}"/>
    <cellStyle name="Normal 2 4 3 3 4 2" xfId="3028" xr:uid="{00000000-0005-0000-0000-00000D100000}"/>
    <cellStyle name="Normal 2 4 3 3 4 2 2" xfId="7252" xr:uid="{00000000-0005-0000-0000-00000E100000}"/>
    <cellStyle name="Normal 2 4 3 3 4 2 2 2" xfId="15681" xr:uid="{E85E6C8F-007F-454A-8E5A-30CC2C7B57A0}"/>
    <cellStyle name="Normal 2 4 3 3 4 2 3" xfId="11463" xr:uid="{EB67C3AB-3095-4799-9B54-11742BE2772C}"/>
    <cellStyle name="Normal 2 4 3 3 4 3" xfId="5107" xr:uid="{00000000-0005-0000-0000-00000F100000}"/>
    <cellStyle name="Normal 2 4 3 3 4 3 2" xfId="13536" xr:uid="{5852B36C-0A1E-4E12-84A2-039E4F586272}"/>
    <cellStyle name="Normal 2 4 3 3 4 4" xfId="9318" xr:uid="{81245D34-5515-43E2-BFD1-C2A50DF2961F}"/>
    <cellStyle name="Normal 2 4 3 3 5" xfId="1211" xr:uid="{00000000-0005-0000-0000-000010100000}"/>
    <cellStyle name="Normal 2 4 3 3 5 2" xfId="3441" xr:uid="{00000000-0005-0000-0000-000011100000}"/>
    <cellStyle name="Normal 2 4 3 3 5 2 2" xfId="7665" xr:uid="{00000000-0005-0000-0000-000012100000}"/>
    <cellStyle name="Normal 2 4 3 3 5 2 2 2" xfId="16094" xr:uid="{3F2C211E-522C-4B6D-B6D7-01615B0FE967}"/>
    <cellStyle name="Normal 2 4 3 3 5 2 3" xfId="11876" xr:uid="{130A682E-5C1C-43A2-BED7-779988420F20}"/>
    <cellStyle name="Normal 2 4 3 3 5 3" xfId="5520" xr:uid="{00000000-0005-0000-0000-000013100000}"/>
    <cellStyle name="Normal 2 4 3 3 5 3 2" xfId="13949" xr:uid="{1333D55A-7A3B-415D-B685-6426021F988C}"/>
    <cellStyle name="Normal 2 4 3 3 5 4" xfId="9731" xr:uid="{3F7A3390-2639-4640-8EA4-336B4EEA4444}"/>
    <cellStyle name="Normal 2 4 3 3 6" xfId="1624" xr:uid="{00000000-0005-0000-0000-000014100000}"/>
    <cellStyle name="Normal 2 4 3 3 6 2" xfId="3854" xr:uid="{00000000-0005-0000-0000-000015100000}"/>
    <cellStyle name="Normal 2 4 3 3 6 2 2" xfId="8078" xr:uid="{00000000-0005-0000-0000-000016100000}"/>
    <cellStyle name="Normal 2 4 3 3 6 2 2 2" xfId="16507" xr:uid="{97E5C2DE-9EDA-4D6C-A3EA-7689864ECADD}"/>
    <cellStyle name="Normal 2 4 3 3 6 2 3" xfId="12289" xr:uid="{0F61934F-048F-4F52-8C4C-B8D5113A0451}"/>
    <cellStyle name="Normal 2 4 3 3 6 3" xfId="5933" xr:uid="{00000000-0005-0000-0000-000017100000}"/>
    <cellStyle name="Normal 2 4 3 3 6 3 2" xfId="14362" xr:uid="{B580842F-991D-476C-9B92-BBD654AE1D05}"/>
    <cellStyle name="Normal 2 4 3 3 6 4" xfId="10144" xr:uid="{2958AA12-6053-4D73-9C29-98A87F236B5B}"/>
    <cellStyle name="Normal 2 4 3 3 7" xfId="2038" xr:uid="{00000000-0005-0000-0000-000018100000}"/>
    <cellStyle name="Normal 2 4 3 3 7 2" xfId="4267" xr:uid="{00000000-0005-0000-0000-000019100000}"/>
    <cellStyle name="Normal 2 4 3 3 7 2 2" xfId="8491" xr:uid="{00000000-0005-0000-0000-00001A100000}"/>
    <cellStyle name="Normal 2 4 3 3 7 2 2 2" xfId="16920" xr:uid="{498FB7A2-B816-434A-A0AA-56EE8F47F604}"/>
    <cellStyle name="Normal 2 4 3 3 7 2 3" xfId="12702" xr:uid="{001D595F-BF98-43F9-B653-E6059BB9D0CD}"/>
    <cellStyle name="Normal 2 4 3 3 7 3" xfId="6346" xr:uid="{00000000-0005-0000-0000-00001B100000}"/>
    <cellStyle name="Normal 2 4 3 3 7 3 2" xfId="14775" xr:uid="{612B05D3-8738-4A0C-ABA1-B409D17CD889}"/>
    <cellStyle name="Normal 2 4 3 3 7 4" xfId="10557" xr:uid="{9646ACE3-D97C-4015-A0A4-8B0CF7A36CF3}"/>
    <cellStyle name="Normal 2 4 3 3 8" xfId="2474" xr:uid="{00000000-0005-0000-0000-00001C100000}"/>
    <cellStyle name="Normal 2 4 3 3 8 2" xfId="6759" xr:uid="{00000000-0005-0000-0000-00001D100000}"/>
    <cellStyle name="Normal 2 4 3 3 8 2 2" xfId="15188" xr:uid="{98B19403-528A-4829-8567-618F1BA28C40}"/>
    <cellStyle name="Normal 2 4 3 3 8 3" xfId="10970" xr:uid="{66B4D0EE-4CC5-4ADD-86ED-DBD4C88E94C6}"/>
    <cellStyle name="Normal 2 4 3 3 9" xfId="4693" xr:uid="{00000000-0005-0000-0000-00001E100000}"/>
    <cellStyle name="Normal 2 4 3 3 9 2" xfId="13122" xr:uid="{46497B15-88A1-4412-858A-785E28A83A5C}"/>
    <cellStyle name="Normal 2 4 3 4" xfId="788" xr:uid="{00000000-0005-0000-0000-00001F100000}"/>
    <cellStyle name="Normal 2 4 3 4 2" xfId="3027" xr:uid="{00000000-0005-0000-0000-000020100000}"/>
    <cellStyle name="Normal 2 4 3 4 2 2" xfId="7251" xr:uid="{00000000-0005-0000-0000-000021100000}"/>
    <cellStyle name="Normal 2 4 3 4 2 2 2" xfId="15680" xr:uid="{FE27DE7A-F607-4066-BF1D-BB4C0FF7005A}"/>
    <cellStyle name="Normal 2 4 3 4 2 3" xfId="11462" xr:uid="{052D200A-4099-4CAB-997C-541637FD1539}"/>
    <cellStyle name="Normal 2 4 3 4 3" xfId="5106" xr:uid="{00000000-0005-0000-0000-000022100000}"/>
    <cellStyle name="Normal 2 4 3 4 3 2" xfId="13535" xr:uid="{FC1D1D9D-36B2-47B0-B6CD-0F216C2E6884}"/>
    <cellStyle name="Normal 2 4 3 4 4" xfId="9317" xr:uid="{EB4C4DEB-0DCD-4C58-B253-967C6958819A}"/>
    <cellStyle name="Normal 2 4 3 5" xfId="1210" xr:uid="{00000000-0005-0000-0000-000023100000}"/>
    <cellStyle name="Normal 2 4 3 5 2" xfId="3440" xr:uid="{00000000-0005-0000-0000-000024100000}"/>
    <cellStyle name="Normal 2 4 3 5 2 2" xfId="7664" xr:uid="{00000000-0005-0000-0000-000025100000}"/>
    <cellStyle name="Normal 2 4 3 5 2 2 2" xfId="16093" xr:uid="{7826E941-3E71-4BB2-A9C9-C4B7451DBC3F}"/>
    <cellStyle name="Normal 2 4 3 5 2 3" xfId="11875" xr:uid="{9CD25C03-7D21-46C4-B90A-D52F91C1E9C7}"/>
    <cellStyle name="Normal 2 4 3 5 3" xfId="5519" xr:uid="{00000000-0005-0000-0000-000026100000}"/>
    <cellStyle name="Normal 2 4 3 5 3 2" xfId="13948" xr:uid="{EB581E68-41A2-45B5-A900-C8E20BCCA410}"/>
    <cellStyle name="Normal 2 4 3 5 4" xfId="9730" xr:uid="{3FF8893E-DE80-424A-A8C4-117B1C033510}"/>
    <cellStyle name="Normal 2 4 3 6" xfId="1623" xr:uid="{00000000-0005-0000-0000-000027100000}"/>
    <cellStyle name="Normal 2 4 3 6 2" xfId="3853" xr:uid="{00000000-0005-0000-0000-000028100000}"/>
    <cellStyle name="Normal 2 4 3 6 2 2" xfId="8077" xr:uid="{00000000-0005-0000-0000-000029100000}"/>
    <cellStyle name="Normal 2 4 3 6 2 2 2" xfId="16506" xr:uid="{1BE812C0-3A73-412A-A257-F9D25B9E95BE}"/>
    <cellStyle name="Normal 2 4 3 6 2 3" xfId="12288" xr:uid="{E1EA76A1-C48B-43AA-BB71-94AB402B7330}"/>
    <cellStyle name="Normal 2 4 3 6 3" xfId="5932" xr:uid="{00000000-0005-0000-0000-00002A100000}"/>
    <cellStyle name="Normal 2 4 3 6 3 2" xfId="14361" xr:uid="{2E23735D-CA9C-4A5A-BFC6-DDC08D0A4E99}"/>
    <cellStyle name="Normal 2 4 3 6 4" xfId="10143" xr:uid="{032D4648-5EDA-4615-BC6C-23E24B0B9518}"/>
    <cellStyle name="Normal 2 4 3 7" xfId="2037" xr:uid="{00000000-0005-0000-0000-00002B100000}"/>
    <cellStyle name="Normal 2 4 3 7 2" xfId="4266" xr:uid="{00000000-0005-0000-0000-00002C100000}"/>
    <cellStyle name="Normal 2 4 3 7 2 2" xfId="8490" xr:uid="{00000000-0005-0000-0000-00002D100000}"/>
    <cellStyle name="Normal 2 4 3 7 2 2 2" xfId="16919" xr:uid="{6C626F61-AAEB-4318-A179-8202CE4491BB}"/>
    <cellStyle name="Normal 2 4 3 7 2 3" xfId="12701" xr:uid="{B10E35EB-E236-4EAF-A569-973719F784C2}"/>
    <cellStyle name="Normal 2 4 3 7 3" xfId="6345" xr:uid="{00000000-0005-0000-0000-00002E100000}"/>
    <cellStyle name="Normal 2 4 3 7 3 2" xfId="14774" xr:uid="{1B27FC0A-3F9A-46E6-A305-63A576729229}"/>
    <cellStyle name="Normal 2 4 3 7 4" xfId="10556" xr:uid="{0FE8212A-C8C3-4790-B9B4-64AB74E0D724}"/>
    <cellStyle name="Normal 2 4 3 8" xfId="2473" xr:uid="{00000000-0005-0000-0000-00002F100000}"/>
    <cellStyle name="Normal 2 4 3 8 2" xfId="6758" xr:uid="{00000000-0005-0000-0000-000030100000}"/>
    <cellStyle name="Normal 2 4 3 8 2 2" xfId="15187" xr:uid="{B3973F83-1382-41FE-814C-4AD9CF130814}"/>
    <cellStyle name="Normal 2 4 3 8 3" xfId="10969" xr:uid="{21A2D588-E315-4132-8843-FEACCC966686}"/>
    <cellStyle name="Normal 2 4 3 9" xfId="4692" xr:uid="{00000000-0005-0000-0000-000031100000}"/>
    <cellStyle name="Normal 2 4 3 9 2" xfId="13121" xr:uid="{E7EB2E9C-CF20-444A-AF59-CCA48C12E556}"/>
    <cellStyle name="Normal 2 4 4" xfId="302" xr:uid="{00000000-0005-0000-0000-000032100000}"/>
    <cellStyle name="Normal 2 4 5" xfId="303" xr:uid="{00000000-0005-0000-0000-000033100000}"/>
    <cellStyle name="Normal 2 4 5 10" xfId="4697" xr:uid="{00000000-0005-0000-0000-000034100000}"/>
    <cellStyle name="Normal 2 4 5 10 2" xfId="13126" xr:uid="{04E8B17E-01A7-4AD3-8C42-2A03EDBB0E8D}"/>
    <cellStyle name="Normal 2 4 5 11" xfId="8908" xr:uid="{71E3FDE8-123B-43A3-8F78-10385AA4C698}"/>
    <cellStyle name="Normal 2 4 5 2" xfId="304" xr:uid="{00000000-0005-0000-0000-000035100000}"/>
    <cellStyle name="Normal 2 4 5 2 10" xfId="8909" xr:uid="{F3435FCD-AC7D-4A60-A650-037FB75CA98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2 2 2" xfId="15688" xr:uid="{1540A575-BF5F-4772-A7B8-B62A4A59F6D8}"/>
    <cellStyle name="Normal 2 4 5 2 2 2 2 2 3" xfId="11470" xr:uid="{6F518926-F2C9-4C0C-9D7C-A6FDA1AA15E6}"/>
    <cellStyle name="Normal 2 4 5 2 2 2 2 3" xfId="5114" xr:uid="{00000000-0005-0000-0000-00003B100000}"/>
    <cellStyle name="Normal 2 4 5 2 2 2 2 3 2" xfId="13543" xr:uid="{C71445C6-97B9-4F6B-B1DC-BB2F5C398646}"/>
    <cellStyle name="Normal 2 4 5 2 2 2 2 4" xfId="9325" xr:uid="{C62C625B-F1D1-480A-ADF1-788F373480DF}"/>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2 2 2" xfId="16101" xr:uid="{9FD8742B-E6E0-49D3-BA69-C2FE867AD5DD}"/>
    <cellStyle name="Normal 2 4 5 2 2 2 3 2 3" xfId="11883" xr:uid="{13E218B0-DC09-47BF-A5F1-CE56D63698FB}"/>
    <cellStyle name="Normal 2 4 5 2 2 2 3 3" xfId="5527" xr:uid="{00000000-0005-0000-0000-00003F100000}"/>
    <cellStyle name="Normal 2 4 5 2 2 2 3 3 2" xfId="13956" xr:uid="{41EE663A-F6E6-47FF-96D2-A5512DDA19C3}"/>
    <cellStyle name="Normal 2 4 5 2 2 2 3 4" xfId="9738" xr:uid="{80F2527F-C2CE-4F09-AEC6-16BAF933CF16}"/>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2 2 2" xfId="16514" xr:uid="{FAA9CFC6-3FAF-4810-BE90-83F89B34A538}"/>
    <cellStyle name="Normal 2 4 5 2 2 2 4 2 3" xfId="12296" xr:uid="{4238A494-CB40-41B8-931C-08181FD0E64C}"/>
    <cellStyle name="Normal 2 4 5 2 2 2 4 3" xfId="5940" xr:uid="{00000000-0005-0000-0000-000043100000}"/>
    <cellStyle name="Normal 2 4 5 2 2 2 4 3 2" xfId="14369" xr:uid="{BE61DD5E-6047-4EC2-B501-FC5DCAE7C574}"/>
    <cellStyle name="Normal 2 4 5 2 2 2 4 4" xfId="10151" xr:uid="{9C27D5A4-FB70-4A13-9D91-301F6F724546}"/>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2 2 2" xfId="16927" xr:uid="{2A3D6453-92B0-4A36-B0DF-0F59E8BA8C54}"/>
    <cellStyle name="Normal 2 4 5 2 2 2 5 2 3" xfId="12709" xr:uid="{ADDCC5C2-5606-4CDE-BE5A-377A53652849}"/>
    <cellStyle name="Normal 2 4 5 2 2 2 5 3" xfId="6353" xr:uid="{00000000-0005-0000-0000-000047100000}"/>
    <cellStyle name="Normal 2 4 5 2 2 2 5 3 2" xfId="14782" xr:uid="{73B6BEFB-0F08-498D-83A6-83201374D6FF}"/>
    <cellStyle name="Normal 2 4 5 2 2 2 5 4" xfId="10564" xr:uid="{785C25A5-028F-4E02-BB47-4776B7105079}"/>
    <cellStyle name="Normal 2 4 5 2 2 2 6" xfId="2481" xr:uid="{00000000-0005-0000-0000-000048100000}"/>
    <cellStyle name="Normal 2 4 5 2 2 2 6 2" xfId="6766" xr:uid="{00000000-0005-0000-0000-000049100000}"/>
    <cellStyle name="Normal 2 4 5 2 2 2 6 2 2" xfId="15195" xr:uid="{628DCA3F-BDFF-419A-B01F-58E3B630761A}"/>
    <cellStyle name="Normal 2 4 5 2 2 2 6 3" xfId="10977" xr:uid="{2718C182-EA47-4126-9355-94F132FDF080}"/>
    <cellStyle name="Normal 2 4 5 2 2 2 7" xfId="4700" xr:uid="{00000000-0005-0000-0000-00004A100000}"/>
    <cellStyle name="Normal 2 4 5 2 2 2 7 2" xfId="13129" xr:uid="{26FCBC85-AFD9-4AF1-AFB8-E2BC0EBD376C}"/>
    <cellStyle name="Normal 2 4 5 2 2 2 8" xfId="8911" xr:uid="{63ECEC97-CE2C-4802-AD9D-3345EE035DCA}"/>
    <cellStyle name="Normal 2 4 5 2 2 3" xfId="795" xr:uid="{00000000-0005-0000-0000-00004B100000}"/>
    <cellStyle name="Normal 2 4 5 2 2 3 2" xfId="3034" xr:uid="{00000000-0005-0000-0000-00004C100000}"/>
    <cellStyle name="Normal 2 4 5 2 2 3 2 2" xfId="7258" xr:uid="{00000000-0005-0000-0000-00004D100000}"/>
    <cellStyle name="Normal 2 4 5 2 2 3 2 2 2" xfId="15687" xr:uid="{8E8425DB-C145-4FA7-8C27-3DA2D84372AA}"/>
    <cellStyle name="Normal 2 4 5 2 2 3 2 3" xfId="11469" xr:uid="{5966873A-4EF1-4C32-8B4E-00D713C7D0EA}"/>
    <cellStyle name="Normal 2 4 5 2 2 3 3" xfId="5113" xr:uid="{00000000-0005-0000-0000-00004E100000}"/>
    <cellStyle name="Normal 2 4 5 2 2 3 3 2" xfId="13542" xr:uid="{4F34525F-3E1B-45D1-96B3-B1B6B7411F24}"/>
    <cellStyle name="Normal 2 4 5 2 2 3 4" xfId="9324" xr:uid="{55BEAE13-3470-4050-B623-9DC99581715C}"/>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2 2 2" xfId="16100" xr:uid="{E7B3C56C-D251-4394-9F7F-6D1AE048AB02}"/>
    <cellStyle name="Normal 2 4 5 2 2 4 2 3" xfId="11882" xr:uid="{79017F0E-5EA6-4309-86D8-FF6AEBD64FFC}"/>
    <cellStyle name="Normal 2 4 5 2 2 4 3" xfId="5526" xr:uid="{00000000-0005-0000-0000-000052100000}"/>
    <cellStyle name="Normal 2 4 5 2 2 4 3 2" xfId="13955" xr:uid="{E43DE182-1A69-4A99-B1FD-8C115B3F0729}"/>
    <cellStyle name="Normal 2 4 5 2 2 4 4" xfId="9737" xr:uid="{19349C53-6C23-4499-98CB-CB22E5D7B7F6}"/>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2 2 2" xfId="16513" xr:uid="{60CE54A1-F3B7-4C34-B9D4-F0A11958E23A}"/>
    <cellStyle name="Normal 2 4 5 2 2 5 2 3" xfId="12295" xr:uid="{0BA38859-42F2-45E8-AB44-7BE8BE287F2A}"/>
    <cellStyle name="Normal 2 4 5 2 2 5 3" xfId="5939" xr:uid="{00000000-0005-0000-0000-000056100000}"/>
    <cellStyle name="Normal 2 4 5 2 2 5 3 2" xfId="14368" xr:uid="{FAB2213F-67B3-4BA9-AA55-263DEA7F289B}"/>
    <cellStyle name="Normal 2 4 5 2 2 5 4" xfId="10150" xr:uid="{085FBC59-F0E6-4278-9D20-189F6DC35E2D}"/>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2 2 2" xfId="16926" xr:uid="{EFA05068-941E-4CF7-BFF6-F60FB0D09903}"/>
    <cellStyle name="Normal 2 4 5 2 2 6 2 3" xfId="12708" xr:uid="{14754F49-8D73-45DB-AEA5-10692A529128}"/>
    <cellStyle name="Normal 2 4 5 2 2 6 3" xfId="6352" xr:uid="{00000000-0005-0000-0000-00005A100000}"/>
    <cellStyle name="Normal 2 4 5 2 2 6 3 2" xfId="14781" xr:uid="{C0EEB7D8-F59E-463D-A15A-A0AB28D0CE97}"/>
    <cellStyle name="Normal 2 4 5 2 2 6 4" xfId="10563" xr:uid="{606DC885-99E2-4D1E-9F7D-6458FB1D77A9}"/>
    <cellStyle name="Normal 2 4 5 2 2 7" xfId="2480" xr:uid="{00000000-0005-0000-0000-00005B100000}"/>
    <cellStyle name="Normal 2 4 5 2 2 7 2" xfId="6765" xr:uid="{00000000-0005-0000-0000-00005C100000}"/>
    <cellStyle name="Normal 2 4 5 2 2 7 2 2" xfId="15194" xr:uid="{18E389C1-3382-4DB8-B18C-5E129953C513}"/>
    <cellStyle name="Normal 2 4 5 2 2 7 3" xfId="10976" xr:uid="{26E91903-137D-43C0-9264-DC479FBB24BB}"/>
    <cellStyle name="Normal 2 4 5 2 2 8" xfId="4699" xr:uid="{00000000-0005-0000-0000-00005D100000}"/>
    <cellStyle name="Normal 2 4 5 2 2 8 2" xfId="13128" xr:uid="{EA8C9909-D01D-4439-A17F-3181FF24769A}"/>
    <cellStyle name="Normal 2 4 5 2 2 9" xfId="8910" xr:uid="{4DE73A9B-2B5C-48E9-B06D-B38DE44A665F}"/>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2 2 2" xfId="15689" xr:uid="{06704897-62D8-417D-BFF1-7C6FC3564257}"/>
    <cellStyle name="Normal 2 4 5 2 3 2 2 3" xfId="11471" xr:uid="{078571B2-47E3-44FC-8801-8CBBF71805A9}"/>
    <cellStyle name="Normal 2 4 5 2 3 2 3" xfId="5115" xr:uid="{00000000-0005-0000-0000-000062100000}"/>
    <cellStyle name="Normal 2 4 5 2 3 2 3 2" xfId="13544" xr:uid="{43A90E0E-DE62-48D2-8615-11B1108E54DA}"/>
    <cellStyle name="Normal 2 4 5 2 3 2 4" xfId="9326" xr:uid="{9E62D526-2CB9-404D-B9EB-7764B1A19F11}"/>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2 2 2" xfId="16102" xr:uid="{98885CF8-0413-4F04-918D-E8C6B47AE0F1}"/>
    <cellStyle name="Normal 2 4 5 2 3 3 2 3" xfId="11884" xr:uid="{6215FC5C-6D50-46CF-AD21-42EED30D3D5C}"/>
    <cellStyle name="Normal 2 4 5 2 3 3 3" xfId="5528" xr:uid="{00000000-0005-0000-0000-000066100000}"/>
    <cellStyle name="Normal 2 4 5 2 3 3 3 2" xfId="13957" xr:uid="{376D683A-8D0C-48DE-BE2D-13B33065C7FE}"/>
    <cellStyle name="Normal 2 4 5 2 3 3 4" xfId="9739" xr:uid="{758A970F-20C0-46DE-B52B-A620CAA7E7C7}"/>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2 2 2" xfId="16515" xr:uid="{D5B7EC4B-0FB9-4CCD-AC52-E092440C18A2}"/>
    <cellStyle name="Normal 2 4 5 2 3 4 2 3" xfId="12297" xr:uid="{49587C20-8617-4EAC-B6DE-214DD8174971}"/>
    <cellStyle name="Normal 2 4 5 2 3 4 3" xfId="5941" xr:uid="{00000000-0005-0000-0000-00006A100000}"/>
    <cellStyle name="Normal 2 4 5 2 3 4 3 2" xfId="14370" xr:uid="{38BBE5A2-BA03-4790-A442-63EFA88418BA}"/>
    <cellStyle name="Normal 2 4 5 2 3 4 4" xfId="10152" xr:uid="{69BCE6E2-FF7C-414D-8FE5-15211B1892F8}"/>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2 2 2" xfId="16928" xr:uid="{F1FFF743-ADF2-4F05-97D4-2E27C083BFDF}"/>
    <cellStyle name="Normal 2 4 5 2 3 5 2 3" xfId="12710" xr:uid="{B8034F0E-E7A9-46B0-8E83-E2883D2F8715}"/>
    <cellStyle name="Normal 2 4 5 2 3 5 3" xfId="6354" xr:uid="{00000000-0005-0000-0000-00006E100000}"/>
    <cellStyle name="Normal 2 4 5 2 3 5 3 2" xfId="14783" xr:uid="{03C91A4E-2F99-4A0D-A4D3-0B1F7BA650DE}"/>
    <cellStyle name="Normal 2 4 5 2 3 5 4" xfId="10565" xr:uid="{7C3C4F48-1A7A-4963-9AE6-C0FEC3CF0348}"/>
    <cellStyle name="Normal 2 4 5 2 3 6" xfId="2482" xr:uid="{00000000-0005-0000-0000-00006F100000}"/>
    <cellStyle name="Normal 2 4 5 2 3 6 2" xfId="6767" xr:uid="{00000000-0005-0000-0000-000070100000}"/>
    <cellStyle name="Normal 2 4 5 2 3 6 2 2" xfId="15196" xr:uid="{45A4C6E9-6216-4CBF-8C88-0F50D010F615}"/>
    <cellStyle name="Normal 2 4 5 2 3 6 3" xfId="10978" xr:uid="{B8D732E9-A08F-45FF-B254-3A98232983B8}"/>
    <cellStyle name="Normal 2 4 5 2 3 7" xfId="4701" xr:uid="{00000000-0005-0000-0000-000071100000}"/>
    <cellStyle name="Normal 2 4 5 2 3 7 2" xfId="13130" xr:uid="{53AD60FF-6DEE-46BB-B993-E4B8DC5BA11E}"/>
    <cellStyle name="Normal 2 4 5 2 3 8" xfId="8912" xr:uid="{FAEFECEF-FC71-4ED6-AA46-6F7D880AAC08}"/>
    <cellStyle name="Normal 2 4 5 2 4" xfId="794" xr:uid="{00000000-0005-0000-0000-000072100000}"/>
    <cellStyle name="Normal 2 4 5 2 4 2" xfId="3033" xr:uid="{00000000-0005-0000-0000-000073100000}"/>
    <cellStyle name="Normal 2 4 5 2 4 2 2" xfId="7257" xr:uid="{00000000-0005-0000-0000-000074100000}"/>
    <cellStyle name="Normal 2 4 5 2 4 2 2 2" xfId="15686" xr:uid="{846CB023-E15B-4BC8-92E4-800B124ABE61}"/>
    <cellStyle name="Normal 2 4 5 2 4 2 3" xfId="11468" xr:uid="{0A120C0F-E1EA-40F4-AFB6-4BB9D9DE91F9}"/>
    <cellStyle name="Normal 2 4 5 2 4 3" xfId="5112" xr:uid="{00000000-0005-0000-0000-000075100000}"/>
    <cellStyle name="Normal 2 4 5 2 4 3 2" xfId="13541" xr:uid="{DB14940F-F09D-45AB-A9D8-5DD4AD570235}"/>
    <cellStyle name="Normal 2 4 5 2 4 4" xfId="9323" xr:uid="{1A5DF527-CB26-4279-92B9-3789A088FA6E}"/>
    <cellStyle name="Normal 2 4 5 2 5" xfId="1216" xr:uid="{00000000-0005-0000-0000-000076100000}"/>
    <cellStyle name="Normal 2 4 5 2 5 2" xfId="3446" xr:uid="{00000000-0005-0000-0000-000077100000}"/>
    <cellStyle name="Normal 2 4 5 2 5 2 2" xfId="7670" xr:uid="{00000000-0005-0000-0000-000078100000}"/>
    <cellStyle name="Normal 2 4 5 2 5 2 2 2" xfId="16099" xr:uid="{CF01A90B-D2DF-4355-A628-19CCC672787B}"/>
    <cellStyle name="Normal 2 4 5 2 5 2 3" xfId="11881" xr:uid="{EBE4478D-F20F-48F0-AB3D-CD8BA57C2B6D}"/>
    <cellStyle name="Normal 2 4 5 2 5 3" xfId="5525" xr:uid="{00000000-0005-0000-0000-000079100000}"/>
    <cellStyle name="Normal 2 4 5 2 5 3 2" xfId="13954" xr:uid="{2C5DD93B-B993-453D-B800-ECDC370747D3}"/>
    <cellStyle name="Normal 2 4 5 2 5 4" xfId="9736" xr:uid="{6EC36DAC-AF83-445D-902C-9ABFDA9B7FB9}"/>
    <cellStyle name="Normal 2 4 5 2 6" xfId="1629" xr:uid="{00000000-0005-0000-0000-00007A100000}"/>
    <cellStyle name="Normal 2 4 5 2 6 2" xfId="3859" xr:uid="{00000000-0005-0000-0000-00007B100000}"/>
    <cellStyle name="Normal 2 4 5 2 6 2 2" xfId="8083" xr:uid="{00000000-0005-0000-0000-00007C100000}"/>
    <cellStyle name="Normal 2 4 5 2 6 2 2 2" xfId="16512" xr:uid="{2703F396-C5ED-45B5-A7E0-4C8B6E3639BD}"/>
    <cellStyle name="Normal 2 4 5 2 6 2 3" xfId="12294" xr:uid="{EB1978BD-3750-439B-A744-7ED7F63150D7}"/>
    <cellStyle name="Normal 2 4 5 2 6 3" xfId="5938" xr:uid="{00000000-0005-0000-0000-00007D100000}"/>
    <cellStyle name="Normal 2 4 5 2 6 3 2" xfId="14367" xr:uid="{3FBEA321-1D0D-4016-9F7F-98CFBCDF096E}"/>
    <cellStyle name="Normal 2 4 5 2 6 4" xfId="10149" xr:uid="{E5538F24-8A10-4273-8AAC-AE9B1DF89548}"/>
    <cellStyle name="Normal 2 4 5 2 7" xfId="2043" xr:uid="{00000000-0005-0000-0000-00007E100000}"/>
    <cellStyle name="Normal 2 4 5 2 7 2" xfId="4272" xr:uid="{00000000-0005-0000-0000-00007F100000}"/>
    <cellStyle name="Normal 2 4 5 2 7 2 2" xfId="8496" xr:uid="{00000000-0005-0000-0000-000080100000}"/>
    <cellStyle name="Normal 2 4 5 2 7 2 2 2" xfId="16925" xr:uid="{4F858654-1282-4DC5-916E-E565B591D34A}"/>
    <cellStyle name="Normal 2 4 5 2 7 2 3" xfId="12707" xr:uid="{066E8B45-EED6-4F08-9CD9-4D15A956786D}"/>
    <cellStyle name="Normal 2 4 5 2 7 3" xfId="6351" xr:uid="{00000000-0005-0000-0000-000081100000}"/>
    <cellStyle name="Normal 2 4 5 2 7 3 2" xfId="14780" xr:uid="{942D5DE6-CE67-4941-82DD-4ED5F9BF3568}"/>
    <cellStyle name="Normal 2 4 5 2 7 4" xfId="10562" xr:uid="{E640BAF6-D78F-46BA-B27B-DAD93A8CA545}"/>
    <cellStyle name="Normal 2 4 5 2 8" xfId="2479" xr:uid="{00000000-0005-0000-0000-000082100000}"/>
    <cellStyle name="Normal 2 4 5 2 8 2" xfId="6764" xr:uid="{00000000-0005-0000-0000-000083100000}"/>
    <cellStyle name="Normal 2 4 5 2 8 2 2" xfId="15193" xr:uid="{FFE6CD4B-1D4C-4929-B3BB-4390DE2CA3A1}"/>
    <cellStyle name="Normal 2 4 5 2 8 3" xfId="10975" xr:uid="{3F29A83B-5B95-4716-956F-BC2395D6D87B}"/>
    <cellStyle name="Normal 2 4 5 2 9" xfId="4698" xr:uid="{00000000-0005-0000-0000-000084100000}"/>
    <cellStyle name="Normal 2 4 5 2 9 2" xfId="13127" xr:uid="{BBF91242-7154-4ECF-AD3A-9F3110267C55}"/>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2 2 2" xfId="15691" xr:uid="{6925A6FE-2B47-4635-8A01-EA95C39876C2}"/>
    <cellStyle name="Normal 2 4 5 3 2 2 2 3" xfId="11473" xr:uid="{92AFBA54-71B8-4818-A7F8-139F3E5F98E5}"/>
    <cellStyle name="Normal 2 4 5 3 2 2 3" xfId="5117" xr:uid="{00000000-0005-0000-0000-00008A100000}"/>
    <cellStyle name="Normal 2 4 5 3 2 2 3 2" xfId="13546" xr:uid="{0EDE635E-AC8A-4A22-AAB0-63E126C1EC72}"/>
    <cellStyle name="Normal 2 4 5 3 2 2 4" xfId="9328" xr:uid="{D0D81C3C-BA9A-42C1-82E5-750B308821EA}"/>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2 2 2" xfId="16104" xr:uid="{3B6AF4B6-6F6F-4B37-9786-8FED9F18718B}"/>
    <cellStyle name="Normal 2 4 5 3 2 3 2 3" xfId="11886" xr:uid="{792C1C89-70FD-44E4-9B25-43AD11A48AF0}"/>
    <cellStyle name="Normal 2 4 5 3 2 3 3" xfId="5530" xr:uid="{00000000-0005-0000-0000-00008E100000}"/>
    <cellStyle name="Normal 2 4 5 3 2 3 3 2" xfId="13959" xr:uid="{FFE4283E-DED7-43F2-AD4D-2E53599963C8}"/>
    <cellStyle name="Normal 2 4 5 3 2 3 4" xfId="9741" xr:uid="{FCD0EFF3-73AB-4665-ADFC-7EAC0A2D30BC}"/>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2 2 2" xfId="16517" xr:uid="{A6154674-DB64-4B01-9072-C7070EE2D82E}"/>
    <cellStyle name="Normal 2 4 5 3 2 4 2 3" xfId="12299" xr:uid="{9A712511-FA03-4E7A-9CFB-B723409008A4}"/>
    <cellStyle name="Normal 2 4 5 3 2 4 3" xfId="5943" xr:uid="{00000000-0005-0000-0000-000092100000}"/>
    <cellStyle name="Normal 2 4 5 3 2 4 3 2" xfId="14372" xr:uid="{0176D3CE-0DAB-49BD-89BA-5B79AF4E6F12}"/>
    <cellStyle name="Normal 2 4 5 3 2 4 4" xfId="10154" xr:uid="{F0B78495-6C7D-4143-B38E-A739D66C6B24}"/>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2 2 2" xfId="16930" xr:uid="{80BF9FF8-CCB6-449B-8E36-6958FB7E93BC}"/>
    <cellStyle name="Normal 2 4 5 3 2 5 2 3" xfId="12712" xr:uid="{66CFB0CA-D164-4264-BF6C-8B6588B62E0E}"/>
    <cellStyle name="Normal 2 4 5 3 2 5 3" xfId="6356" xr:uid="{00000000-0005-0000-0000-000096100000}"/>
    <cellStyle name="Normal 2 4 5 3 2 5 3 2" xfId="14785" xr:uid="{D40A0EA9-6A23-4A5A-AA73-334BE0030047}"/>
    <cellStyle name="Normal 2 4 5 3 2 5 4" xfId="10567" xr:uid="{7547007A-D972-4B38-AE01-94A6933E24F3}"/>
    <cellStyle name="Normal 2 4 5 3 2 6" xfId="2484" xr:uid="{00000000-0005-0000-0000-000097100000}"/>
    <cellStyle name="Normal 2 4 5 3 2 6 2" xfId="6769" xr:uid="{00000000-0005-0000-0000-000098100000}"/>
    <cellStyle name="Normal 2 4 5 3 2 6 2 2" xfId="15198" xr:uid="{C9E3F8DD-D8CF-43BE-8057-28D5688FA5EA}"/>
    <cellStyle name="Normal 2 4 5 3 2 6 3" xfId="10980" xr:uid="{0C6EA5E9-3586-473C-991F-F24F17CBCC7B}"/>
    <cellStyle name="Normal 2 4 5 3 2 7" xfId="4703" xr:uid="{00000000-0005-0000-0000-000099100000}"/>
    <cellStyle name="Normal 2 4 5 3 2 7 2" xfId="13132" xr:uid="{EEDA2A75-C99F-45A2-A5FF-126EDC2B53AF}"/>
    <cellStyle name="Normal 2 4 5 3 2 8" xfId="8914" xr:uid="{737724A4-9EF1-4249-B742-595B439BB12E}"/>
    <cellStyle name="Normal 2 4 5 3 3" xfId="798" xr:uid="{00000000-0005-0000-0000-00009A100000}"/>
    <cellStyle name="Normal 2 4 5 3 3 2" xfId="3037" xr:uid="{00000000-0005-0000-0000-00009B100000}"/>
    <cellStyle name="Normal 2 4 5 3 3 2 2" xfId="7261" xr:uid="{00000000-0005-0000-0000-00009C100000}"/>
    <cellStyle name="Normal 2 4 5 3 3 2 2 2" xfId="15690" xr:uid="{A92D8213-03DA-4CDD-B4DE-A78D53FA8261}"/>
    <cellStyle name="Normal 2 4 5 3 3 2 3" xfId="11472" xr:uid="{04816652-F057-41C9-AA92-73D2A84FB451}"/>
    <cellStyle name="Normal 2 4 5 3 3 3" xfId="5116" xr:uid="{00000000-0005-0000-0000-00009D100000}"/>
    <cellStyle name="Normal 2 4 5 3 3 3 2" xfId="13545" xr:uid="{A137FB16-805D-40E4-8C2B-A74A0D45413F}"/>
    <cellStyle name="Normal 2 4 5 3 3 4" xfId="9327" xr:uid="{9DA4C2A5-7B42-4E2C-8992-2930CC8C8DAC}"/>
    <cellStyle name="Normal 2 4 5 3 4" xfId="1220" xr:uid="{00000000-0005-0000-0000-00009E100000}"/>
    <cellStyle name="Normal 2 4 5 3 4 2" xfId="3450" xr:uid="{00000000-0005-0000-0000-00009F100000}"/>
    <cellStyle name="Normal 2 4 5 3 4 2 2" xfId="7674" xr:uid="{00000000-0005-0000-0000-0000A0100000}"/>
    <cellStyle name="Normal 2 4 5 3 4 2 2 2" xfId="16103" xr:uid="{AC33B139-A04B-431A-A5C4-653196A82BB7}"/>
    <cellStyle name="Normal 2 4 5 3 4 2 3" xfId="11885" xr:uid="{1B8A77E6-9281-4BDA-B5CE-48C3A4E2598F}"/>
    <cellStyle name="Normal 2 4 5 3 4 3" xfId="5529" xr:uid="{00000000-0005-0000-0000-0000A1100000}"/>
    <cellStyle name="Normal 2 4 5 3 4 3 2" xfId="13958" xr:uid="{95F27CFC-B95B-41CD-B356-C9B79437389F}"/>
    <cellStyle name="Normal 2 4 5 3 4 4" xfId="9740" xr:uid="{BBC17C89-1D08-45DA-AED5-99141E7EA764}"/>
    <cellStyle name="Normal 2 4 5 3 5" xfId="1633" xr:uid="{00000000-0005-0000-0000-0000A2100000}"/>
    <cellStyle name="Normal 2 4 5 3 5 2" xfId="3863" xr:uid="{00000000-0005-0000-0000-0000A3100000}"/>
    <cellStyle name="Normal 2 4 5 3 5 2 2" xfId="8087" xr:uid="{00000000-0005-0000-0000-0000A4100000}"/>
    <cellStyle name="Normal 2 4 5 3 5 2 2 2" xfId="16516" xr:uid="{F6639CAC-FE5F-4D89-9544-81F9DCAE60BE}"/>
    <cellStyle name="Normal 2 4 5 3 5 2 3" xfId="12298" xr:uid="{F18E2768-95DD-4DD1-8BFE-BA50B5EF8B21}"/>
    <cellStyle name="Normal 2 4 5 3 5 3" xfId="5942" xr:uid="{00000000-0005-0000-0000-0000A5100000}"/>
    <cellStyle name="Normal 2 4 5 3 5 3 2" xfId="14371" xr:uid="{7F9C67F1-328C-4CA8-A712-1BC0DCC42E2A}"/>
    <cellStyle name="Normal 2 4 5 3 5 4" xfId="10153" xr:uid="{9A8C9C5A-0B51-414F-89E9-86190829FE04}"/>
    <cellStyle name="Normal 2 4 5 3 6" xfId="2047" xr:uid="{00000000-0005-0000-0000-0000A6100000}"/>
    <cellStyle name="Normal 2 4 5 3 6 2" xfId="4276" xr:uid="{00000000-0005-0000-0000-0000A7100000}"/>
    <cellStyle name="Normal 2 4 5 3 6 2 2" xfId="8500" xr:uid="{00000000-0005-0000-0000-0000A8100000}"/>
    <cellStyle name="Normal 2 4 5 3 6 2 2 2" xfId="16929" xr:uid="{0801FD88-0E6E-44A5-9276-6624C67A922B}"/>
    <cellStyle name="Normal 2 4 5 3 6 2 3" xfId="12711" xr:uid="{6871CE90-DE0E-46E4-A804-74D15BD033CD}"/>
    <cellStyle name="Normal 2 4 5 3 6 3" xfId="6355" xr:uid="{00000000-0005-0000-0000-0000A9100000}"/>
    <cellStyle name="Normal 2 4 5 3 6 3 2" xfId="14784" xr:uid="{15351DFD-99F9-4EFF-B1CB-701D1A22BE5E}"/>
    <cellStyle name="Normal 2 4 5 3 6 4" xfId="10566" xr:uid="{9623C594-5382-4617-8A56-53FA897FE5CE}"/>
    <cellStyle name="Normal 2 4 5 3 7" xfId="2483" xr:uid="{00000000-0005-0000-0000-0000AA100000}"/>
    <cellStyle name="Normal 2 4 5 3 7 2" xfId="6768" xr:uid="{00000000-0005-0000-0000-0000AB100000}"/>
    <cellStyle name="Normal 2 4 5 3 7 2 2" xfId="15197" xr:uid="{269A5B33-F2CB-4C4C-99FA-8D0A81EF81B8}"/>
    <cellStyle name="Normal 2 4 5 3 7 3" xfId="10979" xr:uid="{BA6E9C32-A9F8-46DA-B910-AE12E70EA0B5}"/>
    <cellStyle name="Normal 2 4 5 3 8" xfId="4702" xr:uid="{00000000-0005-0000-0000-0000AC100000}"/>
    <cellStyle name="Normal 2 4 5 3 8 2" xfId="13131" xr:uid="{96DBC34D-5F08-4BDC-A12E-5CF29840CDBC}"/>
    <cellStyle name="Normal 2 4 5 3 9" xfId="8913" xr:uid="{1F845EC4-9532-4834-9AD1-20DE27C89268}"/>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2 2 2" xfId="15692" xr:uid="{6CDA62A1-17FD-49C9-8EAA-50C1439FC942}"/>
    <cellStyle name="Normal 2 4 5 4 2 2 3" xfId="11474" xr:uid="{BF7C6A9B-7B05-4CE3-8644-0184A7231D90}"/>
    <cellStyle name="Normal 2 4 5 4 2 3" xfId="5118" xr:uid="{00000000-0005-0000-0000-0000B1100000}"/>
    <cellStyle name="Normal 2 4 5 4 2 3 2" xfId="13547" xr:uid="{492B9434-FBFA-42E6-99E2-B44860667E21}"/>
    <cellStyle name="Normal 2 4 5 4 2 4" xfId="9329" xr:uid="{CE2803A5-8A5A-471D-B682-8369672A483F}"/>
    <cellStyle name="Normal 2 4 5 4 3" xfId="1222" xr:uid="{00000000-0005-0000-0000-0000B2100000}"/>
    <cellStyle name="Normal 2 4 5 4 3 2" xfId="3452" xr:uid="{00000000-0005-0000-0000-0000B3100000}"/>
    <cellStyle name="Normal 2 4 5 4 3 2 2" xfId="7676" xr:uid="{00000000-0005-0000-0000-0000B4100000}"/>
    <cellStyle name="Normal 2 4 5 4 3 2 2 2" xfId="16105" xr:uid="{EBDF8CFB-C774-4AE0-83FD-85F26CA88A0E}"/>
    <cellStyle name="Normal 2 4 5 4 3 2 3" xfId="11887" xr:uid="{702467F0-E92D-4A05-8DC9-4E6910B2FE2D}"/>
    <cellStyle name="Normal 2 4 5 4 3 3" xfId="5531" xr:uid="{00000000-0005-0000-0000-0000B5100000}"/>
    <cellStyle name="Normal 2 4 5 4 3 3 2" xfId="13960" xr:uid="{65D91C14-DB91-45F9-8A56-7F4C9FDC991E}"/>
    <cellStyle name="Normal 2 4 5 4 3 4" xfId="9742" xr:uid="{584E0B5F-2A7B-4FB3-A282-9A0400CC7F8E}"/>
    <cellStyle name="Normal 2 4 5 4 4" xfId="1635" xr:uid="{00000000-0005-0000-0000-0000B6100000}"/>
    <cellStyle name="Normal 2 4 5 4 4 2" xfId="3865" xr:uid="{00000000-0005-0000-0000-0000B7100000}"/>
    <cellStyle name="Normal 2 4 5 4 4 2 2" xfId="8089" xr:uid="{00000000-0005-0000-0000-0000B8100000}"/>
    <cellStyle name="Normal 2 4 5 4 4 2 2 2" xfId="16518" xr:uid="{EA2F8508-3A72-4C49-B0F1-6465D3504D9C}"/>
    <cellStyle name="Normal 2 4 5 4 4 2 3" xfId="12300" xr:uid="{B540501B-948E-4446-B1CD-8D0D7B701FF9}"/>
    <cellStyle name="Normal 2 4 5 4 4 3" xfId="5944" xr:uid="{00000000-0005-0000-0000-0000B9100000}"/>
    <cellStyle name="Normal 2 4 5 4 4 3 2" xfId="14373" xr:uid="{0D224BBD-E28B-49F6-A13A-F9990E62458D}"/>
    <cellStyle name="Normal 2 4 5 4 4 4" xfId="10155" xr:uid="{E84B766A-33A2-413F-8E64-F98705E98902}"/>
    <cellStyle name="Normal 2 4 5 4 5" xfId="2049" xr:uid="{00000000-0005-0000-0000-0000BA100000}"/>
    <cellStyle name="Normal 2 4 5 4 5 2" xfId="4278" xr:uid="{00000000-0005-0000-0000-0000BB100000}"/>
    <cellStyle name="Normal 2 4 5 4 5 2 2" xfId="8502" xr:uid="{00000000-0005-0000-0000-0000BC100000}"/>
    <cellStyle name="Normal 2 4 5 4 5 2 2 2" xfId="16931" xr:uid="{F411CA4A-B5CB-420A-85B1-14455A3D3C72}"/>
    <cellStyle name="Normal 2 4 5 4 5 2 3" xfId="12713" xr:uid="{665ED678-9B2D-4C09-ABEF-D472C63C178B}"/>
    <cellStyle name="Normal 2 4 5 4 5 3" xfId="6357" xr:uid="{00000000-0005-0000-0000-0000BD100000}"/>
    <cellStyle name="Normal 2 4 5 4 5 3 2" xfId="14786" xr:uid="{7CD4D36D-7688-48F1-868D-2BEC743CD7BA}"/>
    <cellStyle name="Normal 2 4 5 4 5 4" xfId="10568" xr:uid="{B7CC8015-8E43-429C-A395-CE18DF3C0275}"/>
    <cellStyle name="Normal 2 4 5 4 6" xfId="2485" xr:uid="{00000000-0005-0000-0000-0000BE100000}"/>
    <cellStyle name="Normal 2 4 5 4 6 2" xfId="6770" xr:uid="{00000000-0005-0000-0000-0000BF100000}"/>
    <cellStyle name="Normal 2 4 5 4 6 2 2" xfId="15199" xr:uid="{EBA336F0-B972-4424-B5B6-8606D999AF72}"/>
    <cellStyle name="Normal 2 4 5 4 6 3" xfId="10981" xr:uid="{DA210F96-3B9C-4E82-A1F1-F280C894ED14}"/>
    <cellStyle name="Normal 2 4 5 4 7" xfId="4704" xr:uid="{00000000-0005-0000-0000-0000C0100000}"/>
    <cellStyle name="Normal 2 4 5 4 7 2" xfId="13133" xr:uid="{1A72B6F5-2F17-4B43-9E58-07612CA334EA}"/>
    <cellStyle name="Normal 2 4 5 4 8" xfId="8915" xr:uid="{187FD4AE-6085-40D9-8634-F3BC7A972629}"/>
    <cellStyle name="Normal 2 4 5 5" xfId="793" xr:uid="{00000000-0005-0000-0000-0000C1100000}"/>
    <cellStyle name="Normal 2 4 5 5 2" xfId="3032" xr:uid="{00000000-0005-0000-0000-0000C2100000}"/>
    <cellStyle name="Normal 2 4 5 5 2 2" xfId="7256" xr:uid="{00000000-0005-0000-0000-0000C3100000}"/>
    <cellStyle name="Normal 2 4 5 5 2 2 2" xfId="15685" xr:uid="{2582D56E-1893-4477-82F4-8F01D8E6217C}"/>
    <cellStyle name="Normal 2 4 5 5 2 3" xfId="11467" xr:uid="{B4B20F8D-B64B-48CF-B1FC-F15FDC3894EF}"/>
    <cellStyle name="Normal 2 4 5 5 3" xfId="5111" xr:uid="{00000000-0005-0000-0000-0000C4100000}"/>
    <cellStyle name="Normal 2 4 5 5 3 2" xfId="13540" xr:uid="{A9EA2875-E9DE-4FB7-81FC-BA95BE2DEEC9}"/>
    <cellStyle name="Normal 2 4 5 5 4" xfId="9322" xr:uid="{5C1FB6D7-A891-431B-B9C2-E4EB77967B42}"/>
    <cellStyle name="Normal 2 4 5 6" xfId="1215" xr:uid="{00000000-0005-0000-0000-0000C5100000}"/>
    <cellStyle name="Normal 2 4 5 6 2" xfId="3445" xr:uid="{00000000-0005-0000-0000-0000C6100000}"/>
    <cellStyle name="Normal 2 4 5 6 2 2" xfId="7669" xr:uid="{00000000-0005-0000-0000-0000C7100000}"/>
    <cellStyle name="Normal 2 4 5 6 2 2 2" xfId="16098" xr:uid="{653D6E82-1819-4735-8408-13CBAC1E9E4C}"/>
    <cellStyle name="Normal 2 4 5 6 2 3" xfId="11880" xr:uid="{0861EEC8-CDB1-42AC-B536-6052510B3228}"/>
    <cellStyle name="Normal 2 4 5 6 3" xfId="5524" xr:uid="{00000000-0005-0000-0000-0000C8100000}"/>
    <cellStyle name="Normal 2 4 5 6 3 2" xfId="13953" xr:uid="{B3A88D10-B93A-4D8E-B0B4-6E7CE03665C5}"/>
    <cellStyle name="Normal 2 4 5 6 4" xfId="9735" xr:uid="{814DF221-04E8-40AD-B33D-64B97672B8CE}"/>
    <cellStyle name="Normal 2 4 5 7" xfId="1628" xr:uid="{00000000-0005-0000-0000-0000C9100000}"/>
    <cellStyle name="Normal 2 4 5 7 2" xfId="3858" xr:uid="{00000000-0005-0000-0000-0000CA100000}"/>
    <cellStyle name="Normal 2 4 5 7 2 2" xfId="8082" xr:uid="{00000000-0005-0000-0000-0000CB100000}"/>
    <cellStyle name="Normal 2 4 5 7 2 2 2" xfId="16511" xr:uid="{C3724EB7-0A07-40A5-A780-E33B9667DFCC}"/>
    <cellStyle name="Normal 2 4 5 7 2 3" xfId="12293" xr:uid="{D55ED315-2291-422C-9781-C17DA80E4A19}"/>
    <cellStyle name="Normal 2 4 5 7 3" xfId="5937" xr:uid="{00000000-0005-0000-0000-0000CC100000}"/>
    <cellStyle name="Normal 2 4 5 7 3 2" xfId="14366" xr:uid="{1079909E-52CE-4321-80D7-0F4D3693A87D}"/>
    <cellStyle name="Normal 2 4 5 7 4" xfId="10148" xr:uid="{45003DC0-90D9-45B2-A906-C40C95DD13D5}"/>
    <cellStyle name="Normal 2 4 5 8" xfId="2042" xr:uid="{00000000-0005-0000-0000-0000CD100000}"/>
    <cellStyle name="Normal 2 4 5 8 2" xfId="4271" xr:uid="{00000000-0005-0000-0000-0000CE100000}"/>
    <cellStyle name="Normal 2 4 5 8 2 2" xfId="8495" xr:uid="{00000000-0005-0000-0000-0000CF100000}"/>
    <cellStyle name="Normal 2 4 5 8 2 2 2" xfId="16924" xr:uid="{F0B114BB-1EED-47E8-A176-F233188BE57E}"/>
    <cellStyle name="Normal 2 4 5 8 2 3" xfId="12706" xr:uid="{28B87E16-1AF8-447A-BEDF-07BD8FBBA82E}"/>
    <cellStyle name="Normal 2 4 5 8 3" xfId="6350" xr:uid="{00000000-0005-0000-0000-0000D0100000}"/>
    <cellStyle name="Normal 2 4 5 8 3 2" xfId="14779" xr:uid="{141ADD15-F0E5-46E8-B47D-DA8BFC12BA4D}"/>
    <cellStyle name="Normal 2 4 5 8 4" xfId="10561" xr:uid="{E23081B4-A078-435A-BA89-70DAFA8AA236}"/>
    <cellStyle name="Normal 2 4 5 9" xfId="2478" xr:uid="{00000000-0005-0000-0000-0000D1100000}"/>
    <cellStyle name="Normal 2 4 5 9 2" xfId="6763" xr:uid="{00000000-0005-0000-0000-0000D2100000}"/>
    <cellStyle name="Normal 2 4 5 9 2 2" xfId="15192" xr:uid="{38EFE0A9-6E5B-46D5-9FE2-6F17295BC13B}"/>
    <cellStyle name="Normal 2 4 5 9 3" xfId="10974" xr:uid="{33B30CF7-4838-4AFF-8931-4E6E3DF95EA9}"/>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2 2 2" xfId="15694" xr:uid="{30961EBC-D0CE-4175-A58F-6FA079432717}"/>
    <cellStyle name="Normal 2 4 7 2 2 2 3" xfId="11476" xr:uid="{B92CFCF2-BE08-4F0E-B358-B59973CDA6E0}"/>
    <cellStyle name="Normal 2 4 7 2 2 3" xfId="5120" xr:uid="{00000000-0005-0000-0000-0000D9100000}"/>
    <cellStyle name="Normal 2 4 7 2 2 3 2" xfId="13549" xr:uid="{BE9F379E-4DE5-44AE-AEF6-DAA15108462F}"/>
    <cellStyle name="Normal 2 4 7 2 2 4" xfId="9331" xr:uid="{EEB207E0-EAED-49FC-B6B3-AD94416EA029}"/>
    <cellStyle name="Normal 2 4 7 2 3" xfId="1224" xr:uid="{00000000-0005-0000-0000-0000DA100000}"/>
    <cellStyle name="Normal 2 4 7 2 3 2" xfId="3454" xr:uid="{00000000-0005-0000-0000-0000DB100000}"/>
    <cellStyle name="Normal 2 4 7 2 3 2 2" xfId="7678" xr:uid="{00000000-0005-0000-0000-0000DC100000}"/>
    <cellStyle name="Normal 2 4 7 2 3 2 2 2" xfId="16107" xr:uid="{26C3CCC4-D36C-4983-9234-616899543BF3}"/>
    <cellStyle name="Normal 2 4 7 2 3 2 3" xfId="11889" xr:uid="{96D7521D-B1AC-4E01-9D00-7779DB126EBC}"/>
    <cellStyle name="Normal 2 4 7 2 3 3" xfId="5533" xr:uid="{00000000-0005-0000-0000-0000DD100000}"/>
    <cellStyle name="Normal 2 4 7 2 3 3 2" xfId="13962" xr:uid="{69E03FE9-106E-4403-A4F7-B00062A416F6}"/>
    <cellStyle name="Normal 2 4 7 2 3 4" xfId="9744" xr:uid="{88764CEA-DD72-4E8D-911D-D39A40D4C3A6}"/>
    <cellStyle name="Normal 2 4 7 2 4" xfId="1637" xr:uid="{00000000-0005-0000-0000-0000DE100000}"/>
    <cellStyle name="Normal 2 4 7 2 4 2" xfId="3867" xr:uid="{00000000-0005-0000-0000-0000DF100000}"/>
    <cellStyle name="Normal 2 4 7 2 4 2 2" xfId="8091" xr:uid="{00000000-0005-0000-0000-0000E0100000}"/>
    <cellStyle name="Normal 2 4 7 2 4 2 2 2" xfId="16520" xr:uid="{0B05D9A3-6113-45B5-ACD6-BCBDC1FD453D}"/>
    <cellStyle name="Normal 2 4 7 2 4 2 3" xfId="12302" xr:uid="{B3F14BEC-DEB3-4AAF-9B77-0FE390958E0B}"/>
    <cellStyle name="Normal 2 4 7 2 4 3" xfId="5946" xr:uid="{00000000-0005-0000-0000-0000E1100000}"/>
    <cellStyle name="Normal 2 4 7 2 4 3 2" xfId="14375" xr:uid="{D20D0B33-8148-47B9-B734-55BF533C5B17}"/>
    <cellStyle name="Normal 2 4 7 2 4 4" xfId="10157" xr:uid="{1B6AEAE6-D667-4744-8CF8-87FF85F058EC}"/>
    <cellStyle name="Normal 2 4 7 2 5" xfId="2051" xr:uid="{00000000-0005-0000-0000-0000E2100000}"/>
    <cellStyle name="Normal 2 4 7 2 5 2" xfId="4280" xr:uid="{00000000-0005-0000-0000-0000E3100000}"/>
    <cellStyle name="Normal 2 4 7 2 5 2 2" xfId="8504" xr:uid="{00000000-0005-0000-0000-0000E4100000}"/>
    <cellStyle name="Normal 2 4 7 2 5 2 2 2" xfId="16933" xr:uid="{329AE4D4-76E8-479F-BEA1-C7AB88F73430}"/>
    <cellStyle name="Normal 2 4 7 2 5 2 3" xfId="12715" xr:uid="{2CC44F77-A05B-48EC-ADD7-02FA247E6C66}"/>
    <cellStyle name="Normal 2 4 7 2 5 3" xfId="6359" xr:uid="{00000000-0005-0000-0000-0000E5100000}"/>
    <cellStyle name="Normal 2 4 7 2 5 3 2" xfId="14788" xr:uid="{F5C5091C-6D78-487A-BE30-78487CCAA2C7}"/>
    <cellStyle name="Normal 2 4 7 2 5 4" xfId="10570" xr:uid="{1E82FA3F-328D-437D-9755-DED292DFB07D}"/>
    <cellStyle name="Normal 2 4 7 2 6" xfId="2487" xr:uid="{00000000-0005-0000-0000-0000E6100000}"/>
    <cellStyle name="Normal 2 4 7 2 6 2" xfId="6772" xr:uid="{00000000-0005-0000-0000-0000E7100000}"/>
    <cellStyle name="Normal 2 4 7 2 6 2 2" xfId="15201" xr:uid="{C12C6674-DB23-41B1-9638-E594DBBC503E}"/>
    <cellStyle name="Normal 2 4 7 2 6 3" xfId="10983" xr:uid="{57311A89-EB75-4700-8019-A9E658086EA1}"/>
    <cellStyle name="Normal 2 4 7 2 7" xfId="4706" xr:uid="{00000000-0005-0000-0000-0000E8100000}"/>
    <cellStyle name="Normal 2 4 7 2 7 2" xfId="13135" xr:uid="{CD488E96-3563-4B4A-B7D4-CA86CEE08E49}"/>
    <cellStyle name="Normal 2 4 7 2 8" xfId="8917" xr:uid="{904D03F9-D45D-4207-ADBD-F65421B4BEF1}"/>
    <cellStyle name="Normal 2 4 7 3" xfId="801" xr:uid="{00000000-0005-0000-0000-0000E9100000}"/>
    <cellStyle name="Normal 2 4 7 3 2" xfId="3040" xr:uid="{00000000-0005-0000-0000-0000EA100000}"/>
    <cellStyle name="Normal 2 4 7 3 2 2" xfId="7264" xr:uid="{00000000-0005-0000-0000-0000EB100000}"/>
    <cellStyle name="Normal 2 4 7 3 2 2 2" xfId="15693" xr:uid="{8B16B466-5975-4E1F-B690-B7CAE8B11082}"/>
    <cellStyle name="Normal 2 4 7 3 2 3" xfId="11475" xr:uid="{06B17E2D-11BE-4794-983B-21E8894E7A75}"/>
    <cellStyle name="Normal 2 4 7 3 3" xfId="5119" xr:uid="{00000000-0005-0000-0000-0000EC100000}"/>
    <cellStyle name="Normal 2 4 7 3 3 2" xfId="13548" xr:uid="{6FC14A4C-0FEA-4B3B-B945-D98837C78FEE}"/>
    <cellStyle name="Normal 2 4 7 3 4" xfId="9330" xr:uid="{7D30A592-A08F-4843-9ADE-CF09FE2948F0}"/>
    <cellStyle name="Normal 2 4 7 4" xfId="1223" xr:uid="{00000000-0005-0000-0000-0000ED100000}"/>
    <cellStyle name="Normal 2 4 7 4 2" xfId="3453" xr:uid="{00000000-0005-0000-0000-0000EE100000}"/>
    <cellStyle name="Normal 2 4 7 4 2 2" xfId="7677" xr:uid="{00000000-0005-0000-0000-0000EF100000}"/>
    <cellStyle name="Normal 2 4 7 4 2 2 2" xfId="16106" xr:uid="{B326844A-9496-45E3-A177-9D034539D6FC}"/>
    <cellStyle name="Normal 2 4 7 4 2 3" xfId="11888" xr:uid="{42DE3360-FF68-4F07-8057-4C1D2031F8AF}"/>
    <cellStyle name="Normal 2 4 7 4 3" xfId="5532" xr:uid="{00000000-0005-0000-0000-0000F0100000}"/>
    <cellStyle name="Normal 2 4 7 4 3 2" xfId="13961" xr:uid="{6172BD07-3C53-47CE-9183-A389107C60E0}"/>
    <cellStyle name="Normal 2 4 7 4 4" xfId="9743" xr:uid="{445EF23A-4ABE-40A6-9D69-E01E3CC5C0D0}"/>
    <cellStyle name="Normal 2 4 7 5" xfId="1636" xr:uid="{00000000-0005-0000-0000-0000F1100000}"/>
    <cellStyle name="Normal 2 4 7 5 2" xfId="3866" xr:uid="{00000000-0005-0000-0000-0000F2100000}"/>
    <cellStyle name="Normal 2 4 7 5 2 2" xfId="8090" xr:uid="{00000000-0005-0000-0000-0000F3100000}"/>
    <cellStyle name="Normal 2 4 7 5 2 2 2" xfId="16519" xr:uid="{4D87EA13-AD40-4BB1-98D8-8C52B3FC840C}"/>
    <cellStyle name="Normal 2 4 7 5 2 3" xfId="12301" xr:uid="{9D2D7080-8D29-4BA6-A81B-F566CF091593}"/>
    <cellStyle name="Normal 2 4 7 5 3" xfId="5945" xr:uid="{00000000-0005-0000-0000-0000F4100000}"/>
    <cellStyle name="Normal 2 4 7 5 3 2" xfId="14374" xr:uid="{16FC3F5D-972D-40BD-A140-DF51B5C577EE}"/>
    <cellStyle name="Normal 2 4 7 5 4" xfId="10156" xr:uid="{8D7C4C0A-5E24-4CE0-B32D-97830BF440CF}"/>
    <cellStyle name="Normal 2 4 7 6" xfId="2050" xr:uid="{00000000-0005-0000-0000-0000F5100000}"/>
    <cellStyle name="Normal 2 4 7 6 2" xfId="4279" xr:uid="{00000000-0005-0000-0000-0000F6100000}"/>
    <cellStyle name="Normal 2 4 7 6 2 2" xfId="8503" xr:uid="{00000000-0005-0000-0000-0000F7100000}"/>
    <cellStyle name="Normal 2 4 7 6 2 2 2" xfId="16932" xr:uid="{C16E4EE3-1373-4A64-9DDD-9B136CFE983C}"/>
    <cellStyle name="Normal 2 4 7 6 2 3" xfId="12714" xr:uid="{D0CBEF98-E65E-4AE3-A8F0-4EB3845828D8}"/>
    <cellStyle name="Normal 2 4 7 6 3" xfId="6358" xr:uid="{00000000-0005-0000-0000-0000F8100000}"/>
    <cellStyle name="Normal 2 4 7 6 3 2" xfId="14787" xr:uid="{62669C29-0FDD-478F-B7C6-C9985B0B3B8E}"/>
    <cellStyle name="Normal 2 4 7 6 4" xfId="10569" xr:uid="{25C60DE8-58DF-486F-A639-466D5EF03106}"/>
    <cellStyle name="Normal 2 4 7 7" xfId="2486" xr:uid="{00000000-0005-0000-0000-0000F9100000}"/>
    <cellStyle name="Normal 2 4 7 7 2" xfId="6771" xr:uid="{00000000-0005-0000-0000-0000FA100000}"/>
    <cellStyle name="Normal 2 4 7 7 2 2" xfId="15200" xr:uid="{266039DA-627A-4955-9C66-224B429B87B3}"/>
    <cellStyle name="Normal 2 4 7 7 3" xfId="10982" xr:uid="{A6C47358-B869-4E42-AA60-9F19C81CD075}"/>
    <cellStyle name="Normal 2 4 7 8" xfId="4705" xr:uid="{00000000-0005-0000-0000-0000FB100000}"/>
    <cellStyle name="Normal 2 4 7 8 2" xfId="13134" xr:uid="{45F66594-C347-487F-9377-10FDBEB570A3}"/>
    <cellStyle name="Normal 2 4 7 9" xfId="8916" xr:uid="{D119B3E2-F221-4D1D-A660-2D309B0326CD}"/>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2 2 2" xfId="15695" xr:uid="{4C57207A-32B4-4D10-9B81-1BB2438A5953}"/>
    <cellStyle name="Normal 2 4 8 2 2 3" xfId="11477" xr:uid="{D4A018C2-C2B1-4CEB-AD9C-C1B6AB5C2028}"/>
    <cellStyle name="Normal 2 4 8 2 3" xfId="5121" xr:uid="{00000000-0005-0000-0000-000000110000}"/>
    <cellStyle name="Normal 2 4 8 2 3 2" xfId="13550" xr:uid="{3C96C2FF-4CDD-49BA-9F25-6949229D2AE0}"/>
    <cellStyle name="Normal 2 4 8 2 4" xfId="9332" xr:uid="{C9DA859C-926B-49BF-A57D-984AAA12FB35}"/>
    <cellStyle name="Normal 2 4 8 3" xfId="1225" xr:uid="{00000000-0005-0000-0000-000001110000}"/>
    <cellStyle name="Normal 2 4 8 3 2" xfId="3455" xr:uid="{00000000-0005-0000-0000-000002110000}"/>
    <cellStyle name="Normal 2 4 8 3 2 2" xfId="7679" xr:uid="{00000000-0005-0000-0000-000003110000}"/>
    <cellStyle name="Normal 2 4 8 3 2 2 2" xfId="16108" xr:uid="{8C9E2B38-415B-4305-A278-D3B0DF9B047B}"/>
    <cellStyle name="Normal 2 4 8 3 2 3" xfId="11890" xr:uid="{40368CF4-5444-47CB-BC27-C5841AD9CC29}"/>
    <cellStyle name="Normal 2 4 8 3 3" xfId="5534" xr:uid="{00000000-0005-0000-0000-000004110000}"/>
    <cellStyle name="Normal 2 4 8 3 3 2" xfId="13963" xr:uid="{9B212502-7355-4B51-86BC-1AE9A2060E92}"/>
    <cellStyle name="Normal 2 4 8 3 4" xfId="9745" xr:uid="{5C2A4757-75FD-4A78-9791-77F9282D71C9}"/>
    <cellStyle name="Normal 2 4 8 4" xfId="1638" xr:uid="{00000000-0005-0000-0000-000005110000}"/>
    <cellStyle name="Normal 2 4 8 4 2" xfId="3868" xr:uid="{00000000-0005-0000-0000-000006110000}"/>
    <cellStyle name="Normal 2 4 8 4 2 2" xfId="8092" xr:uid="{00000000-0005-0000-0000-000007110000}"/>
    <cellStyle name="Normal 2 4 8 4 2 2 2" xfId="16521" xr:uid="{F732262D-0812-4DED-AAC4-BC36A255FF98}"/>
    <cellStyle name="Normal 2 4 8 4 2 3" xfId="12303" xr:uid="{AF5F8B0E-ACE8-4FB3-A5B6-1DB0460ABBB8}"/>
    <cellStyle name="Normal 2 4 8 4 3" xfId="5947" xr:uid="{00000000-0005-0000-0000-000008110000}"/>
    <cellStyle name="Normal 2 4 8 4 3 2" xfId="14376" xr:uid="{35DDB6F4-AF9A-4E56-91CF-FA0E61D1FA09}"/>
    <cellStyle name="Normal 2 4 8 4 4" xfId="10158" xr:uid="{1C005569-B094-4A15-8CE0-5BFAC116C35A}"/>
    <cellStyle name="Normal 2 4 8 5" xfId="2052" xr:uid="{00000000-0005-0000-0000-000009110000}"/>
    <cellStyle name="Normal 2 4 8 5 2" xfId="4281" xr:uid="{00000000-0005-0000-0000-00000A110000}"/>
    <cellStyle name="Normal 2 4 8 5 2 2" xfId="8505" xr:uid="{00000000-0005-0000-0000-00000B110000}"/>
    <cellStyle name="Normal 2 4 8 5 2 2 2" xfId="16934" xr:uid="{E0809FEF-53DC-4D18-A3A4-BDCCAC02743E}"/>
    <cellStyle name="Normal 2 4 8 5 2 3" xfId="12716" xr:uid="{C9015D35-9196-4F20-A66E-210807D17813}"/>
    <cellStyle name="Normal 2 4 8 5 3" xfId="6360" xr:uid="{00000000-0005-0000-0000-00000C110000}"/>
    <cellStyle name="Normal 2 4 8 5 3 2" xfId="14789" xr:uid="{C6EB9342-D5AE-43FA-A0CC-C722EE1BD9C3}"/>
    <cellStyle name="Normal 2 4 8 5 4" xfId="10571" xr:uid="{66FFC09A-2A03-49EB-B60F-A080876166F0}"/>
    <cellStyle name="Normal 2 4 8 6" xfId="2488" xr:uid="{00000000-0005-0000-0000-00000D110000}"/>
    <cellStyle name="Normal 2 4 8 6 2" xfId="6773" xr:uid="{00000000-0005-0000-0000-00000E110000}"/>
    <cellStyle name="Normal 2 4 8 6 2 2" xfId="15202" xr:uid="{8CFF1B01-9D39-4236-8BCA-3DF20293D344}"/>
    <cellStyle name="Normal 2 4 8 6 3" xfId="10984" xr:uid="{8605CE8E-1F97-4B44-8F5A-F63388B72D16}"/>
    <cellStyle name="Normal 2 4 8 7" xfId="4707" xr:uid="{00000000-0005-0000-0000-00000F110000}"/>
    <cellStyle name="Normal 2 4 8 7 2" xfId="13136" xr:uid="{EBC420F9-7187-41A2-AA6A-FE525E33F746}"/>
    <cellStyle name="Normal 2 4 8 8" xfId="8918" xr:uid="{DA6781B6-890F-4318-A938-094C930F4184}"/>
    <cellStyle name="Normal 2 5" xfId="315" xr:uid="{00000000-0005-0000-0000-000010110000}"/>
    <cellStyle name="Normal 2 5 10" xfId="4708" xr:uid="{00000000-0005-0000-0000-000011110000}"/>
    <cellStyle name="Normal 2 5 10 2" xfId="13137" xr:uid="{14BE808A-4B67-4154-ACC9-3FE5B6E6CE5B}"/>
    <cellStyle name="Normal 2 5 11" xfId="8919" xr:uid="{870B57FD-3CA7-4ABE-91F6-6FD47109AB7D}"/>
    <cellStyle name="Normal 2 5 2" xfId="316" xr:uid="{00000000-0005-0000-0000-000012110000}"/>
    <cellStyle name="Normal 2 5 3" xfId="317" xr:uid="{00000000-0005-0000-0000-000013110000}"/>
    <cellStyle name="Normal 2 5 4" xfId="318" xr:uid="{00000000-0005-0000-0000-000014110000}"/>
    <cellStyle name="Normal 2 5 4 10" xfId="8920" xr:uid="{A910CB9F-732E-49B4-BE3A-E22353BB5A0E}"/>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2 2 2" xfId="15699" xr:uid="{FD190958-5A04-4A4E-B27A-CCEDC0E07BED}"/>
    <cellStyle name="Normal 2 5 4 2 2 2 2 3" xfId="11481" xr:uid="{BBF94DEE-9B28-472D-8A99-511A7EEFFCC9}"/>
    <cellStyle name="Normal 2 5 4 2 2 2 3" xfId="5125" xr:uid="{00000000-0005-0000-0000-00001A110000}"/>
    <cellStyle name="Normal 2 5 4 2 2 2 3 2" xfId="13554" xr:uid="{BCFE420E-8249-4C16-99E6-4C68BC1F9B80}"/>
    <cellStyle name="Normal 2 5 4 2 2 2 4" xfId="9336" xr:uid="{2FCE92FB-2367-470B-A3E4-CB7563478FB9}"/>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2 2 2" xfId="16112" xr:uid="{29C5D4E6-EBDC-4532-B476-94F71828CC78}"/>
    <cellStyle name="Normal 2 5 4 2 2 3 2 3" xfId="11894" xr:uid="{E989C66C-2353-4BC5-8F70-4BCA022D7CCD}"/>
    <cellStyle name="Normal 2 5 4 2 2 3 3" xfId="5538" xr:uid="{00000000-0005-0000-0000-00001E110000}"/>
    <cellStyle name="Normal 2 5 4 2 2 3 3 2" xfId="13967" xr:uid="{F5C5E569-A6DB-464A-AC04-45FACD359C26}"/>
    <cellStyle name="Normal 2 5 4 2 2 3 4" xfId="9749" xr:uid="{BED82FD7-CAC8-4930-9A9D-36785213C2FF}"/>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2 2 2" xfId="16525" xr:uid="{3CD41F52-8611-468A-B9B5-521101ED4F21}"/>
    <cellStyle name="Normal 2 5 4 2 2 4 2 3" xfId="12307" xr:uid="{67CCC48B-4FB5-4CBB-BD75-5CCC88770D6E}"/>
    <cellStyle name="Normal 2 5 4 2 2 4 3" xfId="5951" xr:uid="{00000000-0005-0000-0000-000022110000}"/>
    <cellStyle name="Normal 2 5 4 2 2 4 3 2" xfId="14380" xr:uid="{F4D17493-6226-4DD2-8BC7-5AE58D7243A5}"/>
    <cellStyle name="Normal 2 5 4 2 2 4 4" xfId="10162" xr:uid="{90CE12BE-033E-41F3-B8A1-01D571764EB1}"/>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2 2 2" xfId="16938" xr:uid="{0B1C5E71-9C54-4781-BF5F-C2F9BE7D45D6}"/>
    <cellStyle name="Normal 2 5 4 2 2 5 2 3" xfId="12720" xr:uid="{1BE11191-45A9-4185-B974-D19B7E20B4E0}"/>
    <cellStyle name="Normal 2 5 4 2 2 5 3" xfId="6364" xr:uid="{00000000-0005-0000-0000-000026110000}"/>
    <cellStyle name="Normal 2 5 4 2 2 5 3 2" xfId="14793" xr:uid="{6D77B80D-7FF6-4F3E-989F-AD832CD56DC8}"/>
    <cellStyle name="Normal 2 5 4 2 2 5 4" xfId="10575" xr:uid="{D6684B09-8AF2-4334-994D-02831E920F01}"/>
    <cellStyle name="Normal 2 5 4 2 2 6" xfId="2492" xr:uid="{00000000-0005-0000-0000-000027110000}"/>
    <cellStyle name="Normal 2 5 4 2 2 6 2" xfId="6777" xr:uid="{00000000-0005-0000-0000-000028110000}"/>
    <cellStyle name="Normal 2 5 4 2 2 6 2 2" xfId="15206" xr:uid="{19EF2DE1-A778-4B8C-9E6E-2DA3E7BC454E}"/>
    <cellStyle name="Normal 2 5 4 2 2 6 3" xfId="10988" xr:uid="{6B70F2F3-66D4-42C4-8026-5DB27B88AAEF}"/>
    <cellStyle name="Normal 2 5 4 2 2 7" xfId="4711" xr:uid="{00000000-0005-0000-0000-000029110000}"/>
    <cellStyle name="Normal 2 5 4 2 2 7 2" xfId="13140" xr:uid="{F7FAE7A2-4E61-49A5-8063-CE1906F1B0A5}"/>
    <cellStyle name="Normal 2 5 4 2 2 8" xfId="8922" xr:uid="{C4BB97BC-0BC6-4DFE-8400-0174F2ADEFAE}"/>
    <cellStyle name="Normal 2 5 4 2 3" xfId="806" xr:uid="{00000000-0005-0000-0000-00002A110000}"/>
    <cellStyle name="Normal 2 5 4 2 3 2" xfId="3045" xr:uid="{00000000-0005-0000-0000-00002B110000}"/>
    <cellStyle name="Normal 2 5 4 2 3 2 2" xfId="7269" xr:uid="{00000000-0005-0000-0000-00002C110000}"/>
    <cellStyle name="Normal 2 5 4 2 3 2 2 2" xfId="15698" xr:uid="{2318B60E-56AD-4F9B-AFB0-FB66E9AFE761}"/>
    <cellStyle name="Normal 2 5 4 2 3 2 3" xfId="11480" xr:uid="{8B7203E2-9588-4029-BA11-10EC14C5FD99}"/>
    <cellStyle name="Normal 2 5 4 2 3 3" xfId="5124" xr:uid="{00000000-0005-0000-0000-00002D110000}"/>
    <cellStyle name="Normal 2 5 4 2 3 3 2" xfId="13553" xr:uid="{41A89769-6A22-4EF1-B9B8-9E4BC5C7116F}"/>
    <cellStyle name="Normal 2 5 4 2 3 4" xfId="9335" xr:uid="{F0BCF1BA-7E0F-4C37-B06F-020B42BEE9E0}"/>
    <cellStyle name="Normal 2 5 4 2 4" xfId="1228" xr:uid="{00000000-0005-0000-0000-00002E110000}"/>
    <cellStyle name="Normal 2 5 4 2 4 2" xfId="3458" xr:uid="{00000000-0005-0000-0000-00002F110000}"/>
    <cellStyle name="Normal 2 5 4 2 4 2 2" xfId="7682" xr:uid="{00000000-0005-0000-0000-000030110000}"/>
    <cellStyle name="Normal 2 5 4 2 4 2 2 2" xfId="16111" xr:uid="{B76E9EFF-2AA3-47BB-916B-4555B9C8EB81}"/>
    <cellStyle name="Normal 2 5 4 2 4 2 3" xfId="11893" xr:uid="{46B3EC1E-714C-416D-9978-D4DC0ED84ED6}"/>
    <cellStyle name="Normal 2 5 4 2 4 3" xfId="5537" xr:uid="{00000000-0005-0000-0000-000031110000}"/>
    <cellStyle name="Normal 2 5 4 2 4 3 2" xfId="13966" xr:uid="{F610BA52-72E0-4D2D-A10E-4B9286A7F8AC}"/>
    <cellStyle name="Normal 2 5 4 2 4 4" xfId="9748" xr:uid="{611C8EBD-7D02-43C6-ADBF-6C34C84157E5}"/>
    <cellStyle name="Normal 2 5 4 2 5" xfId="1641" xr:uid="{00000000-0005-0000-0000-000032110000}"/>
    <cellStyle name="Normal 2 5 4 2 5 2" xfId="3871" xr:uid="{00000000-0005-0000-0000-000033110000}"/>
    <cellStyle name="Normal 2 5 4 2 5 2 2" xfId="8095" xr:uid="{00000000-0005-0000-0000-000034110000}"/>
    <cellStyle name="Normal 2 5 4 2 5 2 2 2" xfId="16524" xr:uid="{BAADBCB2-0A70-414E-B2A6-B20D87FBC5D6}"/>
    <cellStyle name="Normal 2 5 4 2 5 2 3" xfId="12306" xr:uid="{8D715611-C403-41FD-8D86-2B7AECD61E3B}"/>
    <cellStyle name="Normal 2 5 4 2 5 3" xfId="5950" xr:uid="{00000000-0005-0000-0000-000035110000}"/>
    <cellStyle name="Normal 2 5 4 2 5 3 2" xfId="14379" xr:uid="{B064466A-C10F-481A-9073-6BC9929FB2FA}"/>
    <cellStyle name="Normal 2 5 4 2 5 4" xfId="10161" xr:uid="{25B6955F-2D4F-4E4D-84F3-150038F83059}"/>
    <cellStyle name="Normal 2 5 4 2 6" xfId="2055" xr:uid="{00000000-0005-0000-0000-000036110000}"/>
    <cellStyle name="Normal 2 5 4 2 6 2" xfId="4284" xr:uid="{00000000-0005-0000-0000-000037110000}"/>
    <cellStyle name="Normal 2 5 4 2 6 2 2" xfId="8508" xr:uid="{00000000-0005-0000-0000-000038110000}"/>
    <cellStyle name="Normal 2 5 4 2 6 2 2 2" xfId="16937" xr:uid="{6058E6EB-EE76-4F50-8648-0D8BE31810BD}"/>
    <cellStyle name="Normal 2 5 4 2 6 2 3" xfId="12719" xr:uid="{9663B9F9-978C-480D-AA03-47A1E716DFAB}"/>
    <cellStyle name="Normal 2 5 4 2 6 3" xfId="6363" xr:uid="{00000000-0005-0000-0000-000039110000}"/>
    <cellStyle name="Normal 2 5 4 2 6 3 2" xfId="14792" xr:uid="{D6887157-7F75-440F-B52D-416DDF08CB06}"/>
    <cellStyle name="Normal 2 5 4 2 6 4" xfId="10574" xr:uid="{BCD343BD-B21C-4B0A-84F4-51ED1998F424}"/>
    <cellStyle name="Normal 2 5 4 2 7" xfId="2491" xr:uid="{00000000-0005-0000-0000-00003A110000}"/>
    <cellStyle name="Normal 2 5 4 2 7 2" xfId="6776" xr:uid="{00000000-0005-0000-0000-00003B110000}"/>
    <cellStyle name="Normal 2 5 4 2 7 2 2" xfId="15205" xr:uid="{0074B630-419A-41C3-8190-1B80EF3DB98A}"/>
    <cellStyle name="Normal 2 5 4 2 7 3" xfId="10987" xr:uid="{D5C38838-4822-474A-8A64-A9373ED93344}"/>
    <cellStyle name="Normal 2 5 4 2 8" xfId="4710" xr:uid="{00000000-0005-0000-0000-00003C110000}"/>
    <cellStyle name="Normal 2 5 4 2 8 2" xfId="13139" xr:uid="{A2AD2142-354A-4DCC-87BC-5ADA1C11888C}"/>
    <cellStyle name="Normal 2 5 4 2 9" xfId="8921" xr:uid="{9A8A615E-DFAA-4AEE-B99E-E24720037A57}"/>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2 2 2" xfId="15700" xr:uid="{24ABC646-EF24-486F-9FBE-8202E73E1DE5}"/>
    <cellStyle name="Normal 2 5 4 3 2 2 3" xfId="11482" xr:uid="{4A5E7E4F-C168-424C-8333-595037C3342F}"/>
    <cellStyle name="Normal 2 5 4 3 2 3" xfId="5126" xr:uid="{00000000-0005-0000-0000-000041110000}"/>
    <cellStyle name="Normal 2 5 4 3 2 3 2" xfId="13555" xr:uid="{476EE66D-DAD8-4D5B-BA50-4986596ECE7C}"/>
    <cellStyle name="Normal 2 5 4 3 2 4" xfId="9337" xr:uid="{F5FD2050-A673-4067-8383-790B7D6E4966}"/>
    <cellStyle name="Normal 2 5 4 3 3" xfId="1230" xr:uid="{00000000-0005-0000-0000-000042110000}"/>
    <cellStyle name="Normal 2 5 4 3 3 2" xfId="3460" xr:uid="{00000000-0005-0000-0000-000043110000}"/>
    <cellStyle name="Normal 2 5 4 3 3 2 2" xfId="7684" xr:uid="{00000000-0005-0000-0000-000044110000}"/>
    <cellStyle name="Normal 2 5 4 3 3 2 2 2" xfId="16113" xr:uid="{07679C56-C55E-483B-9350-4DAC3575C56D}"/>
    <cellStyle name="Normal 2 5 4 3 3 2 3" xfId="11895" xr:uid="{34BDD754-42EF-49D2-8121-20ABB9A7AC86}"/>
    <cellStyle name="Normal 2 5 4 3 3 3" xfId="5539" xr:uid="{00000000-0005-0000-0000-000045110000}"/>
    <cellStyle name="Normal 2 5 4 3 3 3 2" xfId="13968" xr:uid="{1C3B2797-758A-4488-966A-81E5A285E635}"/>
    <cellStyle name="Normal 2 5 4 3 3 4" xfId="9750" xr:uid="{E021CA36-2993-4F18-828C-726766AE19DF}"/>
    <cellStyle name="Normal 2 5 4 3 4" xfId="1643" xr:uid="{00000000-0005-0000-0000-000046110000}"/>
    <cellStyle name="Normal 2 5 4 3 4 2" xfId="3873" xr:uid="{00000000-0005-0000-0000-000047110000}"/>
    <cellStyle name="Normal 2 5 4 3 4 2 2" xfId="8097" xr:uid="{00000000-0005-0000-0000-000048110000}"/>
    <cellStyle name="Normal 2 5 4 3 4 2 2 2" xfId="16526" xr:uid="{AA5DB375-A1CD-431F-B8BE-7583FCB770C7}"/>
    <cellStyle name="Normal 2 5 4 3 4 2 3" xfId="12308" xr:uid="{770E3909-3881-4BCF-8243-CA212674B0E4}"/>
    <cellStyle name="Normal 2 5 4 3 4 3" xfId="5952" xr:uid="{00000000-0005-0000-0000-000049110000}"/>
    <cellStyle name="Normal 2 5 4 3 4 3 2" xfId="14381" xr:uid="{B7D5E430-7864-42D9-98D4-62F4BB6A92EE}"/>
    <cellStyle name="Normal 2 5 4 3 4 4" xfId="10163" xr:uid="{DA0FABBC-EAAD-4EC7-A6D6-5D7A98D5D64D}"/>
    <cellStyle name="Normal 2 5 4 3 5" xfId="2057" xr:uid="{00000000-0005-0000-0000-00004A110000}"/>
    <cellStyle name="Normal 2 5 4 3 5 2" xfId="4286" xr:uid="{00000000-0005-0000-0000-00004B110000}"/>
    <cellStyle name="Normal 2 5 4 3 5 2 2" xfId="8510" xr:uid="{00000000-0005-0000-0000-00004C110000}"/>
    <cellStyle name="Normal 2 5 4 3 5 2 2 2" xfId="16939" xr:uid="{DF3B56E4-98C6-45E9-B0D6-991BBEF5DB1D}"/>
    <cellStyle name="Normal 2 5 4 3 5 2 3" xfId="12721" xr:uid="{3711995F-2F8F-4427-B100-068604437673}"/>
    <cellStyle name="Normal 2 5 4 3 5 3" xfId="6365" xr:uid="{00000000-0005-0000-0000-00004D110000}"/>
    <cellStyle name="Normal 2 5 4 3 5 3 2" xfId="14794" xr:uid="{06F62CEA-DEBF-4A41-9A7E-1D1FD81433AD}"/>
    <cellStyle name="Normal 2 5 4 3 5 4" xfId="10576" xr:uid="{99BEA43C-8D17-4668-902B-F8985681B44A}"/>
    <cellStyle name="Normal 2 5 4 3 6" xfId="2493" xr:uid="{00000000-0005-0000-0000-00004E110000}"/>
    <cellStyle name="Normal 2 5 4 3 6 2" xfId="6778" xr:uid="{00000000-0005-0000-0000-00004F110000}"/>
    <cellStyle name="Normal 2 5 4 3 6 2 2" xfId="15207" xr:uid="{39DC2201-135B-40EF-BA0F-15291C57E4B0}"/>
    <cellStyle name="Normal 2 5 4 3 6 3" xfId="10989" xr:uid="{D6EE9908-87EF-480B-B1BB-F1E3A0782410}"/>
    <cellStyle name="Normal 2 5 4 3 7" xfId="4712" xr:uid="{00000000-0005-0000-0000-000050110000}"/>
    <cellStyle name="Normal 2 5 4 3 7 2" xfId="13141" xr:uid="{682867EA-38B1-4176-A98E-85EF6ED625D7}"/>
    <cellStyle name="Normal 2 5 4 3 8" xfId="8923" xr:uid="{2CCDDE00-7E8B-4CF8-8692-36E499E89DEF}"/>
    <cellStyle name="Normal 2 5 4 4" xfId="805" xr:uid="{00000000-0005-0000-0000-000051110000}"/>
    <cellStyle name="Normal 2 5 4 4 2" xfId="3044" xr:uid="{00000000-0005-0000-0000-000052110000}"/>
    <cellStyle name="Normal 2 5 4 4 2 2" xfId="7268" xr:uid="{00000000-0005-0000-0000-000053110000}"/>
    <cellStyle name="Normal 2 5 4 4 2 2 2" xfId="15697" xr:uid="{5DF60825-ED56-4025-95EA-607FD5897E28}"/>
    <cellStyle name="Normal 2 5 4 4 2 3" xfId="11479" xr:uid="{5A1E686A-4231-4DEE-8639-F54407A3084F}"/>
    <cellStyle name="Normal 2 5 4 4 3" xfId="5123" xr:uid="{00000000-0005-0000-0000-000054110000}"/>
    <cellStyle name="Normal 2 5 4 4 3 2" xfId="13552" xr:uid="{D40F3122-DD2C-4BE4-B8D3-5598D5037CAA}"/>
    <cellStyle name="Normal 2 5 4 4 4" xfId="9334" xr:uid="{27044260-873E-4F2F-A88F-57BBA5A7DBF8}"/>
    <cellStyle name="Normal 2 5 4 5" xfId="1227" xr:uid="{00000000-0005-0000-0000-000055110000}"/>
    <cellStyle name="Normal 2 5 4 5 2" xfId="3457" xr:uid="{00000000-0005-0000-0000-000056110000}"/>
    <cellStyle name="Normal 2 5 4 5 2 2" xfId="7681" xr:uid="{00000000-0005-0000-0000-000057110000}"/>
    <cellStyle name="Normal 2 5 4 5 2 2 2" xfId="16110" xr:uid="{D8C104EC-EED3-4712-AE1E-BB010194BC1A}"/>
    <cellStyle name="Normal 2 5 4 5 2 3" xfId="11892" xr:uid="{B12BF301-5399-4CD8-A179-101F08263E9B}"/>
    <cellStyle name="Normal 2 5 4 5 3" xfId="5536" xr:uid="{00000000-0005-0000-0000-000058110000}"/>
    <cellStyle name="Normal 2 5 4 5 3 2" xfId="13965" xr:uid="{D6786FA4-CC76-4A8D-AD52-F56CA6B12638}"/>
    <cellStyle name="Normal 2 5 4 5 4" xfId="9747" xr:uid="{68394837-0C5D-492F-82F7-950E0F439E6D}"/>
    <cellStyle name="Normal 2 5 4 6" xfId="1640" xr:uid="{00000000-0005-0000-0000-000059110000}"/>
    <cellStyle name="Normal 2 5 4 6 2" xfId="3870" xr:uid="{00000000-0005-0000-0000-00005A110000}"/>
    <cellStyle name="Normal 2 5 4 6 2 2" xfId="8094" xr:uid="{00000000-0005-0000-0000-00005B110000}"/>
    <cellStyle name="Normal 2 5 4 6 2 2 2" xfId="16523" xr:uid="{1F679AFE-871D-49E8-A9A4-8C08BAE99721}"/>
    <cellStyle name="Normal 2 5 4 6 2 3" xfId="12305" xr:uid="{FE1D4B49-DAF4-49E7-834F-8289EE15519E}"/>
    <cellStyle name="Normal 2 5 4 6 3" xfId="5949" xr:uid="{00000000-0005-0000-0000-00005C110000}"/>
    <cellStyle name="Normal 2 5 4 6 3 2" xfId="14378" xr:uid="{B67EC99C-7D8D-4A59-8D99-CBB187A2B122}"/>
    <cellStyle name="Normal 2 5 4 6 4" xfId="10160" xr:uid="{F30ADC9E-4ACE-461F-9C3D-401D6115823B}"/>
    <cellStyle name="Normal 2 5 4 7" xfId="2054" xr:uid="{00000000-0005-0000-0000-00005D110000}"/>
    <cellStyle name="Normal 2 5 4 7 2" xfId="4283" xr:uid="{00000000-0005-0000-0000-00005E110000}"/>
    <cellStyle name="Normal 2 5 4 7 2 2" xfId="8507" xr:uid="{00000000-0005-0000-0000-00005F110000}"/>
    <cellStyle name="Normal 2 5 4 7 2 2 2" xfId="16936" xr:uid="{6DFC04C3-C9CE-48AA-A7D2-7093A28C145A}"/>
    <cellStyle name="Normal 2 5 4 7 2 3" xfId="12718" xr:uid="{1A8B4893-444C-424B-A749-B8140A927A1D}"/>
    <cellStyle name="Normal 2 5 4 7 3" xfId="6362" xr:uid="{00000000-0005-0000-0000-000060110000}"/>
    <cellStyle name="Normal 2 5 4 7 3 2" xfId="14791" xr:uid="{A860AFF3-54D5-4B74-BFD0-921D453FCFC3}"/>
    <cellStyle name="Normal 2 5 4 7 4" xfId="10573" xr:uid="{86DF084C-0902-425C-AC09-5C8AB2D89EA0}"/>
    <cellStyle name="Normal 2 5 4 8" xfId="2490" xr:uid="{00000000-0005-0000-0000-000061110000}"/>
    <cellStyle name="Normal 2 5 4 8 2" xfId="6775" xr:uid="{00000000-0005-0000-0000-000062110000}"/>
    <cellStyle name="Normal 2 5 4 8 2 2" xfId="15204" xr:uid="{1F9C1A24-8D7E-400F-A384-D9C2F3120AAF}"/>
    <cellStyle name="Normal 2 5 4 8 3" xfId="10986" xr:uid="{9F244E21-1D01-44AE-8881-CC293C610B27}"/>
    <cellStyle name="Normal 2 5 4 9" xfId="4709" xr:uid="{00000000-0005-0000-0000-000063110000}"/>
    <cellStyle name="Normal 2 5 4 9 2" xfId="13138" xr:uid="{AFE8B6D8-3516-40DB-9CF8-3237E8CE0861}"/>
    <cellStyle name="Normal 2 5 5" xfId="804" xr:uid="{00000000-0005-0000-0000-000064110000}"/>
    <cellStyle name="Normal 2 5 5 2" xfId="3043" xr:uid="{00000000-0005-0000-0000-000065110000}"/>
    <cellStyle name="Normal 2 5 5 2 2" xfId="7267" xr:uid="{00000000-0005-0000-0000-000066110000}"/>
    <cellStyle name="Normal 2 5 5 2 2 2" xfId="15696" xr:uid="{E8915151-307A-4C99-B65A-F530B46E1694}"/>
    <cellStyle name="Normal 2 5 5 2 3" xfId="11478" xr:uid="{35CF235A-AF9A-4469-A06A-53316AA716C6}"/>
    <cellStyle name="Normal 2 5 5 3" xfId="5122" xr:uid="{00000000-0005-0000-0000-000067110000}"/>
    <cellStyle name="Normal 2 5 5 3 2" xfId="13551" xr:uid="{6D176F29-8746-4BE9-969C-995952868597}"/>
    <cellStyle name="Normal 2 5 5 4" xfId="9333" xr:uid="{78180F88-C270-4CA2-92AE-4161ACDCD54D}"/>
    <cellStyle name="Normal 2 5 6" xfId="1226" xr:uid="{00000000-0005-0000-0000-000068110000}"/>
    <cellStyle name="Normal 2 5 6 2" xfId="3456" xr:uid="{00000000-0005-0000-0000-000069110000}"/>
    <cellStyle name="Normal 2 5 6 2 2" xfId="7680" xr:uid="{00000000-0005-0000-0000-00006A110000}"/>
    <cellStyle name="Normal 2 5 6 2 2 2" xfId="16109" xr:uid="{40696359-CE70-47E6-9C74-1746712DAD3D}"/>
    <cellStyle name="Normal 2 5 6 2 3" xfId="11891" xr:uid="{2F7D89CE-76EC-4625-B7EE-7B2A8335F707}"/>
    <cellStyle name="Normal 2 5 6 3" xfId="5535" xr:uid="{00000000-0005-0000-0000-00006B110000}"/>
    <cellStyle name="Normal 2 5 6 3 2" xfId="13964" xr:uid="{F5336DB1-5B09-4963-A264-F34BEC315D6F}"/>
    <cellStyle name="Normal 2 5 6 4" xfId="9746" xr:uid="{BC779FEE-564B-48F7-AEE8-704384F64964}"/>
    <cellStyle name="Normal 2 5 7" xfId="1639" xr:uid="{00000000-0005-0000-0000-00006C110000}"/>
    <cellStyle name="Normal 2 5 7 2" xfId="3869" xr:uid="{00000000-0005-0000-0000-00006D110000}"/>
    <cellStyle name="Normal 2 5 7 2 2" xfId="8093" xr:uid="{00000000-0005-0000-0000-00006E110000}"/>
    <cellStyle name="Normal 2 5 7 2 2 2" xfId="16522" xr:uid="{6799F300-D201-4706-BA7E-165E097CF454}"/>
    <cellStyle name="Normal 2 5 7 2 3" xfId="12304" xr:uid="{77C0E14D-CB68-4B57-A831-C3E5AEDA7A04}"/>
    <cellStyle name="Normal 2 5 7 3" xfId="5948" xr:uid="{00000000-0005-0000-0000-00006F110000}"/>
    <cellStyle name="Normal 2 5 7 3 2" xfId="14377" xr:uid="{D02E22BD-F55C-4932-A713-71A770F46839}"/>
    <cellStyle name="Normal 2 5 7 4" xfId="10159" xr:uid="{5BD744EA-F1F9-4AEF-B825-FB3AAA77C65C}"/>
    <cellStyle name="Normal 2 5 8" xfId="2053" xr:uid="{00000000-0005-0000-0000-000070110000}"/>
    <cellStyle name="Normal 2 5 8 2" xfId="4282" xr:uid="{00000000-0005-0000-0000-000071110000}"/>
    <cellStyle name="Normal 2 5 8 2 2" xfId="8506" xr:uid="{00000000-0005-0000-0000-000072110000}"/>
    <cellStyle name="Normal 2 5 8 2 2 2" xfId="16935" xr:uid="{CA5F7A9D-A24F-419A-984F-B263E4288365}"/>
    <cellStyle name="Normal 2 5 8 2 3" xfId="12717" xr:uid="{684AE804-79C1-4D3D-A54F-71660555F4A6}"/>
    <cellStyle name="Normal 2 5 8 3" xfId="6361" xr:uid="{00000000-0005-0000-0000-000073110000}"/>
    <cellStyle name="Normal 2 5 8 3 2" xfId="14790" xr:uid="{97A1D948-8A20-4A39-9724-84CE7377C772}"/>
    <cellStyle name="Normal 2 5 8 4" xfId="10572" xr:uid="{6AF7EC3B-0B6F-46E9-BA04-6F64D2859F7A}"/>
    <cellStyle name="Normal 2 5 9" xfId="2489" xr:uid="{00000000-0005-0000-0000-000074110000}"/>
    <cellStyle name="Normal 2 5 9 2" xfId="6774" xr:uid="{00000000-0005-0000-0000-000075110000}"/>
    <cellStyle name="Normal 2 5 9 2 2" xfId="15203" xr:uid="{29B21A24-021C-43C5-A20E-62A1F05BE707}"/>
    <cellStyle name="Normal 2 5 9 3" xfId="10985" xr:uid="{6FD2F9C5-F6A6-4CAD-8A68-4BC2685FD2F8}"/>
    <cellStyle name="Normal 2 6" xfId="322" xr:uid="{00000000-0005-0000-0000-000076110000}"/>
    <cellStyle name="Normal 2 7" xfId="770" xr:uid="{00000000-0005-0000-0000-000077110000}"/>
    <cellStyle name="Normal 2 8" xfId="4496" xr:uid="{00000000-0005-0000-0000-000078110000}"/>
    <cellStyle name="Normal 2 8 2" xfId="12929" xr:uid="{34D050C6-3236-40B1-9613-8D7ECBF3ADB4}"/>
    <cellStyle name="Normal 3" xfId="323" xr:uid="{00000000-0005-0000-0000-000079110000}"/>
    <cellStyle name="Normal 3 2" xfId="324" xr:uid="{00000000-0005-0000-0000-00007A110000}"/>
    <cellStyle name="Normal 3 2 10" xfId="8924" xr:uid="{6A47D6C4-BA8B-4EF8-924F-62123C60DC05}"/>
    <cellStyle name="Normal 3 2 2" xfId="325" xr:uid="{00000000-0005-0000-0000-00007B110000}"/>
    <cellStyle name="Normal 3 2 2 2" xfId="811" xr:uid="{00000000-0005-0000-0000-00007C110000}"/>
    <cellStyle name="Normal 3 2 3" xfId="326" xr:uid="{00000000-0005-0000-0000-00007D110000}"/>
    <cellStyle name="Normal 3 2 3 10" xfId="8925" xr:uid="{1F55C58E-6CF7-44CD-9ED7-8870F7175308}"/>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2 2 2" xfId="15704" xr:uid="{99CD2A17-8981-49E5-BE78-C6C3142582C6}"/>
    <cellStyle name="Normal 3 2 3 2 2 2 2 3" xfId="11486" xr:uid="{16D38696-3BB4-4A88-9826-3BC1A435ED09}"/>
    <cellStyle name="Normal 3 2 3 2 2 2 3" xfId="5130" xr:uid="{00000000-0005-0000-0000-000083110000}"/>
    <cellStyle name="Normal 3 2 3 2 2 2 3 2" xfId="13559" xr:uid="{55BF0F2D-6AAA-4747-A9B4-0F1C73BE5B08}"/>
    <cellStyle name="Normal 3 2 3 2 2 2 4" xfId="9341" xr:uid="{04F28D4C-4280-41AF-9149-DF8725269028}"/>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2 2 2" xfId="16117" xr:uid="{10038584-259B-4528-B413-5B38F076D31D}"/>
    <cellStyle name="Normal 3 2 3 2 2 3 2 3" xfId="11899" xr:uid="{78C39476-CDC8-4F1C-89E8-7FE6E882055D}"/>
    <cellStyle name="Normal 3 2 3 2 2 3 3" xfId="5543" xr:uid="{00000000-0005-0000-0000-000087110000}"/>
    <cellStyle name="Normal 3 2 3 2 2 3 3 2" xfId="13972" xr:uid="{37E44F4F-B99B-446F-95CF-389D6BB7DF9A}"/>
    <cellStyle name="Normal 3 2 3 2 2 3 4" xfId="9754" xr:uid="{AB09BD1D-FDD0-4BAE-BB2D-0019DED6C838}"/>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2 2 2" xfId="16530" xr:uid="{79EABEB4-5230-4964-8D2E-AAB9A46FED47}"/>
    <cellStyle name="Normal 3 2 3 2 2 4 2 3" xfId="12312" xr:uid="{31E4EC07-BCE5-4CAC-828A-29DE13248302}"/>
    <cellStyle name="Normal 3 2 3 2 2 4 3" xfId="5956" xr:uid="{00000000-0005-0000-0000-00008B110000}"/>
    <cellStyle name="Normal 3 2 3 2 2 4 3 2" xfId="14385" xr:uid="{341B65DE-77CC-4743-BC86-A9897EB014D0}"/>
    <cellStyle name="Normal 3 2 3 2 2 4 4" xfId="10167" xr:uid="{F411F4BB-A8D3-4C3B-8AD0-B89042216F8F}"/>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2 2 2" xfId="16943" xr:uid="{52AEBC59-C940-48A0-B875-D0E0F6A71E42}"/>
    <cellStyle name="Normal 3 2 3 2 2 5 2 3" xfId="12725" xr:uid="{F775F156-25B8-47FC-B369-44FEEF73E4EB}"/>
    <cellStyle name="Normal 3 2 3 2 2 5 3" xfId="6369" xr:uid="{00000000-0005-0000-0000-00008F110000}"/>
    <cellStyle name="Normal 3 2 3 2 2 5 3 2" xfId="14798" xr:uid="{3D33EB7C-D99C-42D7-BDD9-C070328C6ABF}"/>
    <cellStyle name="Normal 3 2 3 2 2 5 4" xfId="10580" xr:uid="{644CFB8A-3875-4AD4-88E6-D9EA3E49B6E3}"/>
    <cellStyle name="Normal 3 2 3 2 2 6" xfId="2497" xr:uid="{00000000-0005-0000-0000-000090110000}"/>
    <cellStyle name="Normal 3 2 3 2 2 6 2" xfId="6782" xr:uid="{00000000-0005-0000-0000-000091110000}"/>
    <cellStyle name="Normal 3 2 3 2 2 6 2 2" xfId="15211" xr:uid="{E35D2244-1734-4EF6-8572-44BE491A1876}"/>
    <cellStyle name="Normal 3 2 3 2 2 6 3" xfId="10993" xr:uid="{29E0ABAB-97BC-4491-9E2F-015D452109B0}"/>
    <cellStyle name="Normal 3 2 3 2 2 7" xfId="4716" xr:uid="{00000000-0005-0000-0000-000092110000}"/>
    <cellStyle name="Normal 3 2 3 2 2 7 2" xfId="13145" xr:uid="{0B7DFEA1-8887-4B94-B2C1-DA92954538D6}"/>
    <cellStyle name="Normal 3 2 3 2 2 8" xfId="8927" xr:uid="{60340257-2DD1-4048-B906-880FFA2A0C44}"/>
    <cellStyle name="Normal 3 2 3 2 3" xfId="813" xr:uid="{00000000-0005-0000-0000-000093110000}"/>
    <cellStyle name="Normal 3 2 3 2 3 2" xfId="3050" xr:uid="{00000000-0005-0000-0000-000094110000}"/>
    <cellStyle name="Normal 3 2 3 2 3 2 2" xfId="7274" xr:uid="{00000000-0005-0000-0000-000095110000}"/>
    <cellStyle name="Normal 3 2 3 2 3 2 2 2" xfId="15703" xr:uid="{20599B10-5C17-4335-BBFF-BD64865EABFE}"/>
    <cellStyle name="Normal 3 2 3 2 3 2 3" xfId="11485" xr:uid="{E7728F29-1EBD-463E-8A76-A77FEB8272A7}"/>
    <cellStyle name="Normal 3 2 3 2 3 3" xfId="5129" xr:uid="{00000000-0005-0000-0000-000096110000}"/>
    <cellStyle name="Normal 3 2 3 2 3 3 2" xfId="13558" xr:uid="{811CDFDD-8BA9-4B6D-A9CB-5F1173CF2262}"/>
    <cellStyle name="Normal 3 2 3 2 3 4" xfId="9340" xr:uid="{757E1562-2DD1-486A-B869-AD66B2BA3B60}"/>
    <cellStyle name="Normal 3 2 3 2 4" xfId="1233" xr:uid="{00000000-0005-0000-0000-000097110000}"/>
    <cellStyle name="Normal 3 2 3 2 4 2" xfId="3463" xr:uid="{00000000-0005-0000-0000-000098110000}"/>
    <cellStyle name="Normal 3 2 3 2 4 2 2" xfId="7687" xr:uid="{00000000-0005-0000-0000-000099110000}"/>
    <cellStyle name="Normal 3 2 3 2 4 2 2 2" xfId="16116" xr:uid="{03008DFF-96F9-4225-9696-A279CA0C8780}"/>
    <cellStyle name="Normal 3 2 3 2 4 2 3" xfId="11898" xr:uid="{00A73822-53D1-4786-9CE1-DDF527F1BCB6}"/>
    <cellStyle name="Normal 3 2 3 2 4 3" xfId="5542" xr:uid="{00000000-0005-0000-0000-00009A110000}"/>
    <cellStyle name="Normal 3 2 3 2 4 3 2" xfId="13971" xr:uid="{D3F58F6F-D0C9-4360-AA9B-3C41AD22E493}"/>
    <cellStyle name="Normal 3 2 3 2 4 4" xfId="9753" xr:uid="{9CEC72BA-B3E5-4526-9875-6FA9DECB1090}"/>
    <cellStyle name="Normal 3 2 3 2 5" xfId="1646" xr:uid="{00000000-0005-0000-0000-00009B110000}"/>
    <cellStyle name="Normal 3 2 3 2 5 2" xfId="3876" xr:uid="{00000000-0005-0000-0000-00009C110000}"/>
    <cellStyle name="Normal 3 2 3 2 5 2 2" xfId="8100" xr:uid="{00000000-0005-0000-0000-00009D110000}"/>
    <cellStyle name="Normal 3 2 3 2 5 2 2 2" xfId="16529" xr:uid="{30460523-70A9-43A6-B977-92622C86BA86}"/>
    <cellStyle name="Normal 3 2 3 2 5 2 3" xfId="12311" xr:uid="{BE03DF28-A090-4DB5-97DF-B7FF2AEEFD45}"/>
    <cellStyle name="Normal 3 2 3 2 5 3" xfId="5955" xr:uid="{00000000-0005-0000-0000-00009E110000}"/>
    <cellStyle name="Normal 3 2 3 2 5 3 2" xfId="14384" xr:uid="{82B35773-B20C-494A-A332-104DE75A057E}"/>
    <cellStyle name="Normal 3 2 3 2 5 4" xfId="10166" xr:uid="{460F29AF-0950-4AE0-8CC1-E4F9731F49C0}"/>
    <cellStyle name="Normal 3 2 3 2 6" xfId="2060" xr:uid="{00000000-0005-0000-0000-00009F110000}"/>
    <cellStyle name="Normal 3 2 3 2 6 2" xfId="4289" xr:uid="{00000000-0005-0000-0000-0000A0110000}"/>
    <cellStyle name="Normal 3 2 3 2 6 2 2" xfId="8513" xr:uid="{00000000-0005-0000-0000-0000A1110000}"/>
    <cellStyle name="Normal 3 2 3 2 6 2 2 2" xfId="16942" xr:uid="{D2874474-C046-4F4F-B19B-13C4B48372B7}"/>
    <cellStyle name="Normal 3 2 3 2 6 2 3" xfId="12724" xr:uid="{553BCC76-9FE0-4A95-84F2-34C547357672}"/>
    <cellStyle name="Normal 3 2 3 2 6 3" xfId="6368" xr:uid="{00000000-0005-0000-0000-0000A2110000}"/>
    <cellStyle name="Normal 3 2 3 2 6 3 2" xfId="14797" xr:uid="{9CAE73D6-BB0E-48BB-AE11-D58EABF26C3D}"/>
    <cellStyle name="Normal 3 2 3 2 6 4" xfId="10579" xr:uid="{42AE8A10-2FCB-44AB-82AD-1FF338D738C6}"/>
    <cellStyle name="Normal 3 2 3 2 7" xfId="2496" xr:uid="{00000000-0005-0000-0000-0000A3110000}"/>
    <cellStyle name="Normal 3 2 3 2 7 2" xfId="6781" xr:uid="{00000000-0005-0000-0000-0000A4110000}"/>
    <cellStyle name="Normal 3 2 3 2 7 2 2" xfId="15210" xr:uid="{38CDE754-554D-4E16-B270-2CD99DE0FC85}"/>
    <cellStyle name="Normal 3 2 3 2 7 3" xfId="10992" xr:uid="{E1DA9DC5-43E7-4E98-87C1-7336F7A810E8}"/>
    <cellStyle name="Normal 3 2 3 2 8" xfId="4715" xr:uid="{00000000-0005-0000-0000-0000A5110000}"/>
    <cellStyle name="Normal 3 2 3 2 8 2" xfId="13144" xr:uid="{1787A97F-93D1-4EC6-9EE1-066D4D4F280D}"/>
    <cellStyle name="Normal 3 2 3 2 9" xfId="8926" xr:uid="{BA241766-E4DF-4377-A9FB-BFFAC331C5A7}"/>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2 2 2" xfId="15705" xr:uid="{B8A540CA-A100-44D9-8863-24E8C877B9B5}"/>
    <cellStyle name="Normal 3 2 3 3 2 2 3" xfId="11487" xr:uid="{70BE5C32-436A-4651-A6C6-D8362685216E}"/>
    <cellStyle name="Normal 3 2 3 3 2 3" xfId="5131" xr:uid="{00000000-0005-0000-0000-0000AA110000}"/>
    <cellStyle name="Normal 3 2 3 3 2 3 2" xfId="13560" xr:uid="{9E75B0E3-25FF-441D-9C98-EF1B885ABD95}"/>
    <cellStyle name="Normal 3 2 3 3 2 4" xfId="9342" xr:uid="{4FB17ECA-C6F9-465E-A0B1-956241E979C7}"/>
    <cellStyle name="Normal 3 2 3 3 3" xfId="1235" xr:uid="{00000000-0005-0000-0000-0000AB110000}"/>
    <cellStyle name="Normal 3 2 3 3 3 2" xfId="3465" xr:uid="{00000000-0005-0000-0000-0000AC110000}"/>
    <cellStyle name="Normal 3 2 3 3 3 2 2" xfId="7689" xr:uid="{00000000-0005-0000-0000-0000AD110000}"/>
    <cellStyle name="Normal 3 2 3 3 3 2 2 2" xfId="16118" xr:uid="{F43A97E6-8966-488C-B826-DC8D69BF3602}"/>
    <cellStyle name="Normal 3 2 3 3 3 2 3" xfId="11900" xr:uid="{D7939DCF-2D7D-464E-AFFB-2EDE39989DE7}"/>
    <cellStyle name="Normal 3 2 3 3 3 3" xfId="5544" xr:uid="{00000000-0005-0000-0000-0000AE110000}"/>
    <cellStyle name="Normal 3 2 3 3 3 3 2" xfId="13973" xr:uid="{7D9F73C9-40EA-4BE9-8241-8F36CF99C5B5}"/>
    <cellStyle name="Normal 3 2 3 3 3 4" xfId="9755" xr:uid="{913B34A2-2D23-4923-922B-00B5DF7EEDB8}"/>
    <cellStyle name="Normal 3 2 3 3 4" xfId="1648" xr:uid="{00000000-0005-0000-0000-0000AF110000}"/>
    <cellStyle name="Normal 3 2 3 3 4 2" xfId="3878" xr:uid="{00000000-0005-0000-0000-0000B0110000}"/>
    <cellStyle name="Normal 3 2 3 3 4 2 2" xfId="8102" xr:uid="{00000000-0005-0000-0000-0000B1110000}"/>
    <cellStyle name="Normal 3 2 3 3 4 2 2 2" xfId="16531" xr:uid="{C69EB409-9C82-49D4-B904-0710FBCF3618}"/>
    <cellStyle name="Normal 3 2 3 3 4 2 3" xfId="12313" xr:uid="{ECF87068-B665-4A6C-B1B3-F877E32FECA6}"/>
    <cellStyle name="Normal 3 2 3 3 4 3" xfId="5957" xr:uid="{00000000-0005-0000-0000-0000B2110000}"/>
    <cellStyle name="Normal 3 2 3 3 4 3 2" xfId="14386" xr:uid="{0FCB6C94-4A79-4A46-A48C-F8177BCEF482}"/>
    <cellStyle name="Normal 3 2 3 3 4 4" xfId="10168" xr:uid="{423C76AC-C4B4-4AA9-8843-153174B0A91F}"/>
    <cellStyle name="Normal 3 2 3 3 5" xfId="2062" xr:uid="{00000000-0005-0000-0000-0000B3110000}"/>
    <cellStyle name="Normal 3 2 3 3 5 2" xfId="4291" xr:uid="{00000000-0005-0000-0000-0000B4110000}"/>
    <cellStyle name="Normal 3 2 3 3 5 2 2" xfId="8515" xr:uid="{00000000-0005-0000-0000-0000B5110000}"/>
    <cellStyle name="Normal 3 2 3 3 5 2 2 2" xfId="16944" xr:uid="{2D999D48-0C6E-4482-A0F4-27FEBAAAC62A}"/>
    <cellStyle name="Normal 3 2 3 3 5 2 3" xfId="12726" xr:uid="{F3CBF120-19FE-4859-BFF3-57950B4CE113}"/>
    <cellStyle name="Normal 3 2 3 3 5 3" xfId="6370" xr:uid="{00000000-0005-0000-0000-0000B6110000}"/>
    <cellStyle name="Normal 3 2 3 3 5 3 2" xfId="14799" xr:uid="{19550DBB-721B-4506-9B72-BCF35AF1EDCF}"/>
    <cellStyle name="Normal 3 2 3 3 5 4" xfId="10581" xr:uid="{B77B7864-FC4C-44B5-9E2C-2CB194AE3630}"/>
    <cellStyle name="Normal 3 2 3 3 6" xfId="2498" xr:uid="{00000000-0005-0000-0000-0000B7110000}"/>
    <cellStyle name="Normal 3 2 3 3 6 2" xfId="6783" xr:uid="{00000000-0005-0000-0000-0000B8110000}"/>
    <cellStyle name="Normal 3 2 3 3 6 2 2" xfId="15212" xr:uid="{E2D5255D-6941-4C33-B30E-97547F47B252}"/>
    <cellStyle name="Normal 3 2 3 3 6 3" xfId="10994" xr:uid="{1119953C-BF42-4FFB-A0B1-9F689E6FDA32}"/>
    <cellStyle name="Normal 3 2 3 3 7" xfId="4717" xr:uid="{00000000-0005-0000-0000-0000B9110000}"/>
    <cellStyle name="Normal 3 2 3 3 7 2" xfId="13146" xr:uid="{A0B59FDF-AF49-4AA8-9F52-C80098FC9D71}"/>
    <cellStyle name="Normal 3 2 3 3 8" xfId="8928" xr:uid="{63102719-1567-4304-8ED0-E1C44A344746}"/>
    <cellStyle name="Normal 3 2 3 4" xfId="812" xr:uid="{00000000-0005-0000-0000-0000BA110000}"/>
    <cellStyle name="Normal 3 2 3 4 2" xfId="3049" xr:uid="{00000000-0005-0000-0000-0000BB110000}"/>
    <cellStyle name="Normal 3 2 3 4 2 2" xfId="7273" xr:uid="{00000000-0005-0000-0000-0000BC110000}"/>
    <cellStyle name="Normal 3 2 3 4 2 2 2" xfId="15702" xr:uid="{BA68C8DF-9DD4-4050-8139-5DE708D6E3BB}"/>
    <cellStyle name="Normal 3 2 3 4 2 3" xfId="11484" xr:uid="{05AAFD94-0DF6-46CF-B87D-D9AB9694B5CF}"/>
    <cellStyle name="Normal 3 2 3 4 3" xfId="5128" xr:uid="{00000000-0005-0000-0000-0000BD110000}"/>
    <cellStyle name="Normal 3 2 3 4 3 2" xfId="13557" xr:uid="{1A62A821-5C7A-424C-A88D-7E26955E9D16}"/>
    <cellStyle name="Normal 3 2 3 4 4" xfId="9339" xr:uid="{40723A50-12A2-4336-9370-152A8169CC50}"/>
    <cellStyle name="Normal 3 2 3 5" xfId="1232" xr:uid="{00000000-0005-0000-0000-0000BE110000}"/>
    <cellStyle name="Normal 3 2 3 5 2" xfId="3462" xr:uid="{00000000-0005-0000-0000-0000BF110000}"/>
    <cellStyle name="Normal 3 2 3 5 2 2" xfId="7686" xr:uid="{00000000-0005-0000-0000-0000C0110000}"/>
    <cellStyle name="Normal 3 2 3 5 2 2 2" xfId="16115" xr:uid="{908F8B6F-E133-46AB-9008-2513A4A2999D}"/>
    <cellStyle name="Normal 3 2 3 5 2 3" xfId="11897" xr:uid="{8EEFA53A-2AE2-4AF5-997A-C2BFA749C90E}"/>
    <cellStyle name="Normal 3 2 3 5 3" xfId="5541" xr:uid="{00000000-0005-0000-0000-0000C1110000}"/>
    <cellStyle name="Normal 3 2 3 5 3 2" xfId="13970" xr:uid="{79DC59CD-87CC-4D4D-96DE-8247DFFCED9F}"/>
    <cellStyle name="Normal 3 2 3 5 4" xfId="9752" xr:uid="{79B7556B-4EA7-4B10-806B-BB79F0028C7C}"/>
    <cellStyle name="Normal 3 2 3 6" xfId="1645" xr:uid="{00000000-0005-0000-0000-0000C2110000}"/>
    <cellStyle name="Normal 3 2 3 6 2" xfId="3875" xr:uid="{00000000-0005-0000-0000-0000C3110000}"/>
    <cellStyle name="Normal 3 2 3 6 2 2" xfId="8099" xr:uid="{00000000-0005-0000-0000-0000C4110000}"/>
    <cellStyle name="Normal 3 2 3 6 2 2 2" xfId="16528" xr:uid="{A216527A-B427-45DD-9DA4-D48817CBE50D}"/>
    <cellStyle name="Normal 3 2 3 6 2 3" xfId="12310" xr:uid="{7CEC43E3-F81B-4E81-9CD3-42C2712A4962}"/>
    <cellStyle name="Normal 3 2 3 6 3" xfId="5954" xr:uid="{00000000-0005-0000-0000-0000C5110000}"/>
    <cellStyle name="Normal 3 2 3 6 3 2" xfId="14383" xr:uid="{A05BDB53-21EF-4917-B894-2027A372B774}"/>
    <cellStyle name="Normal 3 2 3 6 4" xfId="10165" xr:uid="{6F54A63B-6D8F-4EE3-9C4D-5713AD477DA9}"/>
    <cellStyle name="Normal 3 2 3 7" xfId="2059" xr:uid="{00000000-0005-0000-0000-0000C6110000}"/>
    <cellStyle name="Normal 3 2 3 7 2" xfId="4288" xr:uid="{00000000-0005-0000-0000-0000C7110000}"/>
    <cellStyle name="Normal 3 2 3 7 2 2" xfId="8512" xr:uid="{00000000-0005-0000-0000-0000C8110000}"/>
    <cellStyle name="Normal 3 2 3 7 2 2 2" xfId="16941" xr:uid="{A8B0FD39-A87F-4F7E-A4A5-5452555CD2B6}"/>
    <cellStyle name="Normal 3 2 3 7 2 3" xfId="12723" xr:uid="{9598C210-1B23-4F34-939F-1A47E9EF28A5}"/>
    <cellStyle name="Normal 3 2 3 7 3" xfId="6367" xr:uid="{00000000-0005-0000-0000-0000C9110000}"/>
    <cellStyle name="Normal 3 2 3 7 3 2" xfId="14796" xr:uid="{8106D760-D05C-45F6-B307-323BE9567A47}"/>
    <cellStyle name="Normal 3 2 3 7 4" xfId="10578" xr:uid="{826D3D06-BBDB-468F-9081-E65C523DB073}"/>
    <cellStyle name="Normal 3 2 3 8" xfId="2495" xr:uid="{00000000-0005-0000-0000-0000CA110000}"/>
    <cellStyle name="Normal 3 2 3 8 2" xfId="6780" xr:uid="{00000000-0005-0000-0000-0000CB110000}"/>
    <cellStyle name="Normal 3 2 3 8 2 2" xfId="15209" xr:uid="{A3B204CF-7E3F-49B6-A1C9-8FF2B34E56B9}"/>
    <cellStyle name="Normal 3 2 3 8 3" xfId="10991" xr:uid="{EB844C0E-D328-4C82-A6B4-E3A7F07AEB03}"/>
    <cellStyle name="Normal 3 2 3 9" xfId="4714" xr:uid="{00000000-0005-0000-0000-0000CC110000}"/>
    <cellStyle name="Normal 3 2 3 9 2" xfId="13143" xr:uid="{32E94582-107C-4D79-BCEC-83CBB43B046B}"/>
    <cellStyle name="Normal 3 2 4" xfId="810" xr:uid="{00000000-0005-0000-0000-0000CD110000}"/>
    <cellStyle name="Normal 3 2 4 2" xfId="3048" xr:uid="{00000000-0005-0000-0000-0000CE110000}"/>
    <cellStyle name="Normal 3 2 4 2 2" xfId="7272" xr:uid="{00000000-0005-0000-0000-0000CF110000}"/>
    <cellStyle name="Normal 3 2 4 2 2 2" xfId="15701" xr:uid="{D6EC8EF8-43C6-4273-B275-C4591A5E78F3}"/>
    <cellStyle name="Normal 3 2 4 2 3" xfId="11483" xr:uid="{E1F338F0-3FE4-4D56-A743-0BF595B62D28}"/>
    <cellStyle name="Normal 3 2 4 3" xfId="5127" xr:uid="{00000000-0005-0000-0000-0000D0110000}"/>
    <cellStyle name="Normal 3 2 4 3 2" xfId="13556" xr:uid="{16F19FC1-F579-40F6-8FB0-927E0D830E37}"/>
    <cellStyle name="Normal 3 2 4 4" xfId="9338" xr:uid="{A09246A0-E5CE-41AF-A844-8EA118CF9F76}"/>
    <cellStyle name="Normal 3 2 5" xfId="1231" xr:uid="{00000000-0005-0000-0000-0000D1110000}"/>
    <cellStyle name="Normal 3 2 5 2" xfId="3461" xr:uid="{00000000-0005-0000-0000-0000D2110000}"/>
    <cellStyle name="Normal 3 2 5 2 2" xfId="7685" xr:uid="{00000000-0005-0000-0000-0000D3110000}"/>
    <cellStyle name="Normal 3 2 5 2 2 2" xfId="16114" xr:uid="{9D966C0A-0E80-44ED-9729-49FB20808B4F}"/>
    <cellStyle name="Normal 3 2 5 2 3" xfId="11896" xr:uid="{F89C4003-C4EE-4F30-A993-68B735A31310}"/>
    <cellStyle name="Normal 3 2 5 3" xfId="5540" xr:uid="{00000000-0005-0000-0000-0000D4110000}"/>
    <cellStyle name="Normal 3 2 5 3 2" xfId="13969" xr:uid="{C708937D-47F6-4C70-8002-A2508BAC7BAA}"/>
    <cellStyle name="Normal 3 2 5 4" xfId="9751" xr:uid="{FC1EE4D3-B985-4407-BE59-C8BF3E1B90F1}"/>
    <cellStyle name="Normal 3 2 6" xfId="1644" xr:uid="{00000000-0005-0000-0000-0000D5110000}"/>
    <cellStyle name="Normal 3 2 6 2" xfId="3874" xr:uid="{00000000-0005-0000-0000-0000D6110000}"/>
    <cellStyle name="Normal 3 2 6 2 2" xfId="8098" xr:uid="{00000000-0005-0000-0000-0000D7110000}"/>
    <cellStyle name="Normal 3 2 6 2 2 2" xfId="16527" xr:uid="{DB566718-AC96-4143-862F-ED1AD153C081}"/>
    <cellStyle name="Normal 3 2 6 2 3" xfId="12309" xr:uid="{385AD67D-FDFF-42BA-864A-89EC8BB7B7F4}"/>
    <cellStyle name="Normal 3 2 6 3" xfId="5953" xr:uid="{00000000-0005-0000-0000-0000D8110000}"/>
    <cellStyle name="Normal 3 2 6 3 2" xfId="14382" xr:uid="{3F9F5C75-065D-468E-97B5-E3BF0AAA1607}"/>
    <cellStyle name="Normal 3 2 6 4" xfId="10164" xr:uid="{F83DDF04-89F3-4C48-99D2-72D6A17E94C2}"/>
    <cellStyle name="Normal 3 2 7" xfId="2058" xr:uid="{00000000-0005-0000-0000-0000D9110000}"/>
    <cellStyle name="Normal 3 2 7 2" xfId="4287" xr:uid="{00000000-0005-0000-0000-0000DA110000}"/>
    <cellStyle name="Normal 3 2 7 2 2" xfId="8511" xr:uid="{00000000-0005-0000-0000-0000DB110000}"/>
    <cellStyle name="Normal 3 2 7 2 2 2" xfId="16940" xr:uid="{9933552E-B4F8-4B3B-AB85-EA2FC3B19C82}"/>
    <cellStyle name="Normal 3 2 7 2 3" xfId="12722" xr:uid="{E989C7E4-2800-4085-AD7C-EF104B95E405}"/>
    <cellStyle name="Normal 3 2 7 3" xfId="6366" xr:uid="{00000000-0005-0000-0000-0000DC110000}"/>
    <cellStyle name="Normal 3 2 7 3 2" xfId="14795" xr:uid="{52BB827F-3430-436C-BD52-F9AEF4DA9F0D}"/>
    <cellStyle name="Normal 3 2 7 4" xfId="10577" xr:uid="{FD184BCB-B417-4B30-88F7-320A46294E43}"/>
    <cellStyle name="Normal 3 2 8" xfId="2494" xr:uid="{00000000-0005-0000-0000-0000DD110000}"/>
    <cellStyle name="Normal 3 2 8 2" xfId="6779" xr:uid="{00000000-0005-0000-0000-0000DE110000}"/>
    <cellStyle name="Normal 3 2 8 2 2" xfId="15208" xr:uid="{F6D2AC3D-6D84-4BA3-93C9-67AF82A55A9D}"/>
    <cellStyle name="Normal 3 2 8 3" xfId="10990" xr:uid="{5134D020-4374-4A92-BC24-25097A7623FD}"/>
    <cellStyle name="Normal 3 2 9" xfId="4713" xr:uid="{00000000-0005-0000-0000-0000DF110000}"/>
    <cellStyle name="Normal 3 2 9 2" xfId="13142" xr:uid="{526B8B61-A362-4A58-9560-4F84CBBE33BC}"/>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10" xfId="8929" xr:uid="{22F623F7-A344-4E1E-B8B2-A0EF901F3651}"/>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2 2 2" xfId="16945" xr:uid="{8DF368E3-7971-4AAC-8DD4-827DE7755250}"/>
    <cellStyle name="Normal 4 2 2 10 2 3" xfId="12727" xr:uid="{85FEE164-265F-4618-82B1-236C3A99208A}"/>
    <cellStyle name="Normal 4 2 2 10 3" xfId="6371" xr:uid="{00000000-0005-0000-0000-0000EC110000}"/>
    <cellStyle name="Normal 4 2 2 10 3 2" xfId="14800" xr:uid="{A3ADD0D3-0F76-483D-807B-D961817DF7C3}"/>
    <cellStyle name="Normal 4 2 2 10 4" xfId="10582" xr:uid="{A40B31F7-7B7B-42AD-BD9C-C04FA39124CC}"/>
    <cellStyle name="Normal 4 2 2 11" xfId="2499" xr:uid="{00000000-0005-0000-0000-0000ED110000}"/>
    <cellStyle name="Normal 4 2 2 11 2" xfId="6784" xr:uid="{00000000-0005-0000-0000-0000EE110000}"/>
    <cellStyle name="Normal 4 2 2 11 2 2" xfId="15213" xr:uid="{42145EE9-7CC9-4A6B-BD80-7127E326BB75}"/>
    <cellStyle name="Normal 4 2 2 11 3" xfId="10995" xr:uid="{AFDC8F31-8AF9-42B1-A428-58F144BC7005}"/>
    <cellStyle name="Normal 4 2 2 12" xfId="4719" xr:uid="{00000000-0005-0000-0000-0000EF110000}"/>
    <cellStyle name="Normal 4 2 2 12 2" xfId="13148" xr:uid="{E325453E-D90B-409C-874A-0EBA81F808F2}"/>
    <cellStyle name="Normal 4 2 2 13" xfId="8930" xr:uid="{8E6550BD-CADF-463C-A1EE-8C6CDAC5613C}"/>
    <cellStyle name="Normal 4 2 2 2" xfId="338" xr:uid="{00000000-0005-0000-0000-0000F0110000}"/>
    <cellStyle name="Normal 4 2 2 3" xfId="339" xr:uid="{00000000-0005-0000-0000-0000F1110000}"/>
    <cellStyle name="Normal 4 2 2 3 10" xfId="4720" xr:uid="{00000000-0005-0000-0000-0000F2110000}"/>
    <cellStyle name="Normal 4 2 2 3 10 2" xfId="13149" xr:uid="{CE8A5C2F-34A7-4EFD-984D-FD728C9DE8D2}"/>
    <cellStyle name="Normal 4 2 2 3 11" xfId="8931" xr:uid="{BFA6125C-B3CA-4D24-997E-F1DB22B6FB6B}"/>
    <cellStyle name="Normal 4 2 2 3 2" xfId="340" xr:uid="{00000000-0005-0000-0000-0000F3110000}"/>
    <cellStyle name="Normal 4 2 2 3 2 10" xfId="8932" xr:uid="{1775F5C6-15B2-4F3F-AD5A-4A89A072054A}"/>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2 2 2" xfId="15710" xr:uid="{0B8AC0F9-BC27-4098-9BAC-3A076C893AC9}"/>
    <cellStyle name="Normal 4 2 2 3 2 2 2 2 2 3" xfId="11492" xr:uid="{6BF02B1E-BE12-4D8C-81BE-1F2053E2687C}"/>
    <cellStyle name="Normal 4 2 2 3 2 2 2 2 3" xfId="5136" xr:uid="{00000000-0005-0000-0000-0000F9110000}"/>
    <cellStyle name="Normal 4 2 2 3 2 2 2 2 3 2" xfId="13565" xr:uid="{9039793A-B7DE-420E-B3B2-B504BC0F018C}"/>
    <cellStyle name="Normal 4 2 2 3 2 2 2 2 4" xfId="9347" xr:uid="{63A57D40-1399-4991-9379-3D917E80F88B}"/>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2 2 2" xfId="16123" xr:uid="{74437B13-375E-4846-A80D-B35BE4F939D4}"/>
    <cellStyle name="Normal 4 2 2 3 2 2 2 3 2 3" xfId="11905" xr:uid="{7997A386-4A0C-49BE-AA2C-147FC4BC58DC}"/>
    <cellStyle name="Normal 4 2 2 3 2 2 2 3 3" xfId="5549" xr:uid="{00000000-0005-0000-0000-0000FD110000}"/>
    <cellStyle name="Normal 4 2 2 3 2 2 2 3 3 2" xfId="13978" xr:uid="{3D8516E7-021B-445F-A9C9-E19E736726BC}"/>
    <cellStyle name="Normal 4 2 2 3 2 2 2 3 4" xfId="9760" xr:uid="{71065C98-F7CB-4869-8FAF-DC69E956672D}"/>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2 2 2" xfId="16536" xr:uid="{F647DE28-0038-44C0-AE44-27CAE9CF9D79}"/>
    <cellStyle name="Normal 4 2 2 3 2 2 2 4 2 3" xfId="12318" xr:uid="{865BB68C-E735-4AB0-94F2-4670CEFA2AE6}"/>
    <cellStyle name="Normal 4 2 2 3 2 2 2 4 3" xfId="5962" xr:uid="{00000000-0005-0000-0000-000001120000}"/>
    <cellStyle name="Normal 4 2 2 3 2 2 2 4 3 2" xfId="14391" xr:uid="{E98AF63B-13E1-4647-88A8-7FC0BCFCD6F4}"/>
    <cellStyle name="Normal 4 2 2 3 2 2 2 4 4" xfId="10173" xr:uid="{A8187ED0-9339-4053-B8C0-A093C2B03EA2}"/>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2 2 2" xfId="16949" xr:uid="{2BE107B4-AE5B-46AD-8A96-EC2DB9D6B2F3}"/>
    <cellStyle name="Normal 4 2 2 3 2 2 2 5 2 3" xfId="12731" xr:uid="{809B775E-40F8-4359-BF1D-91E86E3C9A7E}"/>
    <cellStyle name="Normal 4 2 2 3 2 2 2 5 3" xfId="6375" xr:uid="{00000000-0005-0000-0000-000005120000}"/>
    <cellStyle name="Normal 4 2 2 3 2 2 2 5 3 2" xfId="14804" xr:uid="{95B84490-7466-4A09-B90C-DC9A526F43CB}"/>
    <cellStyle name="Normal 4 2 2 3 2 2 2 5 4" xfId="10586" xr:uid="{31487131-984D-43A1-813E-314B53DE711E}"/>
    <cellStyle name="Normal 4 2 2 3 2 2 2 6" xfId="2503" xr:uid="{00000000-0005-0000-0000-000006120000}"/>
    <cellStyle name="Normal 4 2 2 3 2 2 2 6 2" xfId="6788" xr:uid="{00000000-0005-0000-0000-000007120000}"/>
    <cellStyle name="Normal 4 2 2 3 2 2 2 6 2 2" xfId="15217" xr:uid="{7DDEA78E-419E-449E-8688-32ADB38AB090}"/>
    <cellStyle name="Normal 4 2 2 3 2 2 2 6 3" xfId="10999" xr:uid="{5884CE39-0AB6-46F4-B041-B3C192ACE2C7}"/>
    <cellStyle name="Normal 4 2 2 3 2 2 2 7" xfId="4723" xr:uid="{00000000-0005-0000-0000-000008120000}"/>
    <cellStyle name="Normal 4 2 2 3 2 2 2 7 2" xfId="13152" xr:uid="{97DCCE56-9D30-4509-8E09-3139C39FBCEC}"/>
    <cellStyle name="Normal 4 2 2 3 2 2 2 8" xfId="8934" xr:uid="{8EE22BAD-1268-4109-88E2-C663A863AA6C}"/>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2 2 2" xfId="15709" xr:uid="{D36CA790-AA91-42A6-96EC-6080FF811771}"/>
    <cellStyle name="Normal 4 2 2 3 2 2 3 2 3" xfId="11491" xr:uid="{A6543449-B485-41DA-B55A-E0B004FF4CE3}"/>
    <cellStyle name="Normal 4 2 2 3 2 2 3 3" xfId="5135" xr:uid="{00000000-0005-0000-0000-00000C120000}"/>
    <cellStyle name="Normal 4 2 2 3 2 2 3 3 2" xfId="13564" xr:uid="{10A3C27F-371A-4CE4-B714-B95BCE66BD6A}"/>
    <cellStyle name="Normal 4 2 2 3 2 2 3 4" xfId="9346" xr:uid="{F8B3ABB3-A3FB-4EAC-83B3-FAE219B98A36}"/>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2 2 2" xfId="16122" xr:uid="{D257DE88-680B-462D-AB68-32038EE9C855}"/>
    <cellStyle name="Normal 4 2 2 3 2 2 4 2 3" xfId="11904" xr:uid="{FDBD86AE-F71F-4AC1-823C-54ABBE332E5A}"/>
    <cellStyle name="Normal 4 2 2 3 2 2 4 3" xfId="5548" xr:uid="{00000000-0005-0000-0000-000010120000}"/>
    <cellStyle name="Normal 4 2 2 3 2 2 4 3 2" xfId="13977" xr:uid="{D6E28BE8-70BC-4988-AA22-CB30C3EC6E66}"/>
    <cellStyle name="Normal 4 2 2 3 2 2 4 4" xfId="9759" xr:uid="{69540B5F-0FDF-44B1-9C2E-4A9CE8DEA9C8}"/>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2 2 2" xfId="16535" xr:uid="{EDF61C15-2773-4732-99C0-61575247AFA3}"/>
    <cellStyle name="Normal 4 2 2 3 2 2 5 2 3" xfId="12317" xr:uid="{4BE21A37-50CD-4A0C-B5E6-30A44DA7CCEA}"/>
    <cellStyle name="Normal 4 2 2 3 2 2 5 3" xfId="5961" xr:uid="{00000000-0005-0000-0000-000014120000}"/>
    <cellStyle name="Normal 4 2 2 3 2 2 5 3 2" xfId="14390" xr:uid="{4EF7A7BE-3DC8-4458-9C96-883432233260}"/>
    <cellStyle name="Normal 4 2 2 3 2 2 5 4" xfId="10172" xr:uid="{D9C47371-ADF9-419E-9D3C-656B3A3946B2}"/>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2 2 2" xfId="16948" xr:uid="{39516A36-ABEF-45BE-8024-50B6A2961B78}"/>
    <cellStyle name="Normal 4 2 2 3 2 2 6 2 3" xfId="12730" xr:uid="{5C30AA88-4479-49D3-99ED-AC23E670E400}"/>
    <cellStyle name="Normal 4 2 2 3 2 2 6 3" xfId="6374" xr:uid="{00000000-0005-0000-0000-000018120000}"/>
    <cellStyle name="Normal 4 2 2 3 2 2 6 3 2" xfId="14803" xr:uid="{F15EE54D-2626-42BB-BB42-1869A16F5943}"/>
    <cellStyle name="Normal 4 2 2 3 2 2 6 4" xfId="10585" xr:uid="{A80AA0D3-4852-4E37-8E43-EB0BD9320165}"/>
    <cellStyle name="Normal 4 2 2 3 2 2 7" xfId="2502" xr:uid="{00000000-0005-0000-0000-000019120000}"/>
    <cellStyle name="Normal 4 2 2 3 2 2 7 2" xfId="6787" xr:uid="{00000000-0005-0000-0000-00001A120000}"/>
    <cellStyle name="Normal 4 2 2 3 2 2 7 2 2" xfId="15216" xr:uid="{989D1E7A-0AE1-4264-A9D1-10F59C1CF543}"/>
    <cellStyle name="Normal 4 2 2 3 2 2 7 3" xfId="10998" xr:uid="{56C6FED1-7040-4FC3-B78F-0C269BFA6018}"/>
    <cellStyle name="Normal 4 2 2 3 2 2 8" xfId="4722" xr:uid="{00000000-0005-0000-0000-00001B120000}"/>
    <cellStyle name="Normal 4 2 2 3 2 2 8 2" xfId="13151" xr:uid="{B9C44BAA-AEE2-4B0A-BB4B-7572FE83C213}"/>
    <cellStyle name="Normal 4 2 2 3 2 2 9" xfId="8933" xr:uid="{5BE52FB1-7E6B-4EE2-9D50-2959E78DB176}"/>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2 2 2" xfId="15711" xr:uid="{747EB6EB-296C-4624-B5B5-3D0C3409C195}"/>
    <cellStyle name="Normal 4 2 2 3 2 3 2 2 3" xfId="11493" xr:uid="{1079555D-F6F5-477C-8EEA-A75319A454A4}"/>
    <cellStyle name="Normal 4 2 2 3 2 3 2 3" xfId="5137" xr:uid="{00000000-0005-0000-0000-000020120000}"/>
    <cellStyle name="Normal 4 2 2 3 2 3 2 3 2" xfId="13566" xr:uid="{621A68AA-B790-46C5-893D-9F7D033BBE31}"/>
    <cellStyle name="Normal 4 2 2 3 2 3 2 4" xfId="9348" xr:uid="{71D98D80-06CE-4DA7-A5E5-37748716DAA3}"/>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2 2 2" xfId="16124" xr:uid="{8FAD9EB2-2C76-42CC-91A0-F4F470E701C5}"/>
    <cellStyle name="Normal 4 2 2 3 2 3 3 2 3" xfId="11906" xr:uid="{04F849AB-8187-46CC-B644-FDEA3BCD8918}"/>
    <cellStyle name="Normal 4 2 2 3 2 3 3 3" xfId="5550" xr:uid="{00000000-0005-0000-0000-000024120000}"/>
    <cellStyle name="Normal 4 2 2 3 2 3 3 3 2" xfId="13979" xr:uid="{60DD5D19-47A5-4C13-A85C-4D89A1856B6C}"/>
    <cellStyle name="Normal 4 2 2 3 2 3 3 4" xfId="9761" xr:uid="{770507D1-E556-4013-ACC4-2338D5407F0E}"/>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2 2 2" xfId="16537" xr:uid="{AF424D06-BE70-424A-9A93-4B44C3051EC6}"/>
    <cellStyle name="Normal 4 2 2 3 2 3 4 2 3" xfId="12319" xr:uid="{16E17CC3-3F70-4531-A504-D81996BE49E3}"/>
    <cellStyle name="Normal 4 2 2 3 2 3 4 3" xfId="5963" xr:uid="{00000000-0005-0000-0000-000028120000}"/>
    <cellStyle name="Normal 4 2 2 3 2 3 4 3 2" xfId="14392" xr:uid="{6CFC3E07-C1FE-4C76-BC6E-8B8F1762820D}"/>
    <cellStyle name="Normal 4 2 2 3 2 3 4 4" xfId="10174" xr:uid="{840A46EC-FC5B-4A4C-9B8A-0FF22952D09C}"/>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2 2 2" xfId="16950" xr:uid="{FB9789A9-29C1-4E19-9E3B-879AF17BCD4C}"/>
    <cellStyle name="Normal 4 2 2 3 2 3 5 2 3" xfId="12732" xr:uid="{28A74327-F81E-4414-860F-27034EA7569D}"/>
    <cellStyle name="Normal 4 2 2 3 2 3 5 3" xfId="6376" xr:uid="{00000000-0005-0000-0000-00002C120000}"/>
    <cellStyle name="Normal 4 2 2 3 2 3 5 3 2" xfId="14805" xr:uid="{EF5BA371-C895-4764-8177-AD7AD3030D69}"/>
    <cellStyle name="Normal 4 2 2 3 2 3 5 4" xfId="10587" xr:uid="{05DE06C2-5562-46AA-AB0E-2874F3C77DF7}"/>
    <cellStyle name="Normal 4 2 2 3 2 3 6" xfId="2504" xr:uid="{00000000-0005-0000-0000-00002D120000}"/>
    <cellStyle name="Normal 4 2 2 3 2 3 6 2" xfId="6789" xr:uid="{00000000-0005-0000-0000-00002E120000}"/>
    <cellStyle name="Normal 4 2 2 3 2 3 6 2 2" xfId="15218" xr:uid="{B88A4BD4-C1CA-4BDA-A685-EFD2D3CD29FC}"/>
    <cellStyle name="Normal 4 2 2 3 2 3 6 3" xfId="11000" xr:uid="{672E474F-7A73-4F95-A680-A7DCB0A0FB6F}"/>
    <cellStyle name="Normal 4 2 2 3 2 3 7" xfId="4724" xr:uid="{00000000-0005-0000-0000-00002F120000}"/>
    <cellStyle name="Normal 4 2 2 3 2 3 7 2" xfId="13153" xr:uid="{960ABCE4-EE99-464B-AB70-F09ED46E7C49}"/>
    <cellStyle name="Normal 4 2 2 3 2 3 8" xfId="8935" xr:uid="{8B554B5B-46EB-4D96-B1F5-3D152389F2F9}"/>
    <cellStyle name="Normal 4 2 2 3 2 4" xfId="818" xr:uid="{00000000-0005-0000-0000-000030120000}"/>
    <cellStyle name="Normal 4 2 2 3 2 4 2" xfId="3055" xr:uid="{00000000-0005-0000-0000-000031120000}"/>
    <cellStyle name="Normal 4 2 2 3 2 4 2 2" xfId="7279" xr:uid="{00000000-0005-0000-0000-000032120000}"/>
    <cellStyle name="Normal 4 2 2 3 2 4 2 2 2" xfId="15708" xr:uid="{53495CAC-5BE4-4548-A877-FDB837AA657F}"/>
    <cellStyle name="Normal 4 2 2 3 2 4 2 3" xfId="11490" xr:uid="{8137626F-3F56-4FAE-B7C0-31132C94FB40}"/>
    <cellStyle name="Normal 4 2 2 3 2 4 3" xfId="5134" xr:uid="{00000000-0005-0000-0000-000033120000}"/>
    <cellStyle name="Normal 4 2 2 3 2 4 3 2" xfId="13563" xr:uid="{1618CC12-CB7B-4010-82A2-917C27E51AE5}"/>
    <cellStyle name="Normal 4 2 2 3 2 4 4" xfId="9345" xr:uid="{6C7A939E-7FEE-453D-AAF3-87E8FAACB8BC}"/>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2 2 2" xfId="16121" xr:uid="{D9E34F88-7707-42B4-B7B9-ECF8A9C19F29}"/>
    <cellStyle name="Normal 4 2 2 3 2 5 2 3" xfId="11903" xr:uid="{2C29872A-04C6-43F8-A393-3985C5F529AA}"/>
    <cellStyle name="Normal 4 2 2 3 2 5 3" xfId="5547" xr:uid="{00000000-0005-0000-0000-000037120000}"/>
    <cellStyle name="Normal 4 2 2 3 2 5 3 2" xfId="13976" xr:uid="{3A7EAB28-F3DC-4107-A4A5-3FA191CCE470}"/>
    <cellStyle name="Normal 4 2 2 3 2 5 4" xfId="9758" xr:uid="{62B86CF2-642A-45F9-8CF5-704491E196BF}"/>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2 2 2" xfId="16534" xr:uid="{E74E07F4-2016-4539-8D31-4C59699B7CFF}"/>
    <cellStyle name="Normal 4 2 2 3 2 6 2 3" xfId="12316" xr:uid="{6AD9F99B-31D7-4672-87B6-2446CC2664AE}"/>
    <cellStyle name="Normal 4 2 2 3 2 6 3" xfId="5960" xr:uid="{00000000-0005-0000-0000-00003B120000}"/>
    <cellStyle name="Normal 4 2 2 3 2 6 3 2" xfId="14389" xr:uid="{D50AC6BD-D3B7-4E29-956C-69F5F2E01252}"/>
    <cellStyle name="Normal 4 2 2 3 2 6 4" xfId="10171" xr:uid="{37B39B4D-4DC5-45C6-A2F1-D07784EE0D18}"/>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2 2 2" xfId="16947" xr:uid="{74CDC892-81B3-49C2-BD0B-44B0E02A45E6}"/>
    <cellStyle name="Normal 4 2 2 3 2 7 2 3" xfId="12729" xr:uid="{F615C1D2-3560-4B15-AEBE-787F9827D701}"/>
    <cellStyle name="Normal 4 2 2 3 2 7 3" xfId="6373" xr:uid="{00000000-0005-0000-0000-00003F120000}"/>
    <cellStyle name="Normal 4 2 2 3 2 7 3 2" xfId="14802" xr:uid="{ABA7C83A-E4D9-4A04-A8C0-D421EEE8D746}"/>
    <cellStyle name="Normal 4 2 2 3 2 7 4" xfId="10584" xr:uid="{7869FCA5-9156-4CF3-9FF1-B006BDBD0809}"/>
    <cellStyle name="Normal 4 2 2 3 2 8" xfId="2501" xr:uid="{00000000-0005-0000-0000-000040120000}"/>
    <cellStyle name="Normal 4 2 2 3 2 8 2" xfId="6786" xr:uid="{00000000-0005-0000-0000-000041120000}"/>
    <cellStyle name="Normal 4 2 2 3 2 8 2 2" xfId="15215" xr:uid="{E736B416-0109-43F3-BBE6-1423581D3388}"/>
    <cellStyle name="Normal 4 2 2 3 2 8 3" xfId="10997" xr:uid="{D417C36A-BA04-4B19-9823-2821359B31E4}"/>
    <cellStyle name="Normal 4 2 2 3 2 9" xfId="4721" xr:uid="{00000000-0005-0000-0000-000042120000}"/>
    <cellStyle name="Normal 4 2 2 3 2 9 2" xfId="13150" xr:uid="{9C29F3E7-B6EB-4594-B96D-2FF64CB1161E}"/>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2 2 2" xfId="15713" xr:uid="{791C6306-68B9-413F-BDBB-C33733031624}"/>
    <cellStyle name="Normal 4 2 2 3 3 2 2 2 3" xfId="11495" xr:uid="{492A1523-CBFB-4E77-9FF3-80E5A4085FB0}"/>
    <cellStyle name="Normal 4 2 2 3 3 2 2 3" xfId="5139" xr:uid="{00000000-0005-0000-0000-000048120000}"/>
    <cellStyle name="Normal 4 2 2 3 3 2 2 3 2" xfId="13568" xr:uid="{8D085102-F58E-4EDE-BC34-2C3B33BE906F}"/>
    <cellStyle name="Normal 4 2 2 3 3 2 2 4" xfId="9350" xr:uid="{5450691D-33CE-4EB3-8BF2-B2CC759801FB}"/>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2 2 2" xfId="16126" xr:uid="{8EEF9440-F9EC-477E-8577-BDAB9615237F}"/>
    <cellStyle name="Normal 4 2 2 3 3 2 3 2 3" xfId="11908" xr:uid="{4C9C8C86-40A7-4C49-9121-7F865AE43363}"/>
    <cellStyle name="Normal 4 2 2 3 3 2 3 3" xfId="5552" xr:uid="{00000000-0005-0000-0000-00004C120000}"/>
    <cellStyle name="Normal 4 2 2 3 3 2 3 3 2" xfId="13981" xr:uid="{83DE7D33-F0CB-4974-9787-3CB566B9AC13}"/>
    <cellStyle name="Normal 4 2 2 3 3 2 3 4" xfId="9763" xr:uid="{0682939A-9A0C-46C1-A283-F87BF4652319}"/>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2 2 2" xfId="16539" xr:uid="{DB08089F-A01C-4FCA-BFAD-B07A7F795014}"/>
    <cellStyle name="Normal 4 2 2 3 3 2 4 2 3" xfId="12321" xr:uid="{1CDE1590-D70A-4DE8-A5A8-2A57F85A15AA}"/>
    <cellStyle name="Normal 4 2 2 3 3 2 4 3" xfId="5965" xr:uid="{00000000-0005-0000-0000-000050120000}"/>
    <cellStyle name="Normal 4 2 2 3 3 2 4 3 2" xfId="14394" xr:uid="{3340DF68-5591-43BE-A445-B8CD0AA989ED}"/>
    <cellStyle name="Normal 4 2 2 3 3 2 4 4" xfId="10176" xr:uid="{C2B94051-B6E0-4BE6-A7BA-775380FBCC4F}"/>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2 2 2" xfId="16952" xr:uid="{DF168115-9AC8-411E-8A3C-C7C91EC7A7CC}"/>
    <cellStyle name="Normal 4 2 2 3 3 2 5 2 3" xfId="12734" xr:uid="{7C2C69FC-D3D4-4008-B54B-0CC80C8B36E9}"/>
    <cellStyle name="Normal 4 2 2 3 3 2 5 3" xfId="6378" xr:uid="{00000000-0005-0000-0000-000054120000}"/>
    <cellStyle name="Normal 4 2 2 3 3 2 5 3 2" xfId="14807" xr:uid="{37E798FF-B0AA-472E-A0F7-FF19FE5E7F4D}"/>
    <cellStyle name="Normal 4 2 2 3 3 2 5 4" xfId="10589" xr:uid="{E673AFC6-508B-4490-8E20-ED40BA6EEBC0}"/>
    <cellStyle name="Normal 4 2 2 3 3 2 6" xfId="2506" xr:uid="{00000000-0005-0000-0000-000055120000}"/>
    <cellStyle name="Normal 4 2 2 3 3 2 6 2" xfId="6791" xr:uid="{00000000-0005-0000-0000-000056120000}"/>
    <cellStyle name="Normal 4 2 2 3 3 2 6 2 2" xfId="15220" xr:uid="{ED19E861-18D4-4EDC-A24C-F52E7F62B5DD}"/>
    <cellStyle name="Normal 4 2 2 3 3 2 6 3" xfId="11002" xr:uid="{E3FD65EF-1CFD-4D55-A19D-FA45A57D239F}"/>
    <cellStyle name="Normal 4 2 2 3 3 2 7" xfId="4726" xr:uid="{00000000-0005-0000-0000-000057120000}"/>
    <cellStyle name="Normal 4 2 2 3 3 2 7 2" xfId="13155" xr:uid="{38330A74-0251-4EE1-A84F-99789F9B0164}"/>
    <cellStyle name="Normal 4 2 2 3 3 2 8" xfId="8937" xr:uid="{636A1CF4-E5EE-4299-88A5-98D9AF0F5F47}"/>
    <cellStyle name="Normal 4 2 2 3 3 3" xfId="822" xr:uid="{00000000-0005-0000-0000-000058120000}"/>
    <cellStyle name="Normal 4 2 2 3 3 3 2" xfId="3059" xr:uid="{00000000-0005-0000-0000-000059120000}"/>
    <cellStyle name="Normal 4 2 2 3 3 3 2 2" xfId="7283" xr:uid="{00000000-0005-0000-0000-00005A120000}"/>
    <cellStyle name="Normal 4 2 2 3 3 3 2 2 2" xfId="15712" xr:uid="{FFFF5963-1A9F-4D38-80CF-F891CACB1C3F}"/>
    <cellStyle name="Normal 4 2 2 3 3 3 2 3" xfId="11494" xr:uid="{4DFF4832-C44C-4C58-ADD7-F8E62032F1AC}"/>
    <cellStyle name="Normal 4 2 2 3 3 3 3" xfId="5138" xr:uid="{00000000-0005-0000-0000-00005B120000}"/>
    <cellStyle name="Normal 4 2 2 3 3 3 3 2" xfId="13567" xr:uid="{291B151D-5706-4218-9B91-B5FD3381069A}"/>
    <cellStyle name="Normal 4 2 2 3 3 3 4" xfId="9349" xr:uid="{7EE301C8-AFD2-47E8-B6C3-4C9E1945963D}"/>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2 2 2" xfId="16125" xr:uid="{004B4429-3795-45E9-8073-D8647289E0B1}"/>
    <cellStyle name="Normal 4 2 2 3 3 4 2 3" xfId="11907" xr:uid="{C708DDEF-616D-452B-B1A1-FC2F906A4B49}"/>
    <cellStyle name="Normal 4 2 2 3 3 4 3" xfId="5551" xr:uid="{00000000-0005-0000-0000-00005F120000}"/>
    <cellStyle name="Normal 4 2 2 3 3 4 3 2" xfId="13980" xr:uid="{7CBC9A12-CA8F-4E03-B7E3-3AAA06DA9F2C}"/>
    <cellStyle name="Normal 4 2 2 3 3 4 4" xfId="9762" xr:uid="{04AB903A-1D72-4C3C-8B10-7835C9B5F28C}"/>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2 2 2" xfId="16538" xr:uid="{2AF031C4-AD82-4ABF-9C4C-881428132991}"/>
    <cellStyle name="Normal 4 2 2 3 3 5 2 3" xfId="12320" xr:uid="{9E847659-36ED-4FFD-99DE-7540DD6B288C}"/>
    <cellStyle name="Normal 4 2 2 3 3 5 3" xfId="5964" xr:uid="{00000000-0005-0000-0000-000063120000}"/>
    <cellStyle name="Normal 4 2 2 3 3 5 3 2" xfId="14393" xr:uid="{3D709513-B75D-4594-9959-16722F0EC196}"/>
    <cellStyle name="Normal 4 2 2 3 3 5 4" xfId="10175" xr:uid="{DE17C551-F5DD-4EBC-9D05-514B88D253BE}"/>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2 2 2" xfId="16951" xr:uid="{42A29773-F81E-4C44-942F-89EFFF14E34A}"/>
    <cellStyle name="Normal 4 2 2 3 3 6 2 3" xfId="12733" xr:uid="{659805CA-15E6-4675-AE8F-D20E279DBFF4}"/>
    <cellStyle name="Normal 4 2 2 3 3 6 3" xfId="6377" xr:uid="{00000000-0005-0000-0000-000067120000}"/>
    <cellStyle name="Normal 4 2 2 3 3 6 3 2" xfId="14806" xr:uid="{3E64F569-03E6-41C5-97EE-8E8A5A3FAE7E}"/>
    <cellStyle name="Normal 4 2 2 3 3 6 4" xfId="10588" xr:uid="{7DCD7392-4FA7-4719-A1EF-86F15787C7BA}"/>
    <cellStyle name="Normal 4 2 2 3 3 7" xfId="2505" xr:uid="{00000000-0005-0000-0000-000068120000}"/>
    <cellStyle name="Normal 4 2 2 3 3 7 2" xfId="6790" xr:uid="{00000000-0005-0000-0000-000069120000}"/>
    <cellStyle name="Normal 4 2 2 3 3 7 2 2" xfId="15219" xr:uid="{5952C877-F524-4F7A-8BC5-AFA41004F942}"/>
    <cellStyle name="Normal 4 2 2 3 3 7 3" xfId="11001" xr:uid="{1474A61E-8958-4326-BC23-D57FEAA37828}"/>
    <cellStyle name="Normal 4 2 2 3 3 8" xfId="4725" xr:uid="{00000000-0005-0000-0000-00006A120000}"/>
    <cellStyle name="Normal 4 2 2 3 3 8 2" xfId="13154" xr:uid="{BE35DF21-0FFF-4CF5-B054-3E29B60A5CA8}"/>
    <cellStyle name="Normal 4 2 2 3 3 9" xfId="8936" xr:uid="{628B6F05-7566-4EC9-B33E-CEA5CE0D5A06}"/>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2 2 2" xfId="15714" xr:uid="{3863AF8A-F110-4348-9B28-06FB8EFE125B}"/>
    <cellStyle name="Normal 4 2 2 3 4 2 2 3" xfId="11496" xr:uid="{1B8D6F6D-9D36-4CB6-B693-ADDE3997573A}"/>
    <cellStyle name="Normal 4 2 2 3 4 2 3" xfId="5140" xr:uid="{00000000-0005-0000-0000-00006F120000}"/>
    <cellStyle name="Normal 4 2 2 3 4 2 3 2" xfId="13569" xr:uid="{4EBDE179-702F-4B01-8A52-7ED177D2000E}"/>
    <cellStyle name="Normal 4 2 2 3 4 2 4" xfId="9351" xr:uid="{077CA2C6-697E-426D-A8D4-D58A2B138C5F}"/>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2 2 2" xfId="16127" xr:uid="{3107E4E1-872F-44CE-B4DF-10B56A1C30E0}"/>
    <cellStyle name="Normal 4 2 2 3 4 3 2 3" xfId="11909" xr:uid="{DF915711-BC33-439D-998C-6456679F5FED}"/>
    <cellStyle name="Normal 4 2 2 3 4 3 3" xfId="5553" xr:uid="{00000000-0005-0000-0000-000073120000}"/>
    <cellStyle name="Normal 4 2 2 3 4 3 3 2" xfId="13982" xr:uid="{D561F452-F429-43D5-A19C-350AA2EC670C}"/>
    <cellStyle name="Normal 4 2 2 3 4 3 4" xfId="9764" xr:uid="{D1868A89-D3CD-41FA-9F3A-22538B236A0C}"/>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2 2 2" xfId="16540" xr:uid="{1902DD1A-6710-4985-BE77-34335B678A0F}"/>
    <cellStyle name="Normal 4 2 2 3 4 4 2 3" xfId="12322" xr:uid="{8391E3E4-1527-4B32-88AB-B771B63CFD9E}"/>
    <cellStyle name="Normal 4 2 2 3 4 4 3" xfId="5966" xr:uid="{00000000-0005-0000-0000-000077120000}"/>
    <cellStyle name="Normal 4 2 2 3 4 4 3 2" xfId="14395" xr:uid="{CA6626FE-A4FA-463A-82F8-4FBE9E87E4A5}"/>
    <cellStyle name="Normal 4 2 2 3 4 4 4" xfId="10177" xr:uid="{0BF3F4A0-869E-48C5-B9E5-E7418B044533}"/>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2 2 2" xfId="16953" xr:uid="{7C275B35-8400-4C1B-95A7-DF30119A9F5E}"/>
    <cellStyle name="Normal 4 2 2 3 4 5 2 3" xfId="12735" xr:uid="{7421937B-7707-45F7-9943-0FA2C2F45C12}"/>
    <cellStyle name="Normal 4 2 2 3 4 5 3" xfId="6379" xr:uid="{00000000-0005-0000-0000-00007B120000}"/>
    <cellStyle name="Normal 4 2 2 3 4 5 3 2" xfId="14808" xr:uid="{244AFEDA-9393-42EB-AB10-684A43F6D42A}"/>
    <cellStyle name="Normal 4 2 2 3 4 5 4" xfId="10590" xr:uid="{1E7A6AED-F6AF-498A-AAF0-09216412DFF7}"/>
    <cellStyle name="Normal 4 2 2 3 4 6" xfId="2507" xr:uid="{00000000-0005-0000-0000-00007C120000}"/>
    <cellStyle name="Normal 4 2 2 3 4 6 2" xfId="6792" xr:uid="{00000000-0005-0000-0000-00007D120000}"/>
    <cellStyle name="Normal 4 2 2 3 4 6 2 2" xfId="15221" xr:uid="{FF32A3B5-6654-44C9-8306-698228C10033}"/>
    <cellStyle name="Normal 4 2 2 3 4 6 3" xfId="11003" xr:uid="{2F69DFCD-AC95-418E-8C98-D21BBC20A62C}"/>
    <cellStyle name="Normal 4 2 2 3 4 7" xfId="4727" xr:uid="{00000000-0005-0000-0000-00007E120000}"/>
    <cellStyle name="Normal 4 2 2 3 4 7 2" xfId="13156" xr:uid="{E62A98CF-5243-4000-9C23-860DC9DC7CB6}"/>
    <cellStyle name="Normal 4 2 2 3 4 8" xfId="8938" xr:uid="{ACB2189F-1B2D-4D30-AC46-FBCFF0318874}"/>
    <cellStyle name="Normal 4 2 2 3 5" xfId="817" xr:uid="{00000000-0005-0000-0000-00007F120000}"/>
    <cellStyle name="Normal 4 2 2 3 5 2" xfId="3054" xr:uid="{00000000-0005-0000-0000-000080120000}"/>
    <cellStyle name="Normal 4 2 2 3 5 2 2" xfId="7278" xr:uid="{00000000-0005-0000-0000-000081120000}"/>
    <cellStyle name="Normal 4 2 2 3 5 2 2 2" xfId="15707" xr:uid="{C70474C2-3803-458B-B0BD-3B1017CD195C}"/>
    <cellStyle name="Normal 4 2 2 3 5 2 3" xfId="11489" xr:uid="{018DA6F8-EDDF-4494-8B0C-23C5EE722AEF}"/>
    <cellStyle name="Normal 4 2 2 3 5 3" xfId="5133" xr:uid="{00000000-0005-0000-0000-000082120000}"/>
    <cellStyle name="Normal 4 2 2 3 5 3 2" xfId="13562" xr:uid="{77B185DD-3348-4207-8851-1187E440702A}"/>
    <cellStyle name="Normal 4 2 2 3 5 4" xfId="9344" xr:uid="{5D5115DB-B9AA-49AC-A3D0-DDA68A971F9C}"/>
    <cellStyle name="Normal 4 2 2 3 6" xfId="1237" xr:uid="{00000000-0005-0000-0000-000083120000}"/>
    <cellStyle name="Normal 4 2 2 3 6 2" xfId="3467" xr:uid="{00000000-0005-0000-0000-000084120000}"/>
    <cellStyle name="Normal 4 2 2 3 6 2 2" xfId="7691" xr:uid="{00000000-0005-0000-0000-000085120000}"/>
    <cellStyle name="Normal 4 2 2 3 6 2 2 2" xfId="16120" xr:uid="{AEC74A85-F983-4F7D-B2BD-EB57EEE7F2F8}"/>
    <cellStyle name="Normal 4 2 2 3 6 2 3" xfId="11902" xr:uid="{4D79B726-3342-444B-806A-0DF221ABCD03}"/>
    <cellStyle name="Normal 4 2 2 3 6 3" xfId="5546" xr:uid="{00000000-0005-0000-0000-000086120000}"/>
    <cellStyle name="Normal 4 2 2 3 6 3 2" xfId="13975" xr:uid="{E0C4C16B-9D8A-4C23-8514-1FACB5500BA4}"/>
    <cellStyle name="Normal 4 2 2 3 6 4" xfId="9757" xr:uid="{09270460-8905-40BF-83C0-C5BD2F437F2A}"/>
    <cellStyle name="Normal 4 2 2 3 7" xfId="1650" xr:uid="{00000000-0005-0000-0000-000087120000}"/>
    <cellStyle name="Normal 4 2 2 3 7 2" xfId="3880" xr:uid="{00000000-0005-0000-0000-000088120000}"/>
    <cellStyle name="Normal 4 2 2 3 7 2 2" xfId="8104" xr:uid="{00000000-0005-0000-0000-000089120000}"/>
    <cellStyle name="Normal 4 2 2 3 7 2 2 2" xfId="16533" xr:uid="{28DF97D5-9272-4DB4-9F8F-DEBA1B5EB60A}"/>
    <cellStyle name="Normal 4 2 2 3 7 2 3" xfId="12315" xr:uid="{386AE5B8-2B85-4997-8076-C73C6595AB19}"/>
    <cellStyle name="Normal 4 2 2 3 7 3" xfId="5959" xr:uid="{00000000-0005-0000-0000-00008A120000}"/>
    <cellStyle name="Normal 4 2 2 3 7 3 2" xfId="14388" xr:uid="{4D2B5CB7-AFF7-47A3-BD4B-0ADBD6E12174}"/>
    <cellStyle name="Normal 4 2 2 3 7 4" xfId="10170" xr:uid="{C93D120D-C23D-49A4-853D-12D78A1EAC15}"/>
    <cellStyle name="Normal 4 2 2 3 8" xfId="2064" xr:uid="{00000000-0005-0000-0000-00008B120000}"/>
    <cellStyle name="Normal 4 2 2 3 8 2" xfId="4293" xr:uid="{00000000-0005-0000-0000-00008C120000}"/>
    <cellStyle name="Normal 4 2 2 3 8 2 2" xfId="8517" xr:uid="{00000000-0005-0000-0000-00008D120000}"/>
    <cellStyle name="Normal 4 2 2 3 8 2 2 2" xfId="16946" xr:uid="{E669B358-071A-467E-8D57-D853313476A0}"/>
    <cellStyle name="Normal 4 2 2 3 8 2 3" xfId="12728" xr:uid="{D91919E2-CC9E-45D7-B589-C3EFE7F857EB}"/>
    <cellStyle name="Normal 4 2 2 3 8 3" xfId="6372" xr:uid="{00000000-0005-0000-0000-00008E120000}"/>
    <cellStyle name="Normal 4 2 2 3 8 3 2" xfId="14801" xr:uid="{78CF21BC-27A3-4DF6-8F70-6E65E5E4AF19}"/>
    <cellStyle name="Normal 4 2 2 3 8 4" xfId="10583" xr:uid="{52D201BC-DC61-4F27-804D-77477B6DCAED}"/>
    <cellStyle name="Normal 4 2 2 3 9" xfId="2500" xr:uid="{00000000-0005-0000-0000-00008F120000}"/>
    <cellStyle name="Normal 4 2 2 3 9 2" xfId="6785" xr:uid="{00000000-0005-0000-0000-000090120000}"/>
    <cellStyle name="Normal 4 2 2 3 9 2 2" xfId="15214" xr:uid="{327302CB-4720-4D7C-AB09-34972B4B2EEA}"/>
    <cellStyle name="Normal 4 2 2 3 9 3" xfId="10996" xr:uid="{7BE17872-3DE3-4946-A458-003B215BE8C5}"/>
    <cellStyle name="Normal 4 2 2 4" xfId="347" xr:uid="{00000000-0005-0000-0000-000091120000}"/>
    <cellStyle name="Normal 4 2 2 4 10" xfId="8939" xr:uid="{2B039C8D-91A1-48E8-9B6E-363CC256807B}"/>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2 2 2" xfId="15717" xr:uid="{70386451-505B-41D4-9CA9-BE2CB131C26B}"/>
    <cellStyle name="Normal 4 2 2 4 2 2 2 2 3" xfId="11499" xr:uid="{2546B4E5-0062-41BA-8013-FC08D570F344}"/>
    <cellStyle name="Normal 4 2 2 4 2 2 2 3" xfId="5143" xr:uid="{00000000-0005-0000-0000-000097120000}"/>
    <cellStyle name="Normal 4 2 2 4 2 2 2 3 2" xfId="13572" xr:uid="{475B40FC-DC01-419C-BDA0-A1C2A85F5343}"/>
    <cellStyle name="Normal 4 2 2 4 2 2 2 4" xfId="9354" xr:uid="{FD4D0D11-5BF8-4AA1-A0DD-8B16D1510839}"/>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2 2 2" xfId="16130" xr:uid="{C07319B1-595C-402F-A6A0-FC297EA66EBA}"/>
    <cellStyle name="Normal 4 2 2 4 2 2 3 2 3" xfId="11912" xr:uid="{AE025286-AD58-4623-8CBB-7AED1E95461D}"/>
    <cellStyle name="Normal 4 2 2 4 2 2 3 3" xfId="5556" xr:uid="{00000000-0005-0000-0000-00009B120000}"/>
    <cellStyle name="Normal 4 2 2 4 2 2 3 3 2" xfId="13985" xr:uid="{4C2F7EDC-2FF1-4DB1-B820-2FAC54D78107}"/>
    <cellStyle name="Normal 4 2 2 4 2 2 3 4" xfId="9767" xr:uid="{F517F74A-CA0B-4F0D-A160-6CAED550851E}"/>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2 2 2" xfId="16543" xr:uid="{8DED9EFA-E2A0-4189-B88B-D8F71CB34E5D}"/>
    <cellStyle name="Normal 4 2 2 4 2 2 4 2 3" xfId="12325" xr:uid="{7E282023-9658-44FE-AA2D-C15F26350493}"/>
    <cellStyle name="Normal 4 2 2 4 2 2 4 3" xfId="5969" xr:uid="{00000000-0005-0000-0000-00009F120000}"/>
    <cellStyle name="Normal 4 2 2 4 2 2 4 3 2" xfId="14398" xr:uid="{C3406E4B-72D6-4522-92FE-20C2AAEAAD2A}"/>
    <cellStyle name="Normal 4 2 2 4 2 2 4 4" xfId="10180" xr:uid="{E4B86C23-DF52-4A90-B559-C75B3D0A4966}"/>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2 2 2" xfId="16956" xr:uid="{9634B9CD-F22F-4B4B-B352-A081A42610CC}"/>
    <cellStyle name="Normal 4 2 2 4 2 2 5 2 3" xfId="12738" xr:uid="{CB949BF6-89BB-4D75-814B-0AC2D8100490}"/>
    <cellStyle name="Normal 4 2 2 4 2 2 5 3" xfId="6382" xr:uid="{00000000-0005-0000-0000-0000A3120000}"/>
    <cellStyle name="Normal 4 2 2 4 2 2 5 3 2" xfId="14811" xr:uid="{5DD4021B-928E-43D2-8490-7BA2E008BBDA}"/>
    <cellStyle name="Normal 4 2 2 4 2 2 5 4" xfId="10593" xr:uid="{0AFDCC43-7431-48DA-9084-CAA0CA0C99CE}"/>
    <cellStyle name="Normal 4 2 2 4 2 2 6" xfId="2510" xr:uid="{00000000-0005-0000-0000-0000A4120000}"/>
    <cellStyle name="Normal 4 2 2 4 2 2 6 2" xfId="6795" xr:uid="{00000000-0005-0000-0000-0000A5120000}"/>
    <cellStyle name="Normal 4 2 2 4 2 2 6 2 2" xfId="15224" xr:uid="{62270E65-0058-4D16-9C3F-2B52D4C488F4}"/>
    <cellStyle name="Normal 4 2 2 4 2 2 6 3" xfId="11006" xr:uid="{71DB1F95-92D2-41F8-80C8-17A83C7FE60E}"/>
    <cellStyle name="Normal 4 2 2 4 2 2 7" xfId="4730" xr:uid="{00000000-0005-0000-0000-0000A6120000}"/>
    <cellStyle name="Normal 4 2 2 4 2 2 7 2" xfId="13159" xr:uid="{E5C9EA92-20A3-4CA1-A03F-3BF3FE76E044}"/>
    <cellStyle name="Normal 4 2 2 4 2 2 8" xfId="8941" xr:uid="{01740CAC-E5B1-4831-A927-4403431E3B7F}"/>
    <cellStyle name="Normal 4 2 2 4 2 3" xfId="826" xr:uid="{00000000-0005-0000-0000-0000A7120000}"/>
    <cellStyle name="Normal 4 2 2 4 2 3 2" xfId="3063" xr:uid="{00000000-0005-0000-0000-0000A8120000}"/>
    <cellStyle name="Normal 4 2 2 4 2 3 2 2" xfId="7287" xr:uid="{00000000-0005-0000-0000-0000A9120000}"/>
    <cellStyle name="Normal 4 2 2 4 2 3 2 2 2" xfId="15716" xr:uid="{85E302C8-24AF-4694-9EC4-AEE7F874744F}"/>
    <cellStyle name="Normal 4 2 2 4 2 3 2 3" xfId="11498" xr:uid="{3DAC25F4-E9B5-4B7D-9216-1A13E5E9CB0C}"/>
    <cellStyle name="Normal 4 2 2 4 2 3 3" xfId="5142" xr:uid="{00000000-0005-0000-0000-0000AA120000}"/>
    <cellStyle name="Normal 4 2 2 4 2 3 3 2" xfId="13571" xr:uid="{60D34629-F592-4512-AE05-BA09ED1C2A16}"/>
    <cellStyle name="Normal 4 2 2 4 2 3 4" xfId="9353" xr:uid="{0D2F6403-4C70-4D00-AFDE-B6272B38266D}"/>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2 2 2" xfId="16129" xr:uid="{BF94F0D5-A6AB-46F9-8AC2-40800BB02986}"/>
    <cellStyle name="Normal 4 2 2 4 2 4 2 3" xfId="11911" xr:uid="{CB9C286C-EEFD-4753-9E6E-B5E1B5BC6131}"/>
    <cellStyle name="Normal 4 2 2 4 2 4 3" xfId="5555" xr:uid="{00000000-0005-0000-0000-0000AE120000}"/>
    <cellStyle name="Normal 4 2 2 4 2 4 3 2" xfId="13984" xr:uid="{783B1344-B354-4F57-923F-E1D818B647FF}"/>
    <cellStyle name="Normal 4 2 2 4 2 4 4" xfId="9766" xr:uid="{52DC20DB-0CFA-4BAC-96E1-F5E93BDDB64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2 2 2" xfId="16542" xr:uid="{3771A8D4-4043-4BEC-AF07-84748D1856BF}"/>
    <cellStyle name="Normal 4 2 2 4 2 5 2 3" xfId="12324" xr:uid="{B484385B-74F6-47C1-B740-FD39ECFF357F}"/>
    <cellStyle name="Normal 4 2 2 4 2 5 3" xfId="5968" xr:uid="{00000000-0005-0000-0000-0000B2120000}"/>
    <cellStyle name="Normal 4 2 2 4 2 5 3 2" xfId="14397" xr:uid="{DF26A13B-CDAB-40F9-B1D8-2588CBBB2A0B}"/>
    <cellStyle name="Normal 4 2 2 4 2 5 4" xfId="10179" xr:uid="{728646B3-7BEB-4426-8232-EFD1D4F1F4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2 2 2" xfId="16955" xr:uid="{0813913B-2D2A-4283-A0CB-7ABC315BD422}"/>
    <cellStyle name="Normal 4 2 2 4 2 6 2 3" xfId="12737" xr:uid="{50EDD469-6CCD-47AF-B2B9-284926678AE7}"/>
    <cellStyle name="Normal 4 2 2 4 2 6 3" xfId="6381" xr:uid="{00000000-0005-0000-0000-0000B6120000}"/>
    <cellStyle name="Normal 4 2 2 4 2 6 3 2" xfId="14810" xr:uid="{8DF48EB5-F7EC-4144-A5A2-F14C07A7F53F}"/>
    <cellStyle name="Normal 4 2 2 4 2 6 4" xfId="10592" xr:uid="{ADC1583E-C4DB-46C7-A49E-103C7348EE09}"/>
    <cellStyle name="Normal 4 2 2 4 2 7" xfId="2509" xr:uid="{00000000-0005-0000-0000-0000B7120000}"/>
    <cellStyle name="Normal 4 2 2 4 2 7 2" xfId="6794" xr:uid="{00000000-0005-0000-0000-0000B8120000}"/>
    <cellStyle name="Normal 4 2 2 4 2 7 2 2" xfId="15223" xr:uid="{140872FF-3E25-458D-B82E-13632DEE2246}"/>
    <cellStyle name="Normal 4 2 2 4 2 7 3" xfId="11005" xr:uid="{4C1C9F62-B186-4304-9EE7-6C4A7E118C1B}"/>
    <cellStyle name="Normal 4 2 2 4 2 8" xfId="4729" xr:uid="{00000000-0005-0000-0000-0000B9120000}"/>
    <cellStyle name="Normal 4 2 2 4 2 8 2" xfId="13158" xr:uid="{79DAAC36-AFD9-4CE7-BC17-C8D3656DCC45}"/>
    <cellStyle name="Normal 4 2 2 4 2 9" xfId="8940" xr:uid="{3D5B248C-D164-401E-9658-6C40A5F14BE9}"/>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2 2 2" xfId="15718" xr:uid="{6F1F77F3-92A1-4726-BEE7-8C3597515E17}"/>
    <cellStyle name="Normal 4 2 2 4 3 2 2 3" xfId="11500" xr:uid="{1B84036E-FB8D-4BDB-99A0-7588E7A5FBAE}"/>
    <cellStyle name="Normal 4 2 2 4 3 2 3" xfId="5144" xr:uid="{00000000-0005-0000-0000-0000BE120000}"/>
    <cellStyle name="Normal 4 2 2 4 3 2 3 2" xfId="13573" xr:uid="{8B96B80A-0A34-473D-A15C-129633571D24}"/>
    <cellStyle name="Normal 4 2 2 4 3 2 4" xfId="9355" xr:uid="{428231BB-FAF9-4F3D-91FC-E7000BEADCF1}"/>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2 2 2" xfId="16131" xr:uid="{7B3E51FB-B4F0-44E4-8538-B7976E3CE012}"/>
    <cellStyle name="Normal 4 2 2 4 3 3 2 3" xfId="11913" xr:uid="{2DA809B9-0952-4AA4-A8F9-445862A3BCC7}"/>
    <cellStyle name="Normal 4 2 2 4 3 3 3" xfId="5557" xr:uid="{00000000-0005-0000-0000-0000C2120000}"/>
    <cellStyle name="Normal 4 2 2 4 3 3 3 2" xfId="13986" xr:uid="{5F281C26-E1B4-4776-8114-EB51F59D9E38}"/>
    <cellStyle name="Normal 4 2 2 4 3 3 4" xfId="9768" xr:uid="{AD0F77E1-629C-4691-AF71-DF670329CC54}"/>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2 2 2" xfId="16544" xr:uid="{7829D194-DF8C-452E-B783-D29C280A408D}"/>
    <cellStyle name="Normal 4 2 2 4 3 4 2 3" xfId="12326" xr:uid="{4503C4DB-D385-498E-9AD7-71B0E518869D}"/>
    <cellStyle name="Normal 4 2 2 4 3 4 3" xfId="5970" xr:uid="{00000000-0005-0000-0000-0000C6120000}"/>
    <cellStyle name="Normal 4 2 2 4 3 4 3 2" xfId="14399" xr:uid="{F85D5F61-F01D-41D7-B33B-05A109C6B582}"/>
    <cellStyle name="Normal 4 2 2 4 3 4 4" xfId="10181" xr:uid="{CAE4CC95-EC95-4659-A33E-0451CB5406A5}"/>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2 2 2" xfId="16957" xr:uid="{07A15F24-3867-4DAE-967E-3661B181C684}"/>
    <cellStyle name="Normal 4 2 2 4 3 5 2 3" xfId="12739" xr:uid="{302A3AF7-230F-45C9-963F-6CF4F067B7BA}"/>
    <cellStyle name="Normal 4 2 2 4 3 5 3" xfId="6383" xr:uid="{00000000-0005-0000-0000-0000CA120000}"/>
    <cellStyle name="Normal 4 2 2 4 3 5 3 2" xfId="14812" xr:uid="{2A2BB89C-B7BA-4D31-8C12-92B529E30F4A}"/>
    <cellStyle name="Normal 4 2 2 4 3 5 4" xfId="10594" xr:uid="{AF2057A5-6B67-4DC0-891A-A7C9210B989F}"/>
    <cellStyle name="Normal 4 2 2 4 3 6" xfId="2511" xr:uid="{00000000-0005-0000-0000-0000CB120000}"/>
    <cellStyle name="Normal 4 2 2 4 3 6 2" xfId="6796" xr:uid="{00000000-0005-0000-0000-0000CC120000}"/>
    <cellStyle name="Normal 4 2 2 4 3 6 2 2" xfId="15225" xr:uid="{780F3828-C7CD-402C-9E52-FF793DB46B7C}"/>
    <cellStyle name="Normal 4 2 2 4 3 6 3" xfId="11007" xr:uid="{03239EBA-7B69-4D50-A29C-EBE119FC7F5D}"/>
    <cellStyle name="Normal 4 2 2 4 3 7" xfId="4731" xr:uid="{00000000-0005-0000-0000-0000CD120000}"/>
    <cellStyle name="Normal 4 2 2 4 3 7 2" xfId="13160" xr:uid="{C706B9BD-2A21-466F-B330-021284407D4B}"/>
    <cellStyle name="Normal 4 2 2 4 3 8" xfId="8942" xr:uid="{E884C11C-9105-4660-BB22-B387E150D3DF}"/>
    <cellStyle name="Normal 4 2 2 4 4" xfId="825" xr:uid="{00000000-0005-0000-0000-0000CE120000}"/>
    <cellStyle name="Normal 4 2 2 4 4 2" xfId="3062" xr:uid="{00000000-0005-0000-0000-0000CF120000}"/>
    <cellStyle name="Normal 4 2 2 4 4 2 2" xfId="7286" xr:uid="{00000000-0005-0000-0000-0000D0120000}"/>
    <cellStyle name="Normal 4 2 2 4 4 2 2 2" xfId="15715" xr:uid="{0B7C713E-5A7C-4FA2-96A8-EBF9F07CD4E1}"/>
    <cellStyle name="Normal 4 2 2 4 4 2 3" xfId="11497" xr:uid="{30FB8561-E5EE-4140-AC0B-D8553874E164}"/>
    <cellStyle name="Normal 4 2 2 4 4 3" xfId="5141" xr:uid="{00000000-0005-0000-0000-0000D1120000}"/>
    <cellStyle name="Normal 4 2 2 4 4 3 2" xfId="13570" xr:uid="{2954371C-BAE2-44C6-A903-58E70F46A30A}"/>
    <cellStyle name="Normal 4 2 2 4 4 4" xfId="9352" xr:uid="{3A2667B3-EC43-44B8-BED0-4629F3D56259}"/>
    <cellStyle name="Normal 4 2 2 4 5" xfId="1245" xr:uid="{00000000-0005-0000-0000-0000D2120000}"/>
    <cellStyle name="Normal 4 2 2 4 5 2" xfId="3475" xr:uid="{00000000-0005-0000-0000-0000D3120000}"/>
    <cellStyle name="Normal 4 2 2 4 5 2 2" xfId="7699" xr:uid="{00000000-0005-0000-0000-0000D4120000}"/>
    <cellStyle name="Normal 4 2 2 4 5 2 2 2" xfId="16128" xr:uid="{712D1BC0-0B63-4709-BB03-B7A9E186E585}"/>
    <cellStyle name="Normal 4 2 2 4 5 2 3" xfId="11910" xr:uid="{098EAFF7-8794-4BEE-8AFF-0CE884AA22DF}"/>
    <cellStyle name="Normal 4 2 2 4 5 3" xfId="5554" xr:uid="{00000000-0005-0000-0000-0000D5120000}"/>
    <cellStyle name="Normal 4 2 2 4 5 3 2" xfId="13983" xr:uid="{2F9EEBB5-9945-465F-83E1-30522B74E6FC}"/>
    <cellStyle name="Normal 4 2 2 4 5 4" xfId="9765" xr:uid="{FD311BA6-881C-4D88-BFB6-472F8427A494}"/>
    <cellStyle name="Normal 4 2 2 4 6" xfId="1658" xr:uid="{00000000-0005-0000-0000-0000D6120000}"/>
    <cellStyle name="Normal 4 2 2 4 6 2" xfId="3888" xr:uid="{00000000-0005-0000-0000-0000D7120000}"/>
    <cellStyle name="Normal 4 2 2 4 6 2 2" xfId="8112" xr:uid="{00000000-0005-0000-0000-0000D8120000}"/>
    <cellStyle name="Normal 4 2 2 4 6 2 2 2" xfId="16541" xr:uid="{FCF5F403-D965-4E9E-8088-B8C0498E3D69}"/>
    <cellStyle name="Normal 4 2 2 4 6 2 3" xfId="12323" xr:uid="{F8F024B7-31CA-4335-831B-C100380B6605}"/>
    <cellStyle name="Normal 4 2 2 4 6 3" xfId="5967" xr:uid="{00000000-0005-0000-0000-0000D9120000}"/>
    <cellStyle name="Normal 4 2 2 4 6 3 2" xfId="14396" xr:uid="{74C0B9D5-33D4-4978-BEFC-CC46BEB9E7E7}"/>
    <cellStyle name="Normal 4 2 2 4 6 4" xfId="10178" xr:uid="{DAD85EA1-BBF2-416D-AD10-06256EB6E917}"/>
    <cellStyle name="Normal 4 2 2 4 7" xfId="2072" xr:uid="{00000000-0005-0000-0000-0000DA120000}"/>
    <cellStyle name="Normal 4 2 2 4 7 2" xfId="4301" xr:uid="{00000000-0005-0000-0000-0000DB120000}"/>
    <cellStyle name="Normal 4 2 2 4 7 2 2" xfId="8525" xr:uid="{00000000-0005-0000-0000-0000DC120000}"/>
    <cellStyle name="Normal 4 2 2 4 7 2 2 2" xfId="16954" xr:uid="{9A3536E6-845D-48F9-A5DC-ACAEB3B263D2}"/>
    <cellStyle name="Normal 4 2 2 4 7 2 3" xfId="12736" xr:uid="{B9071EFD-875A-4955-B6C0-0DAD42546CB6}"/>
    <cellStyle name="Normal 4 2 2 4 7 3" xfId="6380" xr:uid="{00000000-0005-0000-0000-0000DD120000}"/>
    <cellStyle name="Normal 4 2 2 4 7 3 2" xfId="14809" xr:uid="{C9748E30-41F2-401F-BEC9-658461889A8B}"/>
    <cellStyle name="Normal 4 2 2 4 7 4" xfId="10591" xr:uid="{C64C67EF-A1AD-4513-8B51-99C52DC87497}"/>
    <cellStyle name="Normal 4 2 2 4 8" xfId="2508" xr:uid="{00000000-0005-0000-0000-0000DE120000}"/>
    <cellStyle name="Normal 4 2 2 4 8 2" xfId="6793" xr:uid="{00000000-0005-0000-0000-0000DF120000}"/>
    <cellStyle name="Normal 4 2 2 4 8 2 2" xfId="15222" xr:uid="{24E2D64B-6D5F-4D2E-B63B-D9F28D1AA298}"/>
    <cellStyle name="Normal 4 2 2 4 8 3" xfId="11004" xr:uid="{114B0FDA-C9E9-4B23-9323-FB3B6CD59D36}"/>
    <cellStyle name="Normal 4 2 2 4 9" xfId="4728" xr:uid="{00000000-0005-0000-0000-0000E0120000}"/>
    <cellStyle name="Normal 4 2 2 4 9 2" xfId="13157" xr:uid="{7783761F-463B-4725-8487-8F0185E72FC5}"/>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2 2 2" xfId="15720" xr:uid="{30DB8523-F092-4901-80CD-A971A22FB4CB}"/>
    <cellStyle name="Normal 4 2 2 5 2 2 2 3" xfId="11502" xr:uid="{A437E2B3-A0A4-45D2-9D6A-3AFB8F6FDFE3}"/>
    <cellStyle name="Normal 4 2 2 5 2 2 3" xfId="5146" xr:uid="{00000000-0005-0000-0000-0000E6120000}"/>
    <cellStyle name="Normal 4 2 2 5 2 2 3 2" xfId="13575" xr:uid="{121F2DE8-1B1E-4073-99BA-5DA0693A8E16}"/>
    <cellStyle name="Normal 4 2 2 5 2 2 4" xfId="9357" xr:uid="{303A8B20-31FC-443E-A949-DCCDF9F93EC4}"/>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2 2 2" xfId="16133" xr:uid="{2E3492CC-CBD3-47CC-B1BE-51FA8D28B961}"/>
    <cellStyle name="Normal 4 2 2 5 2 3 2 3" xfId="11915" xr:uid="{67867A56-E21A-4CAD-8C20-19D9321460A8}"/>
    <cellStyle name="Normal 4 2 2 5 2 3 3" xfId="5559" xr:uid="{00000000-0005-0000-0000-0000EA120000}"/>
    <cellStyle name="Normal 4 2 2 5 2 3 3 2" xfId="13988" xr:uid="{6E0D1FD7-F304-4F42-9812-C8D44D0882AA}"/>
    <cellStyle name="Normal 4 2 2 5 2 3 4" xfId="9770" xr:uid="{BE5B2C76-A254-411F-B47F-75AB50F22EDA}"/>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2 2 2" xfId="16546" xr:uid="{3AB97FAA-64D3-448F-AC38-3205171297A7}"/>
    <cellStyle name="Normal 4 2 2 5 2 4 2 3" xfId="12328" xr:uid="{8F5E7CC3-6F4A-4BE5-9DB7-7B77D3BE6448}"/>
    <cellStyle name="Normal 4 2 2 5 2 4 3" xfId="5972" xr:uid="{00000000-0005-0000-0000-0000EE120000}"/>
    <cellStyle name="Normal 4 2 2 5 2 4 3 2" xfId="14401" xr:uid="{C034BC43-BAE8-4E86-ADDA-0EF702B5F25F}"/>
    <cellStyle name="Normal 4 2 2 5 2 4 4" xfId="10183" xr:uid="{AF0AECFB-D411-4FD7-99EC-3B41CC50172E}"/>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2 2 2" xfId="16959" xr:uid="{A47650E4-B60D-48F9-8BEB-CDB9698A66FC}"/>
    <cellStyle name="Normal 4 2 2 5 2 5 2 3" xfId="12741" xr:uid="{0074A87E-B4F8-4B6E-9FE2-774EFE5F3B7A}"/>
    <cellStyle name="Normal 4 2 2 5 2 5 3" xfId="6385" xr:uid="{00000000-0005-0000-0000-0000F2120000}"/>
    <cellStyle name="Normal 4 2 2 5 2 5 3 2" xfId="14814" xr:uid="{BD4E6E3E-EA41-436D-99AA-CA2C0902646C}"/>
    <cellStyle name="Normal 4 2 2 5 2 5 4" xfId="10596" xr:uid="{C0D73846-8CBE-40AD-8815-B900B596A9F2}"/>
    <cellStyle name="Normal 4 2 2 5 2 6" xfId="2513" xr:uid="{00000000-0005-0000-0000-0000F3120000}"/>
    <cellStyle name="Normal 4 2 2 5 2 6 2" xfId="6798" xr:uid="{00000000-0005-0000-0000-0000F4120000}"/>
    <cellStyle name="Normal 4 2 2 5 2 6 2 2" xfId="15227" xr:uid="{D5677C86-5382-41E4-90D2-4AA006B636BF}"/>
    <cellStyle name="Normal 4 2 2 5 2 6 3" xfId="11009" xr:uid="{40B49C6B-AF84-4039-BB5D-6ECD75A0EE2B}"/>
    <cellStyle name="Normal 4 2 2 5 2 7" xfId="4733" xr:uid="{00000000-0005-0000-0000-0000F5120000}"/>
    <cellStyle name="Normal 4 2 2 5 2 7 2" xfId="13162" xr:uid="{AA5CAFC2-66C2-4588-A974-D9F1909F9BCE}"/>
    <cellStyle name="Normal 4 2 2 5 2 8" xfId="8944" xr:uid="{ED88565D-59D5-490A-849B-73B9D6F03D3B}"/>
    <cellStyle name="Normal 4 2 2 5 3" xfId="829" xr:uid="{00000000-0005-0000-0000-0000F6120000}"/>
    <cellStyle name="Normal 4 2 2 5 3 2" xfId="3066" xr:uid="{00000000-0005-0000-0000-0000F7120000}"/>
    <cellStyle name="Normal 4 2 2 5 3 2 2" xfId="7290" xr:uid="{00000000-0005-0000-0000-0000F8120000}"/>
    <cellStyle name="Normal 4 2 2 5 3 2 2 2" xfId="15719" xr:uid="{40C863C1-74FE-4AF8-935F-6DA3538D0CF2}"/>
    <cellStyle name="Normal 4 2 2 5 3 2 3" xfId="11501" xr:uid="{8A5CD49D-102B-4A92-8CC7-26E686E2CC73}"/>
    <cellStyle name="Normal 4 2 2 5 3 3" xfId="5145" xr:uid="{00000000-0005-0000-0000-0000F9120000}"/>
    <cellStyle name="Normal 4 2 2 5 3 3 2" xfId="13574" xr:uid="{E8EFD536-05EE-4192-9BCF-7BC68DFFEDB3}"/>
    <cellStyle name="Normal 4 2 2 5 3 4" xfId="9356" xr:uid="{853E440C-3978-48EB-B207-BC0F739ED621}"/>
    <cellStyle name="Normal 4 2 2 5 4" xfId="1249" xr:uid="{00000000-0005-0000-0000-0000FA120000}"/>
    <cellStyle name="Normal 4 2 2 5 4 2" xfId="3479" xr:uid="{00000000-0005-0000-0000-0000FB120000}"/>
    <cellStyle name="Normal 4 2 2 5 4 2 2" xfId="7703" xr:uid="{00000000-0005-0000-0000-0000FC120000}"/>
    <cellStyle name="Normal 4 2 2 5 4 2 2 2" xfId="16132" xr:uid="{FA994FBD-4BB8-4748-B174-AE10388B794A}"/>
    <cellStyle name="Normal 4 2 2 5 4 2 3" xfId="11914" xr:uid="{A419E551-427C-4311-A897-8282EB204925}"/>
    <cellStyle name="Normal 4 2 2 5 4 3" xfId="5558" xr:uid="{00000000-0005-0000-0000-0000FD120000}"/>
    <cellStyle name="Normal 4 2 2 5 4 3 2" xfId="13987" xr:uid="{1CDB6F91-8007-43B8-B0DE-839FBB82B783}"/>
    <cellStyle name="Normal 4 2 2 5 4 4" xfId="9769" xr:uid="{885B139F-D7A3-4865-B001-1E07C11E39CC}"/>
    <cellStyle name="Normal 4 2 2 5 5" xfId="1662" xr:uid="{00000000-0005-0000-0000-0000FE120000}"/>
    <cellStyle name="Normal 4 2 2 5 5 2" xfId="3892" xr:uid="{00000000-0005-0000-0000-0000FF120000}"/>
    <cellStyle name="Normal 4 2 2 5 5 2 2" xfId="8116" xr:uid="{00000000-0005-0000-0000-000000130000}"/>
    <cellStyle name="Normal 4 2 2 5 5 2 2 2" xfId="16545" xr:uid="{93C0BC0F-4F7A-4096-89B7-E6E1C3374CB4}"/>
    <cellStyle name="Normal 4 2 2 5 5 2 3" xfId="12327" xr:uid="{42A10F4D-8FB5-4F62-A1FD-AAA9CC50D8E2}"/>
    <cellStyle name="Normal 4 2 2 5 5 3" xfId="5971" xr:uid="{00000000-0005-0000-0000-000001130000}"/>
    <cellStyle name="Normal 4 2 2 5 5 3 2" xfId="14400" xr:uid="{4050A689-9466-4663-88DF-D7AF143B33E1}"/>
    <cellStyle name="Normal 4 2 2 5 5 4" xfId="10182" xr:uid="{65430DC3-D85E-48C4-A726-066B16EAABF7}"/>
    <cellStyle name="Normal 4 2 2 5 6" xfId="2076" xr:uid="{00000000-0005-0000-0000-000002130000}"/>
    <cellStyle name="Normal 4 2 2 5 6 2" xfId="4305" xr:uid="{00000000-0005-0000-0000-000003130000}"/>
    <cellStyle name="Normal 4 2 2 5 6 2 2" xfId="8529" xr:uid="{00000000-0005-0000-0000-000004130000}"/>
    <cellStyle name="Normal 4 2 2 5 6 2 2 2" xfId="16958" xr:uid="{A317B9E8-703F-422F-AF3C-76CC33E13036}"/>
    <cellStyle name="Normal 4 2 2 5 6 2 3" xfId="12740" xr:uid="{289C0FAE-7FF7-4706-88F9-F6007A0C2CE1}"/>
    <cellStyle name="Normal 4 2 2 5 6 3" xfId="6384" xr:uid="{00000000-0005-0000-0000-000005130000}"/>
    <cellStyle name="Normal 4 2 2 5 6 3 2" xfId="14813" xr:uid="{07893C4C-FBF6-441B-99EC-938A5EF42596}"/>
    <cellStyle name="Normal 4 2 2 5 6 4" xfId="10595" xr:uid="{1869DF27-CCC8-4906-A9A1-58BBFA00B6C4}"/>
    <cellStyle name="Normal 4 2 2 5 7" xfId="2512" xr:uid="{00000000-0005-0000-0000-000006130000}"/>
    <cellStyle name="Normal 4 2 2 5 7 2" xfId="6797" xr:uid="{00000000-0005-0000-0000-000007130000}"/>
    <cellStyle name="Normal 4 2 2 5 7 2 2" xfId="15226" xr:uid="{961589F8-33F0-4355-880F-F50D0D14A928}"/>
    <cellStyle name="Normal 4 2 2 5 7 3" xfId="11008" xr:uid="{773B0939-EBE9-4570-9173-B718B4855E3F}"/>
    <cellStyle name="Normal 4 2 2 5 8" xfId="4732" xr:uid="{00000000-0005-0000-0000-000008130000}"/>
    <cellStyle name="Normal 4 2 2 5 8 2" xfId="13161" xr:uid="{29252F7F-E746-4D68-A9DF-CEFDD618783C}"/>
    <cellStyle name="Normal 4 2 2 5 9" xfId="8943" xr:uid="{A3A2CB30-8FA4-4CD2-97B0-76A079D1C8CE}"/>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2 2 2" xfId="15721" xr:uid="{FC6A9F85-AD3A-47C5-8420-187AABAB2016}"/>
    <cellStyle name="Normal 4 2 2 6 2 2 3" xfId="11503" xr:uid="{86B34F5C-7151-4A41-BFA1-71959F0D26BD}"/>
    <cellStyle name="Normal 4 2 2 6 2 3" xfId="5147" xr:uid="{00000000-0005-0000-0000-00000D130000}"/>
    <cellStyle name="Normal 4 2 2 6 2 3 2" xfId="13576" xr:uid="{D41A0FF0-54D3-486A-882B-7A507B363264}"/>
    <cellStyle name="Normal 4 2 2 6 2 4" xfId="9358" xr:uid="{9C86B0C1-3899-45D1-AC04-D9D27348282F}"/>
    <cellStyle name="Normal 4 2 2 6 3" xfId="1251" xr:uid="{00000000-0005-0000-0000-00000E130000}"/>
    <cellStyle name="Normal 4 2 2 6 3 2" xfId="3481" xr:uid="{00000000-0005-0000-0000-00000F130000}"/>
    <cellStyle name="Normal 4 2 2 6 3 2 2" xfId="7705" xr:uid="{00000000-0005-0000-0000-000010130000}"/>
    <cellStyle name="Normal 4 2 2 6 3 2 2 2" xfId="16134" xr:uid="{C95846A9-437C-46DC-9095-42F76D528678}"/>
    <cellStyle name="Normal 4 2 2 6 3 2 3" xfId="11916" xr:uid="{54BE15B7-F817-423C-9756-AD2F7B03E387}"/>
    <cellStyle name="Normal 4 2 2 6 3 3" xfId="5560" xr:uid="{00000000-0005-0000-0000-000011130000}"/>
    <cellStyle name="Normal 4 2 2 6 3 3 2" xfId="13989" xr:uid="{46DC64D1-4396-485C-BDE7-47909E43C209}"/>
    <cellStyle name="Normal 4 2 2 6 3 4" xfId="9771" xr:uid="{19D9F0F3-1AFF-44CC-8BAF-242D834371DD}"/>
    <cellStyle name="Normal 4 2 2 6 4" xfId="1664" xr:uid="{00000000-0005-0000-0000-000012130000}"/>
    <cellStyle name="Normal 4 2 2 6 4 2" xfId="3894" xr:uid="{00000000-0005-0000-0000-000013130000}"/>
    <cellStyle name="Normal 4 2 2 6 4 2 2" xfId="8118" xr:uid="{00000000-0005-0000-0000-000014130000}"/>
    <cellStyle name="Normal 4 2 2 6 4 2 2 2" xfId="16547" xr:uid="{BA130F8F-D08C-478F-B935-81AEF21A9F70}"/>
    <cellStyle name="Normal 4 2 2 6 4 2 3" xfId="12329" xr:uid="{4AF59A20-6220-4D5B-B156-D5352CC61F76}"/>
    <cellStyle name="Normal 4 2 2 6 4 3" xfId="5973" xr:uid="{00000000-0005-0000-0000-000015130000}"/>
    <cellStyle name="Normal 4 2 2 6 4 3 2" xfId="14402" xr:uid="{2A55D555-11E7-40DA-9364-FB54CD4B0BE5}"/>
    <cellStyle name="Normal 4 2 2 6 4 4" xfId="10184" xr:uid="{BB0477E8-20D1-49E7-AA2F-F0E984DDC32A}"/>
    <cellStyle name="Normal 4 2 2 6 5" xfId="2078" xr:uid="{00000000-0005-0000-0000-000016130000}"/>
    <cellStyle name="Normal 4 2 2 6 5 2" xfId="4307" xr:uid="{00000000-0005-0000-0000-000017130000}"/>
    <cellStyle name="Normal 4 2 2 6 5 2 2" xfId="8531" xr:uid="{00000000-0005-0000-0000-000018130000}"/>
    <cellStyle name="Normal 4 2 2 6 5 2 2 2" xfId="16960" xr:uid="{476D7197-85AB-4079-AAC4-32122B9BF65E}"/>
    <cellStyle name="Normal 4 2 2 6 5 2 3" xfId="12742" xr:uid="{FA364402-5D1C-4004-BE2D-F8FAECA25565}"/>
    <cellStyle name="Normal 4 2 2 6 5 3" xfId="6386" xr:uid="{00000000-0005-0000-0000-000019130000}"/>
    <cellStyle name="Normal 4 2 2 6 5 3 2" xfId="14815" xr:uid="{DAE50977-2088-4619-9EAA-E374B79C6F24}"/>
    <cellStyle name="Normal 4 2 2 6 5 4" xfId="10597" xr:uid="{82012EE3-82DD-4A2E-A565-B4D1FFBE7908}"/>
    <cellStyle name="Normal 4 2 2 6 6" xfId="2514" xr:uid="{00000000-0005-0000-0000-00001A130000}"/>
    <cellStyle name="Normal 4 2 2 6 6 2" xfId="6799" xr:uid="{00000000-0005-0000-0000-00001B130000}"/>
    <cellStyle name="Normal 4 2 2 6 6 2 2" xfId="15228" xr:uid="{BF7B6010-F1BD-43A2-89F2-0C836834151F}"/>
    <cellStyle name="Normal 4 2 2 6 6 3" xfId="11010" xr:uid="{01DE5D30-224C-4576-B1ED-7695D2F54A2C}"/>
    <cellStyle name="Normal 4 2 2 6 7" xfId="4734" xr:uid="{00000000-0005-0000-0000-00001C130000}"/>
    <cellStyle name="Normal 4 2 2 6 7 2" xfId="13163" xr:uid="{B5766822-DF71-42D5-9247-64EBBF112563}"/>
    <cellStyle name="Normal 4 2 2 6 8" xfId="8945" xr:uid="{606A1428-FB9C-439F-9F20-7469044F85AB}"/>
    <cellStyle name="Normal 4 2 2 7" xfId="816" xr:uid="{00000000-0005-0000-0000-00001D130000}"/>
    <cellStyle name="Normal 4 2 2 7 2" xfId="3053" xr:uid="{00000000-0005-0000-0000-00001E130000}"/>
    <cellStyle name="Normal 4 2 2 7 2 2" xfId="7277" xr:uid="{00000000-0005-0000-0000-00001F130000}"/>
    <cellStyle name="Normal 4 2 2 7 2 2 2" xfId="15706" xr:uid="{4E7BAEA0-BB4C-4F54-957F-BC19BE1433F2}"/>
    <cellStyle name="Normal 4 2 2 7 2 3" xfId="11488" xr:uid="{4E18337D-090D-4A80-AFB9-FD31FE824329}"/>
    <cellStyle name="Normal 4 2 2 7 3" xfId="5132" xr:uid="{00000000-0005-0000-0000-000020130000}"/>
    <cellStyle name="Normal 4 2 2 7 3 2" xfId="13561" xr:uid="{30306950-E7AA-4457-BCBF-7CDD05CFBFF6}"/>
    <cellStyle name="Normal 4 2 2 7 4" xfId="9343" xr:uid="{FFC7A477-E019-43B4-8960-62386F2B2139}"/>
    <cellStyle name="Normal 4 2 2 8" xfId="1236" xr:uid="{00000000-0005-0000-0000-000021130000}"/>
    <cellStyle name="Normal 4 2 2 8 2" xfId="3466" xr:uid="{00000000-0005-0000-0000-000022130000}"/>
    <cellStyle name="Normal 4 2 2 8 2 2" xfId="7690" xr:uid="{00000000-0005-0000-0000-000023130000}"/>
    <cellStyle name="Normal 4 2 2 8 2 2 2" xfId="16119" xr:uid="{DA0C5F1D-815A-4DFA-BA1E-2DC09F39724C}"/>
    <cellStyle name="Normal 4 2 2 8 2 3" xfId="11901" xr:uid="{7FC0A9D3-2F10-4CD5-AB85-6D483012575E}"/>
    <cellStyle name="Normal 4 2 2 8 3" xfId="5545" xr:uid="{00000000-0005-0000-0000-000024130000}"/>
    <cellStyle name="Normal 4 2 2 8 3 2" xfId="13974" xr:uid="{BCF439BC-A909-4B7A-A614-762D6A732843}"/>
    <cellStyle name="Normal 4 2 2 8 4" xfId="9756" xr:uid="{1ACCBA40-03F4-446F-A630-588C946F95FA}"/>
    <cellStyle name="Normal 4 2 2 9" xfId="1649" xr:uid="{00000000-0005-0000-0000-000025130000}"/>
    <cellStyle name="Normal 4 2 2 9 2" xfId="3879" xr:uid="{00000000-0005-0000-0000-000026130000}"/>
    <cellStyle name="Normal 4 2 2 9 2 2" xfId="8103" xr:uid="{00000000-0005-0000-0000-000027130000}"/>
    <cellStyle name="Normal 4 2 2 9 2 2 2" xfId="16532" xr:uid="{ACFDA662-EB10-44F3-8C26-956E34AC94C7}"/>
    <cellStyle name="Normal 4 2 2 9 2 3" xfId="12314" xr:uid="{E2119092-4773-4998-8C02-868877D41FAE}"/>
    <cellStyle name="Normal 4 2 2 9 3" xfId="5958" xr:uid="{00000000-0005-0000-0000-000028130000}"/>
    <cellStyle name="Normal 4 2 2 9 3 2" xfId="14387" xr:uid="{CE6D04DC-A124-43F5-828B-FA75000F97DC}"/>
    <cellStyle name="Normal 4 2 2 9 4" xfId="10169" xr:uid="{E850698B-D2B2-4ECA-AE80-0A4A9ABC8F5E}"/>
    <cellStyle name="Normal 4 2 3" xfId="354" xr:uid="{00000000-0005-0000-0000-000029130000}"/>
    <cellStyle name="Normal 4 2 4" xfId="355" xr:uid="{00000000-0005-0000-0000-00002A130000}"/>
    <cellStyle name="Normal 4 2 4 10" xfId="4735" xr:uid="{00000000-0005-0000-0000-00002B130000}"/>
    <cellStyle name="Normal 4 2 4 10 2" xfId="13164" xr:uid="{B57ED205-393A-4395-BDAB-45A2E83A87E2}"/>
    <cellStyle name="Normal 4 2 4 11" xfId="8946" xr:uid="{682C6798-173E-44B1-95CB-E2E05D489251}"/>
    <cellStyle name="Normal 4 2 4 2" xfId="356" xr:uid="{00000000-0005-0000-0000-00002C130000}"/>
    <cellStyle name="Normal 4 2 4 2 10" xfId="8947" xr:uid="{AB5C09D1-DE62-46B2-BD1D-C9A1E384298F}"/>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2 2 2" xfId="15725" xr:uid="{9671D61A-43AA-40FF-8780-C3AFCBD2ECBB}"/>
    <cellStyle name="Normal 4 2 4 2 2 2 2 2 3" xfId="11507" xr:uid="{D8D04B6A-4EC5-4E85-9C77-E8A37ED7C49D}"/>
    <cellStyle name="Normal 4 2 4 2 2 2 2 3" xfId="5151" xr:uid="{00000000-0005-0000-0000-000032130000}"/>
    <cellStyle name="Normal 4 2 4 2 2 2 2 3 2" xfId="13580" xr:uid="{0F59492E-630E-4940-8A8C-021FFA77E05D}"/>
    <cellStyle name="Normal 4 2 4 2 2 2 2 4" xfId="9362" xr:uid="{EA5F447D-AEBC-45D5-B90D-95AB958B097E}"/>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2 2 2" xfId="16138" xr:uid="{A4B0F289-43A1-49C2-A469-CD72AA9AF371}"/>
    <cellStyle name="Normal 4 2 4 2 2 2 3 2 3" xfId="11920" xr:uid="{42DF8068-818C-4911-9D97-6DB9C24B6C02}"/>
    <cellStyle name="Normal 4 2 4 2 2 2 3 3" xfId="5564" xr:uid="{00000000-0005-0000-0000-000036130000}"/>
    <cellStyle name="Normal 4 2 4 2 2 2 3 3 2" xfId="13993" xr:uid="{425E2031-52A0-4CE4-B357-3A5FB39AFF2C}"/>
    <cellStyle name="Normal 4 2 4 2 2 2 3 4" xfId="9775" xr:uid="{D1DE47E0-8A63-40AB-903A-477ADAB427D6}"/>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2 2 2" xfId="16551" xr:uid="{7488D69C-623A-4076-A359-40B3B958F228}"/>
    <cellStyle name="Normal 4 2 4 2 2 2 4 2 3" xfId="12333" xr:uid="{2ABCD6AA-0F4A-4EF3-A219-589B6C0CC9BE}"/>
    <cellStyle name="Normal 4 2 4 2 2 2 4 3" xfId="5977" xr:uid="{00000000-0005-0000-0000-00003A130000}"/>
    <cellStyle name="Normal 4 2 4 2 2 2 4 3 2" xfId="14406" xr:uid="{AD22B954-C171-4B73-8443-A47BB09082B5}"/>
    <cellStyle name="Normal 4 2 4 2 2 2 4 4" xfId="10188" xr:uid="{F164D85F-7B18-43CD-9303-B86FF598D7DD}"/>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2 2 2" xfId="16964" xr:uid="{4ADACD7E-3D58-41E2-BB1B-A06F1166DC47}"/>
    <cellStyle name="Normal 4 2 4 2 2 2 5 2 3" xfId="12746" xr:uid="{57B60CD2-AF92-4BA0-AF38-F9CF6479255A}"/>
    <cellStyle name="Normal 4 2 4 2 2 2 5 3" xfId="6390" xr:uid="{00000000-0005-0000-0000-00003E130000}"/>
    <cellStyle name="Normal 4 2 4 2 2 2 5 3 2" xfId="14819" xr:uid="{CB4D53EF-E6EA-4728-8A07-EFBA0C4A5915}"/>
    <cellStyle name="Normal 4 2 4 2 2 2 5 4" xfId="10601" xr:uid="{0004B2D9-BF15-448A-8DA7-A64AB6D26E8E}"/>
    <cellStyle name="Normal 4 2 4 2 2 2 6" xfId="2518" xr:uid="{00000000-0005-0000-0000-00003F130000}"/>
    <cellStyle name="Normal 4 2 4 2 2 2 6 2" xfId="6803" xr:uid="{00000000-0005-0000-0000-000040130000}"/>
    <cellStyle name="Normal 4 2 4 2 2 2 6 2 2" xfId="15232" xr:uid="{434CDDDF-2394-4F82-90F6-006191F4CDFB}"/>
    <cellStyle name="Normal 4 2 4 2 2 2 6 3" xfId="11014" xr:uid="{741E18B0-88C8-4A0C-9518-A21A56BDF039}"/>
    <cellStyle name="Normal 4 2 4 2 2 2 7" xfId="4738" xr:uid="{00000000-0005-0000-0000-000041130000}"/>
    <cellStyle name="Normal 4 2 4 2 2 2 7 2" xfId="13167" xr:uid="{F744FDC6-FA10-464F-8F6A-A442DD961DD2}"/>
    <cellStyle name="Normal 4 2 4 2 2 2 8" xfId="8949" xr:uid="{14798B1F-9CAC-421F-9DE4-729071C61138}"/>
    <cellStyle name="Normal 4 2 4 2 2 3" xfId="834" xr:uid="{00000000-0005-0000-0000-000042130000}"/>
    <cellStyle name="Normal 4 2 4 2 2 3 2" xfId="3071" xr:uid="{00000000-0005-0000-0000-000043130000}"/>
    <cellStyle name="Normal 4 2 4 2 2 3 2 2" xfId="7295" xr:uid="{00000000-0005-0000-0000-000044130000}"/>
    <cellStyle name="Normal 4 2 4 2 2 3 2 2 2" xfId="15724" xr:uid="{BE6772CD-0E46-4319-8CC4-6B6EA1A9710C}"/>
    <cellStyle name="Normal 4 2 4 2 2 3 2 3" xfId="11506" xr:uid="{11606589-7626-4D6F-AE33-781F748580A5}"/>
    <cellStyle name="Normal 4 2 4 2 2 3 3" xfId="5150" xr:uid="{00000000-0005-0000-0000-000045130000}"/>
    <cellStyle name="Normal 4 2 4 2 2 3 3 2" xfId="13579" xr:uid="{258B2CEA-91A3-4CFD-911A-46B2011DD631}"/>
    <cellStyle name="Normal 4 2 4 2 2 3 4" xfId="9361" xr:uid="{AA91CBC6-037D-4E97-854E-F8037122597E}"/>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2 2 2" xfId="16137" xr:uid="{93F92137-373D-4EA4-9A53-1D3C6CF54E86}"/>
    <cellStyle name="Normal 4 2 4 2 2 4 2 3" xfId="11919" xr:uid="{DF30907F-0566-4D87-B100-B2EA2F0022A8}"/>
    <cellStyle name="Normal 4 2 4 2 2 4 3" xfId="5563" xr:uid="{00000000-0005-0000-0000-000049130000}"/>
    <cellStyle name="Normal 4 2 4 2 2 4 3 2" xfId="13992" xr:uid="{5D9D1514-5103-48CF-AD65-A903485E15AE}"/>
    <cellStyle name="Normal 4 2 4 2 2 4 4" xfId="9774" xr:uid="{82A4AC4D-6B1E-475D-A730-B0B9AB6DBC2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2 2 2" xfId="16550" xr:uid="{7758B561-2AD7-44BE-9E8E-8C55C4107693}"/>
    <cellStyle name="Normal 4 2 4 2 2 5 2 3" xfId="12332" xr:uid="{0EC5CDF1-4035-4CD9-B563-70193B8DF91B}"/>
    <cellStyle name="Normal 4 2 4 2 2 5 3" xfId="5976" xr:uid="{00000000-0005-0000-0000-00004D130000}"/>
    <cellStyle name="Normal 4 2 4 2 2 5 3 2" xfId="14405" xr:uid="{E823AC2F-AB39-40F3-9150-141ADC27D8AE}"/>
    <cellStyle name="Normal 4 2 4 2 2 5 4" xfId="10187" xr:uid="{B9DB90E6-1EF6-46F2-8AB5-E681CEC5BA9B}"/>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2 2 2" xfId="16963" xr:uid="{3B83497D-A398-4A43-8A80-BA40D8400CB2}"/>
    <cellStyle name="Normal 4 2 4 2 2 6 2 3" xfId="12745" xr:uid="{315B73BD-0FE6-40E0-B25F-DA0C356D2E63}"/>
    <cellStyle name="Normal 4 2 4 2 2 6 3" xfId="6389" xr:uid="{00000000-0005-0000-0000-000051130000}"/>
    <cellStyle name="Normal 4 2 4 2 2 6 3 2" xfId="14818" xr:uid="{49ED37A4-ED48-4703-BE1A-A6A2DE29DC99}"/>
    <cellStyle name="Normal 4 2 4 2 2 6 4" xfId="10600" xr:uid="{464871EF-C7F4-47B1-9EB2-699EFB3C8E61}"/>
    <cellStyle name="Normal 4 2 4 2 2 7" xfId="2517" xr:uid="{00000000-0005-0000-0000-000052130000}"/>
    <cellStyle name="Normal 4 2 4 2 2 7 2" xfId="6802" xr:uid="{00000000-0005-0000-0000-000053130000}"/>
    <cellStyle name="Normal 4 2 4 2 2 7 2 2" xfId="15231" xr:uid="{E320219C-DE71-4C78-981E-6F16D7851460}"/>
    <cellStyle name="Normal 4 2 4 2 2 7 3" xfId="11013" xr:uid="{EFF30230-619D-42BA-9207-3F0425910BE7}"/>
    <cellStyle name="Normal 4 2 4 2 2 8" xfId="4737" xr:uid="{00000000-0005-0000-0000-000054130000}"/>
    <cellStyle name="Normal 4 2 4 2 2 8 2" xfId="13166" xr:uid="{D1338175-E37C-4A67-A57E-08B4DFA77C1D}"/>
    <cellStyle name="Normal 4 2 4 2 2 9" xfId="8948" xr:uid="{8D12791B-F694-481C-A0E5-AE18AD570E91}"/>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2 2 2" xfId="15726" xr:uid="{91DB52FB-1D3D-46B9-BAA7-454DB34D22B8}"/>
    <cellStyle name="Normal 4 2 4 2 3 2 2 3" xfId="11508" xr:uid="{D6AD461C-0F1F-4501-A18C-19AD4C50F7CE}"/>
    <cellStyle name="Normal 4 2 4 2 3 2 3" xfId="5152" xr:uid="{00000000-0005-0000-0000-000059130000}"/>
    <cellStyle name="Normal 4 2 4 2 3 2 3 2" xfId="13581" xr:uid="{F16989E5-2876-4AF5-819B-C42288AC3D9F}"/>
    <cellStyle name="Normal 4 2 4 2 3 2 4" xfId="9363" xr:uid="{BAFA52B3-35DF-46EF-B2C5-AC853D64685D}"/>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2 2 2" xfId="16139" xr:uid="{2FE6840B-A47C-4AC1-B753-5B854E9957C4}"/>
    <cellStyle name="Normal 4 2 4 2 3 3 2 3" xfId="11921" xr:uid="{454ED6F4-9274-423A-9609-CD4439FF03EA}"/>
    <cellStyle name="Normal 4 2 4 2 3 3 3" xfId="5565" xr:uid="{00000000-0005-0000-0000-00005D130000}"/>
    <cellStyle name="Normal 4 2 4 2 3 3 3 2" xfId="13994" xr:uid="{CF55C118-717B-4C9A-AB9E-53DEB349E457}"/>
    <cellStyle name="Normal 4 2 4 2 3 3 4" xfId="9776" xr:uid="{36A7C1CA-7A9F-424E-AB12-0F3161DBDC96}"/>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2 2 2" xfId="16552" xr:uid="{B24B7817-8FDF-4D47-9D93-78506F0C8928}"/>
    <cellStyle name="Normal 4 2 4 2 3 4 2 3" xfId="12334" xr:uid="{58DC9930-1177-4CBD-A315-3E3376AFCC75}"/>
    <cellStyle name="Normal 4 2 4 2 3 4 3" xfId="5978" xr:uid="{00000000-0005-0000-0000-000061130000}"/>
    <cellStyle name="Normal 4 2 4 2 3 4 3 2" xfId="14407" xr:uid="{02DEA6AD-CC00-4A7A-8B69-4A87BB475E0B}"/>
    <cellStyle name="Normal 4 2 4 2 3 4 4" xfId="10189" xr:uid="{7DDA6B59-A1E1-4CC0-9387-5BED7CCBEDEA}"/>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2 2 2" xfId="16965" xr:uid="{A46F9A25-3CCC-4115-B0D3-292CA847B24D}"/>
    <cellStyle name="Normal 4 2 4 2 3 5 2 3" xfId="12747" xr:uid="{119333AC-DCA6-4BFC-88A5-7F9914C3B173}"/>
    <cellStyle name="Normal 4 2 4 2 3 5 3" xfId="6391" xr:uid="{00000000-0005-0000-0000-000065130000}"/>
    <cellStyle name="Normal 4 2 4 2 3 5 3 2" xfId="14820" xr:uid="{A49EF8AA-EBA3-40BF-9D80-1D25DAE4FDDA}"/>
    <cellStyle name="Normal 4 2 4 2 3 5 4" xfId="10602" xr:uid="{C7F21C63-E2E6-4380-A0FF-18A086926FC8}"/>
    <cellStyle name="Normal 4 2 4 2 3 6" xfId="2519" xr:uid="{00000000-0005-0000-0000-000066130000}"/>
    <cellStyle name="Normal 4 2 4 2 3 6 2" xfId="6804" xr:uid="{00000000-0005-0000-0000-000067130000}"/>
    <cellStyle name="Normal 4 2 4 2 3 6 2 2" xfId="15233" xr:uid="{B66C316D-6ACB-4291-9DCF-0C10C46750D7}"/>
    <cellStyle name="Normal 4 2 4 2 3 6 3" xfId="11015" xr:uid="{3EDE8D10-AA7D-490F-B7E5-B0B1C5A44A45}"/>
    <cellStyle name="Normal 4 2 4 2 3 7" xfId="4739" xr:uid="{00000000-0005-0000-0000-000068130000}"/>
    <cellStyle name="Normal 4 2 4 2 3 7 2" xfId="13168" xr:uid="{DD8967F9-5C86-491D-9617-372B68D359A1}"/>
    <cellStyle name="Normal 4 2 4 2 3 8" xfId="8950" xr:uid="{135F22A7-5A9C-438A-96B9-DC049F255921}"/>
    <cellStyle name="Normal 4 2 4 2 4" xfId="833" xr:uid="{00000000-0005-0000-0000-000069130000}"/>
    <cellStyle name="Normal 4 2 4 2 4 2" xfId="3070" xr:uid="{00000000-0005-0000-0000-00006A130000}"/>
    <cellStyle name="Normal 4 2 4 2 4 2 2" xfId="7294" xr:uid="{00000000-0005-0000-0000-00006B130000}"/>
    <cellStyle name="Normal 4 2 4 2 4 2 2 2" xfId="15723" xr:uid="{68E855A0-41A0-42AD-9AEE-013539C5497F}"/>
    <cellStyle name="Normal 4 2 4 2 4 2 3" xfId="11505" xr:uid="{6EE31397-608B-4953-B98D-A8A8C3877816}"/>
    <cellStyle name="Normal 4 2 4 2 4 3" xfId="5149" xr:uid="{00000000-0005-0000-0000-00006C130000}"/>
    <cellStyle name="Normal 4 2 4 2 4 3 2" xfId="13578" xr:uid="{73138F16-19B5-4E76-BE25-7FC2A3DEA611}"/>
    <cellStyle name="Normal 4 2 4 2 4 4" xfId="9360" xr:uid="{CC15828D-C0DF-4A29-9CE6-B7AEEA582C28}"/>
    <cellStyle name="Normal 4 2 4 2 5" xfId="1253" xr:uid="{00000000-0005-0000-0000-00006D130000}"/>
    <cellStyle name="Normal 4 2 4 2 5 2" xfId="3483" xr:uid="{00000000-0005-0000-0000-00006E130000}"/>
    <cellStyle name="Normal 4 2 4 2 5 2 2" xfId="7707" xr:uid="{00000000-0005-0000-0000-00006F130000}"/>
    <cellStyle name="Normal 4 2 4 2 5 2 2 2" xfId="16136" xr:uid="{C0114A53-77A5-4878-BACB-5ACED07FFFC7}"/>
    <cellStyle name="Normal 4 2 4 2 5 2 3" xfId="11918" xr:uid="{5891D74D-5ECB-44DA-A2C2-3ECE693A500F}"/>
    <cellStyle name="Normal 4 2 4 2 5 3" xfId="5562" xr:uid="{00000000-0005-0000-0000-000070130000}"/>
    <cellStyle name="Normal 4 2 4 2 5 3 2" xfId="13991" xr:uid="{49C5CFF6-4AF1-4C27-9D2F-FE8DA83161BC}"/>
    <cellStyle name="Normal 4 2 4 2 5 4" xfId="9773" xr:uid="{997A54EB-3AFE-4F2D-86AF-29EEBF04436D}"/>
    <cellStyle name="Normal 4 2 4 2 6" xfId="1666" xr:uid="{00000000-0005-0000-0000-000071130000}"/>
    <cellStyle name="Normal 4 2 4 2 6 2" xfId="3896" xr:uid="{00000000-0005-0000-0000-000072130000}"/>
    <cellStyle name="Normal 4 2 4 2 6 2 2" xfId="8120" xr:uid="{00000000-0005-0000-0000-000073130000}"/>
    <cellStyle name="Normal 4 2 4 2 6 2 2 2" xfId="16549" xr:uid="{14E88265-1A69-4A9B-8CBD-DD67A1B55E61}"/>
    <cellStyle name="Normal 4 2 4 2 6 2 3" xfId="12331" xr:uid="{CF6A2CDE-4D76-4662-A18A-A6E37225899D}"/>
    <cellStyle name="Normal 4 2 4 2 6 3" xfId="5975" xr:uid="{00000000-0005-0000-0000-000074130000}"/>
    <cellStyle name="Normal 4 2 4 2 6 3 2" xfId="14404" xr:uid="{7E90EAEC-9901-4938-AAA4-D1859645B0E1}"/>
    <cellStyle name="Normal 4 2 4 2 6 4" xfId="10186" xr:uid="{F51AB67E-E7C2-44D1-A1F4-4800F670D5D3}"/>
    <cellStyle name="Normal 4 2 4 2 7" xfId="2080" xr:uid="{00000000-0005-0000-0000-000075130000}"/>
    <cellStyle name="Normal 4 2 4 2 7 2" xfId="4309" xr:uid="{00000000-0005-0000-0000-000076130000}"/>
    <cellStyle name="Normal 4 2 4 2 7 2 2" xfId="8533" xr:uid="{00000000-0005-0000-0000-000077130000}"/>
    <cellStyle name="Normal 4 2 4 2 7 2 2 2" xfId="16962" xr:uid="{6C08B4DF-AA14-4DF0-BE76-A1AE826CDA9D}"/>
    <cellStyle name="Normal 4 2 4 2 7 2 3" xfId="12744" xr:uid="{9CF9D336-0263-4E42-BB59-AE43B1780E06}"/>
    <cellStyle name="Normal 4 2 4 2 7 3" xfId="6388" xr:uid="{00000000-0005-0000-0000-000078130000}"/>
    <cellStyle name="Normal 4 2 4 2 7 3 2" xfId="14817" xr:uid="{72A4B401-0A50-4A5B-AAD2-78B42FAF8970}"/>
    <cellStyle name="Normal 4 2 4 2 7 4" xfId="10599" xr:uid="{807B9AF8-4275-4ED9-9432-9C198E557A28}"/>
    <cellStyle name="Normal 4 2 4 2 8" xfId="2516" xr:uid="{00000000-0005-0000-0000-000079130000}"/>
    <cellStyle name="Normal 4 2 4 2 8 2" xfId="6801" xr:uid="{00000000-0005-0000-0000-00007A130000}"/>
    <cellStyle name="Normal 4 2 4 2 8 2 2" xfId="15230" xr:uid="{FD210A4E-7E1F-4722-AAF3-008D78A47FF6}"/>
    <cellStyle name="Normal 4 2 4 2 8 3" xfId="11012" xr:uid="{65BD91D5-D76A-4748-B697-BB42127CA62B}"/>
    <cellStyle name="Normal 4 2 4 2 9" xfId="4736" xr:uid="{00000000-0005-0000-0000-00007B130000}"/>
    <cellStyle name="Normal 4 2 4 2 9 2" xfId="13165" xr:uid="{AD1E9BDB-C609-4E1D-98FF-BBAAA93D8429}"/>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2 2 2" xfId="15728" xr:uid="{16199C2F-3451-46F5-BCA7-4AB36A25DAD6}"/>
    <cellStyle name="Normal 4 2 4 3 2 2 2 3" xfId="11510" xr:uid="{167F5809-FD39-461B-9830-463A725C8375}"/>
    <cellStyle name="Normal 4 2 4 3 2 2 3" xfId="5154" xr:uid="{00000000-0005-0000-0000-000081130000}"/>
    <cellStyle name="Normal 4 2 4 3 2 2 3 2" xfId="13583" xr:uid="{696E8CB7-8884-4AF2-8C29-1AFBF25B6C46}"/>
    <cellStyle name="Normal 4 2 4 3 2 2 4" xfId="9365" xr:uid="{3960C071-FFFD-4CA2-B15D-3DDB5A34AC91}"/>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2 2 2" xfId="16141" xr:uid="{98C854E6-A45F-4796-BA66-91DD807C2DCB}"/>
    <cellStyle name="Normal 4 2 4 3 2 3 2 3" xfId="11923" xr:uid="{8E1FD8D0-1714-424B-A304-19599CB2151F}"/>
    <cellStyle name="Normal 4 2 4 3 2 3 3" xfId="5567" xr:uid="{00000000-0005-0000-0000-000085130000}"/>
    <cellStyle name="Normal 4 2 4 3 2 3 3 2" xfId="13996" xr:uid="{53F3CE4D-54CC-40DB-98D5-65C7DC1CDD2F}"/>
    <cellStyle name="Normal 4 2 4 3 2 3 4" xfId="9778" xr:uid="{58AFB5F4-D690-45CA-8855-A4AF0220481E}"/>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2 2 2" xfId="16554" xr:uid="{A7B683B9-E9F7-4EB5-A0C7-6475A7439BA3}"/>
    <cellStyle name="Normal 4 2 4 3 2 4 2 3" xfId="12336" xr:uid="{EDE496BE-435D-4282-A68E-E229F2A029E6}"/>
    <cellStyle name="Normal 4 2 4 3 2 4 3" xfId="5980" xr:uid="{00000000-0005-0000-0000-000089130000}"/>
    <cellStyle name="Normal 4 2 4 3 2 4 3 2" xfId="14409" xr:uid="{076517EB-AE2B-49DB-82A0-748D18A6DDFF}"/>
    <cellStyle name="Normal 4 2 4 3 2 4 4" xfId="10191" xr:uid="{2F55EC96-C26A-482D-A4A0-829E11CBBBD3}"/>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2 2 2" xfId="16967" xr:uid="{F5B90804-9A3C-4106-94BA-352CFC3224C7}"/>
    <cellStyle name="Normal 4 2 4 3 2 5 2 3" xfId="12749" xr:uid="{521189BB-A510-4493-8A8E-961CCBFF1B49}"/>
    <cellStyle name="Normal 4 2 4 3 2 5 3" xfId="6393" xr:uid="{00000000-0005-0000-0000-00008D130000}"/>
    <cellStyle name="Normal 4 2 4 3 2 5 3 2" xfId="14822" xr:uid="{AA713797-B217-4BBD-96D7-32502E7E5008}"/>
    <cellStyle name="Normal 4 2 4 3 2 5 4" xfId="10604" xr:uid="{4BD7DCAC-D148-4773-B5B1-52D73888AED8}"/>
    <cellStyle name="Normal 4 2 4 3 2 6" xfId="2521" xr:uid="{00000000-0005-0000-0000-00008E130000}"/>
    <cellStyle name="Normal 4 2 4 3 2 6 2" xfId="6806" xr:uid="{00000000-0005-0000-0000-00008F130000}"/>
    <cellStyle name="Normal 4 2 4 3 2 6 2 2" xfId="15235" xr:uid="{433701EF-D8CB-499A-AC17-0E3F97BFD18B}"/>
    <cellStyle name="Normal 4 2 4 3 2 6 3" xfId="11017" xr:uid="{A105BB51-ED38-4AD4-9775-3A3B5B733922}"/>
    <cellStyle name="Normal 4 2 4 3 2 7" xfId="4741" xr:uid="{00000000-0005-0000-0000-000090130000}"/>
    <cellStyle name="Normal 4 2 4 3 2 7 2" xfId="13170" xr:uid="{9A783BFB-DA07-4A8A-9DFA-F26695B2A40F}"/>
    <cellStyle name="Normal 4 2 4 3 2 8" xfId="8952" xr:uid="{0BDE226A-156A-4FD5-9CD9-9D60860F0599}"/>
    <cellStyle name="Normal 4 2 4 3 3" xfId="837" xr:uid="{00000000-0005-0000-0000-000091130000}"/>
    <cellStyle name="Normal 4 2 4 3 3 2" xfId="3074" xr:uid="{00000000-0005-0000-0000-000092130000}"/>
    <cellStyle name="Normal 4 2 4 3 3 2 2" xfId="7298" xr:uid="{00000000-0005-0000-0000-000093130000}"/>
    <cellStyle name="Normal 4 2 4 3 3 2 2 2" xfId="15727" xr:uid="{D5BD86B0-64E0-454A-AF5E-73EA6284B4CE}"/>
    <cellStyle name="Normal 4 2 4 3 3 2 3" xfId="11509" xr:uid="{4FEF4AE6-F0CC-4BE7-B9AE-15B3B4B27B00}"/>
    <cellStyle name="Normal 4 2 4 3 3 3" xfId="5153" xr:uid="{00000000-0005-0000-0000-000094130000}"/>
    <cellStyle name="Normal 4 2 4 3 3 3 2" xfId="13582" xr:uid="{2DA5D375-779D-4D8D-9705-E1C13C0C6163}"/>
    <cellStyle name="Normal 4 2 4 3 3 4" xfId="9364" xr:uid="{C1979972-B082-4587-B0AF-D7F9C2EB2EF7}"/>
    <cellStyle name="Normal 4 2 4 3 4" xfId="1257" xr:uid="{00000000-0005-0000-0000-000095130000}"/>
    <cellStyle name="Normal 4 2 4 3 4 2" xfId="3487" xr:uid="{00000000-0005-0000-0000-000096130000}"/>
    <cellStyle name="Normal 4 2 4 3 4 2 2" xfId="7711" xr:uid="{00000000-0005-0000-0000-000097130000}"/>
    <cellStyle name="Normal 4 2 4 3 4 2 2 2" xfId="16140" xr:uid="{A4BCC422-812C-45A3-947A-264F7546E5D6}"/>
    <cellStyle name="Normal 4 2 4 3 4 2 3" xfId="11922" xr:uid="{FFF0EF26-7DA5-44E7-B2CB-64A1C21C52CF}"/>
    <cellStyle name="Normal 4 2 4 3 4 3" xfId="5566" xr:uid="{00000000-0005-0000-0000-000098130000}"/>
    <cellStyle name="Normal 4 2 4 3 4 3 2" xfId="13995" xr:uid="{9CA3ED9E-D850-4219-943D-8E887C950463}"/>
    <cellStyle name="Normal 4 2 4 3 4 4" xfId="9777" xr:uid="{A00F6720-6203-4DE9-89E7-923D82A584E8}"/>
    <cellStyle name="Normal 4 2 4 3 5" xfId="1670" xr:uid="{00000000-0005-0000-0000-000099130000}"/>
    <cellStyle name="Normal 4 2 4 3 5 2" xfId="3900" xr:uid="{00000000-0005-0000-0000-00009A130000}"/>
    <cellStyle name="Normal 4 2 4 3 5 2 2" xfId="8124" xr:uid="{00000000-0005-0000-0000-00009B130000}"/>
    <cellStyle name="Normal 4 2 4 3 5 2 2 2" xfId="16553" xr:uid="{989485D4-AA1A-4C9D-BCEC-B40AFA520FA5}"/>
    <cellStyle name="Normal 4 2 4 3 5 2 3" xfId="12335" xr:uid="{7AFB595C-3C7F-4E2C-B56A-85B8D8BF4AAA}"/>
    <cellStyle name="Normal 4 2 4 3 5 3" xfId="5979" xr:uid="{00000000-0005-0000-0000-00009C130000}"/>
    <cellStyle name="Normal 4 2 4 3 5 3 2" xfId="14408" xr:uid="{C2F2917D-A3EB-4E56-A6D5-CAB03EDB13E5}"/>
    <cellStyle name="Normal 4 2 4 3 5 4" xfId="10190" xr:uid="{7C0F1DA5-47F2-42D5-B120-EBE6A5DE04D5}"/>
    <cellStyle name="Normal 4 2 4 3 6" xfId="2084" xr:uid="{00000000-0005-0000-0000-00009D130000}"/>
    <cellStyle name="Normal 4 2 4 3 6 2" xfId="4313" xr:uid="{00000000-0005-0000-0000-00009E130000}"/>
    <cellStyle name="Normal 4 2 4 3 6 2 2" xfId="8537" xr:uid="{00000000-0005-0000-0000-00009F130000}"/>
    <cellStyle name="Normal 4 2 4 3 6 2 2 2" xfId="16966" xr:uid="{7FDF193E-59FB-4CC7-80BB-73D76A13F2E8}"/>
    <cellStyle name="Normal 4 2 4 3 6 2 3" xfId="12748" xr:uid="{6A23A339-854C-4129-894B-CCA1CB83490B}"/>
    <cellStyle name="Normal 4 2 4 3 6 3" xfId="6392" xr:uid="{00000000-0005-0000-0000-0000A0130000}"/>
    <cellStyle name="Normal 4 2 4 3 6 3 2" xfId="14821" xr:uid="{2EFF9098-5369-4A6A-AE0C-4B4416031F91}"/>
    <cellStyle name="Normal 4 2 4 3 6 4" xfId="10603" xr:uid="{6EF7F025-C761-4F55-BF5F-CBED8EBBFD1D}"/>
    <cellStyle name="Normal 4 2 4 3 7" xfId="2520" xr:uid="{00000000-0005-0000-0000-0000A1130000}"/>
    <cellStyle name="Normal 4 2 4 3 7 2" xfId="6805" xr:uid="{00000000-0005-0000-0000-0000A2130000}"/>
    <cellStyle name="Normal 4 2 4 3 7 2 2" xfId="15234" xr:uid="{BF5BB1FA-FC4C-4B3F-A5B3-CCBF297139A4}"/>
    <cellStyle name="Normal 4 2 4 3 7 3" xfId="11016" xr:uid="{8918CB58-1059-4DD0-8D99-0D4A384080FA}"/>
    <cellStyle name="Normal 4 2 4 3 8" xfId="4740" xr:uid="{00000000-0005-0000-0000-0000A3130000}"/>
    <cellStyle name="Normal 4 2 4 3 8 2" xfId="13169" xr:uid="{0E2077E8-D707-4B9E-9354-62C423EE48B9}"/>
    <cellStyle name="Normal 4 2 4 3 9" xfId="8951" xr:uid="{405491D5-D8DC-4EB1-863B-529BA346C8BA}"/>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2 2 2" xfId="15729" xr:uid="{D649F502-BB78-47CB-86EB-E40DA8FED893}"/>
    <cellStyle name="Normal 4 2 4 4 2 2 3" xfId="11511" xr:uid="{6AD4861B-2DEE-434C-BBED-6904C30C6009}"/>
    <cellStyle name="Normal 4 2 4 4 2 3" xfId="5155" xr:uid="{00000000-0005-0000-0000-0000A8130000}"/>
    <cellStyle name="Normal 4 2 4 4 2 3 2" xfId="13584" xr:uid="{1DB18535-9244-40F7-9855-D87D4A75610E}"/>
    <cellStyle name="Normal 4 2 4 4 2 4" xfId="9366" xr:uid="{6E89A608-AF74-4222-B488-3DE03672425A}"/>
    <cellStyle name="Normal 4 2 4 4 3" xfId="1259" xr:uid="{00000000-0005-0000-0000-0000A9130000}"/>
    <cellStyle name="Normal 4 2 4 4 3 2" xfId="3489" xr:uid="{00000000-0005-0000-0000-0000AA130000}"/>
    <cellStyle name="Normal 4 2 4 4 3 2 2" xfId="7713" xr:uid="{00000000-0005-0000-0000-0000AB130000}"/>
    <cellStyle name="Normal 4 2 4 4 3 2 2 2" xfId="16142" xr:uid="{0E405A64-D870-4CF0-9B19-9D7861F259F2}"/>
    <cellStyle name="Normal 4 2 4 4 3 2 3" xfId="11924" xr:uid="{1E14FA49-2BB8-4ACD-BB69-1E70833FB2F4}"/>
    <cellStyle name="Normal 4 2 4 4 3 3" xfId="5568" xr:uid="{00000000-0005-0000-0000-0000AC130000}"/>
    <cellStyle name="Normal 4 2 4 4 3 3 2" xfId="13997" xr:uid="{9E81800A-2E1E-481D-A1FE-6EC0ED90A761}"/>
    <cellStyle name="Normal 4 2 4 4 3 4" xfId="9779" xr:uid="{2BE2F291-3233-4408-B268-C8B6CD4812E1}"/>
    <cellStyle name="Normal 4 2 4 4 4" xfId="1672" xr:uid="{00000000-0005-0000-0000-0000AD130000}"/>
    <cellStyle name="Normal 4 2 4 4 4 2" xfId="3902" xr:uid="{00000000-0005-0000-0000-0000AE130000}"/>
    <cellStyle name="Normal 4 2 4 4 4 2 2" xfId="8126" xr:uid="{00000000-0005-0000-0000-0000AF130000}"/>
    <cellStyle name="Normal 4 2 4 4 4 2 2 2" xfId="16555" xr:uid="{D20742F9-1AFF-4C2B-8DA4-B467D917A10A}"/>
    <cellStyle name="Normal 4 2 4 4 4 2 3" xfId="12337" xr:uid="{FEC079E4-17CE-4381-955C-53599F04CE53}"/>
    <cellStyle name="Normal 4 2 4 4 4 3" xfId="5981" xr:uid="{00000000-0005-0000-0000-0000B0130000}"/>
    <cellStyle name="Normal 4 2 4 4 4 3 2" xfId="14410" xr:uid="{15D6BA83-46DD-42BD-887B-55B55A29D197}"/>
    <cellStyle name="Normal 4 2 4 4 4 4" xfId="10192" xr:uid="{527FB1CF-05F8-43E6-B860-E4F0C0B7DB4B}"/>
    <cellStyle name="Normal 4 2 4 4 5" xfId="2086" xr:uid="{00000000-0005-0000-0000-0000B1130000}"/>
    <cellStyle name="Normal 4 2 4 4 5 2" xfId="4315" xr:uid="{00000000-0005-0000-0000-0000B2130000}"/>
    <cellStyle name="Normal 4 2 4 4 5 2 2" xfId="8539" xr:uid="{00000000-0005-0000-0000-0000B3130000}"/>
    <cellStyle name="Normal 4 2 4 4 5 2 2 2" xfId="16968" xr:uid="{54AB949C-F72D-4BFD-8A38-A26FC94F579D}"/>
    <cellStyle name="Normal 4 2 4 4 5 2 3" xfId="12750" xr:uid="{1EE323C6-F1A1-47B8-BD0E-6D862FADE0C0}"/>
    <cellStyle name="Normal 4 2 4 4 5 3" xfId="6394" xr:uid="{00000000-0005-0000-0000-0000B4130000}"/>
    <cellStyle name="Normal 4 2 4 4 5 3 2" xfId="14823" xr:uid="{09AB721B-585D-4955-A20D-0CBEBBA21613}"/>
    <cellStyle name="Normal 4 2 4 4 5 4" xfId="10605" xr:uid="{0CD25153-F980-4F3A-A22A-A17EEA149024}"/>
    <cellStyle name="Normal 4 2 4 4 6" xfId="2522" xr:uid="{00000000-0005-0000-0000-0000B5130000}"/>
    <cellStyle name="Normal 4 2 4 4 6 2" xfId="6807" xr:uid="{00000000-0005-0000-0000-0000B6130000}"/>
    <cellStyle name="Normal 4 2 4 4 6 2 2" xfId="15236" xr:uid="{83D1EA1B-FC52-4EBE-966C-E6E757F6D0AA}"/>
    <cellStyle name="Normal 4 2 4 4 6 3" xfId="11018" xr:uid="{B2FBE60A-A25B-4D39-B3EB-6CB068D83851}"/>
    <cellStyle name="Normal 4 2 4 4 7" xfId="4742" xr:uid="{00000000-0005-0000-0000-0000B7130000}"/>
    <cellStyle name="Normal 4 2 4 4 7 2" xfId="13171" xr:uid="{B1F52B83-80C3-4810-9FB1-FF4111BE598F}"/>
    <cellStyle name="Normal 4 2 4 4 8" xfId="8953" xr:uid="{9E5F86B0-D9A2-4CE6-8075-D78719615406}"/>
    <cellStyle name="Normal 4 2 4 5" xfId="832" xr:uid="{00000000-0005-0000-0000-0000B8130000}"/>
    <cellStyle name="Normal 4 2 4 5 2" xfId="3069" xr:uid="{00000000-0005-0000-0000-0000B9130000}"/>
    <cellStyle name="Normal 4 2 4 5 2 2" xfId="7293" xr:uid="{00000000-0005-0000-0000-0000BA130000}"/>
    <cellStyle name="Normal 4 2 4 5 2 2 2" xfId="15722" xr:uid="{852EF3F6-8374-4582-8101-C68A0A2246F6}"/>
    <cellStyle name="Normal 4 2 4 5 2 3" xfId="11504" xr:uid="{6467056F-958B-4DD5-82C3-19B34BE123DD}"/>
    <cellStyle name="Normal 4 2 4 5 3" xfId="5148" xr:uid="{00000000-0005-0000-0000-0000BB130000}"/>
    <cellStyle name="Normal 4 2 4 5 3 2" xfId="13577" xr:uid="{91000715-CE85-4EFF-81F3-573118BBEECC}"/>
    <cellStyle name="Normal 4 2 4 5 4" xfId="9359" xr:uid="{79216B1C-1E56-49BA-AEBF-29913DDF65EA}"/>
    <cellStyle name="Normal 4 2 4 6" xfId="1252" xr:uid="{00000000-0005-0000-0000-0000BC130000}"/>
    <cellStyle name="Normal 4 2 4 6 2" xfId="3482" xr:uid="{00000000-0005-0000-0000-0000BD130000}"/>
    <cellStyle name="Normal 4 2 4 6 2 2" xfId="7706" xr:uid="{00000000-0005-0000-0000-0000BE130000}"/>
    <cellStyle name="Normal 4 2 4 6 2 2 2" xfId="16135" xr:uid="{E7B075EA-FB94-4F96-B3F7-AC8B65878320}"/>
    <cellStyle name="Normal 4 2 4 6 2 3" xfId="11917" xr:uid="{54614C19-CD26-4279-8F95-C2683DA2E006}"/>
    <cellStyle name="Normal 4 2 4 6 3" xfId="5561" xr:uid="{00000000-0005-0000-0000-0000BF130000}"/>
    <cellStyle name="Normal 4 2 4 6 3 2" xfId="13990" xr:uid="{532685D5-EEF0-4976-82B0-EC4DACAC6855}"/>
    <cellStyle name="Normal 4 2 4 6 4" xfId="9772" xr:uid="{A27C1B69-CD99-40F3-AA6D-143BE65D677E}"/>
    <cellStyle name="Normal 4 2 4 7" xfId="1665" xr:uid="{00000000-0005-0000-0000-0000C0130000}"/>
    <cellStyle name="Normal 4 2 4 7 2" xfId="3895" xr:uid="{00000000-0005-0000-0000-0000C1130000}"/>
    <cellStyle name="Normal 4 2 4 7 2 2" xfId="8119" xr:uid="{00000000-0005-0000-0000-0000C2130000}"/>
    <cellStyle name="Normal 4 2 4 7 2 2 2" xfId="16548" xr:uid="{FA172E9E-43D4-4AD4-8E14-2C60075A4692}"/>
    <cellStyle name="Normal 4 2 4 7 2 3" xfId="12330" xr:uid="{DAAC14C0-494A-42AE-8959-48F214F8101D}"/>
    <cellStyle name="Normal 4 2 4 7 3" xfId="5974" xr:uid="{00000000-0005-0000-0000-0000C3130000}"/>
    <cellStyle name="Normal 4 2 4 7 3 2" xfId="14403" xr:uid="{7E0E7B86-3D71-4EDF-A59B-479B3E352C55}"/>
    <cellStyle name="Normal 4 2 4 7 4" xfId="10185" xr:uid="{E92F2D16-928F-4E00-BB27-28E5A2FA4429}"/>
    <cellStyle name="Normal 4 2 4 8" xfId="2079" xr:uid="{00000000-0005-0000-0000-0000C4130000}"/>
    <cellStyle name="Normal 4 2 4 8 2" xfId="4308" xr:uid="{00000000-0005-0000-0000-0000C5130000}"/>
    <cellStyle name="Normal 4 2 4 8 2 2" xfId="8532" xr:uid="{00000000-0005-0000-0000-0000C6130000}"/>
    <cellStyle name="Normal 4 2 4 8 2 2 2" xfId="16961" xr:uid="{0423238C-0C29-41B7-B0BE-FBA97931B3E3}"/>
    <cellStyle name="Normal 4 2 4 8 2 3" xfId="12743" xr:uid="{F0B4EC56-4590-4CEF-9E5A-DAC208B7CBD0}"/>
    <cellStyle name="Normal 4 2 4 8 3" xfId="6387" xr:uid="{00000000-0005-0000-0000-0000C7130000}"/>
    <cellStyle name="Normal 4 2 4 8 3 2" xfId="14816" xr:uid="{B2B58E1B-B379-4CF2-BB16-AE585D14DBD5}"/>
    <cellStyle name="Normal 4 2 4 8 4" xfId="10598" xr:uid="{75442C8D-541F-4265-8D96-E6A8F10EDB35}"/>
    <cellStyle name="Normal 4 2 4 9" xfId="2515" xr:uid="{00000000-0005-0000-0000-0000C8130000}"/>
    <cellStyle name="Normal 4 2 4 9 2" xfId="6800" xr:uid="{00000000-0005-0000-0000-0000C9130000}"/>
    <cellStyle name="Normal 4 2 4 9 2 2" xfId="15229" xr:uid="{BCCDCD97-7D52-46B7-AB0C-D1CEFC8B754C}"/>
    <cellStyle name="Normal 4 2 4 9 3" xfId="11011" xr:uid="{CDC67C23-760C-4ED5-9E08-DE36FC89AA75}"/>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2 2 2" xfId="15731" xr:uid="{1AC8B559-E19A-4FDD-8976-40DAF5F8D20C}"/>
    <cellStyle name="Normal 4 2 5 2 2 2 3" xfId="11513" xr:uid="{508D1BFE-8F5C-4CA5-B30B-A7E688632CA9}"/>
    <cellStyle name="Normal 4 2 5 2 2 3" xfId="5157" xr:uid="{00000000-0005-0000-0000-0000CF130000}"/>
    <cellStyle name="Normal 4 2 5 2 2 3 2" xfId="13586" xr:uid="{1EE6E4AC-80D1-4720-9C50-7B8F52DECAE9}"/>
    <cellStyle name="Normal 4 2 5 2 2 4" xfId="9368" xr:uid="{4D8AA3D2-111D-490B-8D98-1BA536A37A00}"/>
    <cellStyle name="Normal 4 2 5 2 3" xfId="1261" xr:uid="{00000000-0005-0000-0000-0000D0130000}"/>
    <cellStyle name="Normal 4 2 5 2 3 2" xfId="3491" xr:uid="{00000000-0005-0000-0000-0000D1130000}"/>
    <cellStyle name="Normal 4 2 5 2 3 2 2" xfId="7715" xr:uid="{00000000-0005-0000-0000-0000D2130000}"/>
    <cellStyle name="Normal 4 2 5 2 3 2 2 2" xfId="16144" xr:uid="{DA34EE7E-B3F2-41FB-97AE-064DD472177A}"/>
    <cellStyle name="Normal 4 2 5 2 3 2 3" xfId="11926" xr:uid="{A5865605-FF2B-485A-8A60-4A87A34E0B56}"/>
    <cellStyle name="Normal 4 2 5 2 3 3" xfId="5570" xr:uid="{00000000-0005-0000-0000-0000D3130000}"/>
    <cellStyle name="Normal 4 2 5 2 3 3 2" xfId="13999" xr:uid="{DDB78C75-D2FD-48E2-8D2F-15733C7AFD4C}"/>
    <cellStyle name="Normal 4 2 5 2 3 4" xfId="9781" xr:uid="{040713A2-5A83-4BE6-8510-852DB45D08F7}"/>
    <cellStyle name="Normal 4 2 5 2 4" xfId="1674" xr:uid="{00000000-0005-0000-0000-0000D4130000}"/>
    <cellStyle name="Normal 4 2 5 2 4 2" xfId="3904" xr:uid="{00000000-0005-0000-0000-0000D5130000}"/>
    <cellStyle name="Normal 4 2 5 2 4 2 2" xfId="8128" xr:uid="{00000000-0005-0000-0000-0000D6130000}"/>
    <cellStyle name="Normal 4 2 5 2 4 2 2 2" xfId="16557" xr:uid="{ADE8DCDB-37F0-436F-8977-BEFBCB52A6E5}"/>
    <cellStyle name="Normal 4 2 5 2 4 2 3" xfId="12339" xr:uid="{81C6D7AE-06D5-4562-A10F-F8B20CDBA29A}"/>
    <cellStyle name="Normal 4 2 5 2 4 3" xfId="5983" xr:uid="{00000000-0005-0000-0000-0000D7130000}"/>
    <cellStyle name="Normal 4 2 5 2 4 3 2" xfId="14412" xr:uid="{460351D5-039C-45AF-9E16-7B48BCA52393}"/>
    <cellStyle name="Normal 4 2 5 2 4 4" xfId="10194" xr:uid="{0A3DA750-4C2A-4634-9A91-2B3FAABD8EA1}"/>
    <cellStyle name="Normal 4 2 5 2 5" xfId="2088" xr:uid="{00000000-0005-0000-0000-0000D8130000}"/>
    <cellStyle name="Normal 4 2 5 2 5 2" xfId="4317" xr:uid="{00000000-0005-0000-0000-0000D9130000}"/>
    <cellStyle name="Normal 4 2 5 2 5 2 2" xfId="8541" xr:uid="{00000000-0005-0000-0000-0000DA130000}"/>
    <cellStyle name="Normal 4 2 5 2 5 2 2 2" xfId="16970" xr:uid="{97896929-469F-41CF-ABA5-87EB0707E07C}"/>
    <cellStyle name="Normal 4 2 5 2 5 2 3" xfId="12752" xr:uid="{65A67F6C-903E-4ADC-825B-B5A70D19F400}"/>
    <cellStyle name="Normal 4 2 5 2 5 3" xfId="6396" xr:uid="{00000000-0005-0000-0000-0000DB130000}"/>
    <cellStyle name="Normal 4 2 5 2 5 3 2" xfId="14825" xr:uid="{C03EAECA-1227-422F-BB61-9863EF113F44}"/>
    <cellStyle name="Normal 4 2 5 2 5 4" xfId="10607" xr:uid="{E44F1BD3-83BC-452D-B7DF-67875950BF40}"/>
    <cellStyle name="Normal 4 2 5 2 6" xfId="2524" xr:uid="{00000000-0005-0000-0000-0000DC130000}"/>
    <cellStyle name="Normal 4 2 5 2 6 2" xfId="6809" xr:uid="{00000000-0005-0000-0000-0000DD130000}"/>
    <cellStyle name="Normal 4 2 5 2 6 2 2" xfId="15238" xr:uid="{92040D17-B08B-4636-986A-235DA95F054A}"/>
    <cellStyle name="Normal 4 2 5 2 6 3" xfId="11020" xr:uid="{BED04919-AF7A-43E6-8DDE-DFFD57612AFB}"/>
    <cellStyle name="Normal 4 2 5 2 7" xfId="4744" xr:uid="{00000000-0005-0000-0000-0000DE130000}"/>
    <cellStyle name="Normal 4 2 5 2 7 2" xfId="13173" xr:uid="{23F5383B-6095-4D5F-9793-C9FC6F79E5DF}"/>
    <cellStyle name="Normal 4 2 5 2 8" xfId="8955" xr:uid="{28A3007E-B2F6-47ED-9105-2E222A0F460D}"/>
    <cellStyle name="Normal 4 2 5 3" xfId="840" xr:uid="{00000000-0005-0000-0000-0000DF130000}"/>
    <cellStyle name="Normal 4 2 5 3 2" xfId="3077" xr:uid="{00000000-0005-0000-0000-0000E0130000}"/>
    <cellStyle name="Normal 4 2 5 3 2 2" xfId="7301" xr:uid="{00000000-0005-0000-0000-0000E1130000}"/>
    <cellStyle name="Normal 4 2 5 3 2 2 2" xfId="15730" xr:uid="{B47705D6-4876-4BF9-8F4A-A6AE1AE27CF0}"/>
    <cellStyle name="Normal 4 2 5 3 2 3" xfId="11512" xr:uid="{71646AE7-7BAF-4D71-8FD8-BEA6FD6B8434}"/>
    <cellStyle name="Normal 4 2 5 3 3" xfId="5156" xr:uid="{00000000-0005-0000-0000-0000E2130000}"/>
    <cellStyle name="Normal 4 2 5 3 3 2" xfId="13585" xr:uid="{53612AAB-6FD6-48AC-A484-47F8198BD9A9}"/>
    <cellStyle name="Normal 4 2 5 3 4" xfId="9367" xr:uid="{B5C3EC13-AC92-485A-9F74-95D303385430}"/>
    <cellStyle name="Normal 4 2 5 4" xfId="1260" xr:uid="{00000000-0005-0000-0000-0000E3130000}"/>
    <cellStyle name="Normal 4 2 5 4 2" xfId="3490" xr:uid="{00000000-0005-0000-0000-0000E4130000}"/>
    <cellStyle name="Normal 4 2 5 4 2 2" xfId="7714" xr:uid="{00000000-0005-0000-0000-0000E5130000}"/>
    <cellStyle name="Normal 4 2 5 4 2 2 2" xfId="16143" xr:uid="{D67F52EA-7E9F-4714-8E10-6A428F2404C9}"/>
    <cellStyle name="Normal 4 2 5 4 2 3" xfId="11925" xr:uid="{2A0730C2-F4D8-4462-B037-D3ACE8B47012}"/>
    <cellStyle name="Normal 4 2 5 4 3" xfId="5569" xr:uid="{00000000-0005-0000-0000-0000E6130000}"/>
    <cellStyle name="Normal 4 2 5 4 3 2" xfId="13998" xr:uid="{F90FC767-B1E4-4CB9-8F9A-1BEA29DC5E1A}"/>
    <cellStyle name="Normal 4 2 5 4 4" xfId="9780" xr:uid="{EC2221A5-290E-428C-BBC9-C20194982DF5}"/>
    <cellStyle name="Normal 4 2 5 5" xfId="1673" xr:uid="{00000000-0005-0000-0000-0000E7130000}"/>
    <cellStyle name="Normal 4 2 5 5 2" xfId="3903" xr:uid="{00000000-0005-0000-0000-0000E8130000}"/>
    <cellStyle name="Normal 4 2 5 5 2 2" xfId="8127" xr:uid="{00000000-0005-0000-0000-0000E9130000}"/>
    <cellStyle name="Normal 4 2 5 5 2 2 2" xfId="16556" xr:uid="{956AB343-86F5-41BF-9B17-9EBF88CEF920}"/>
    <cellStyle name="Normal 4 2 5 5 2 3" xfId="12338" xr:uid="{FF4589CB-110F-4D71-9583-2E03B04D5D71}"/>
    <cellStyle name="Normal 4 2 5 5 3" xfId="5982" xr:uid="{00000000-0005-0000-0000-0000EA130000}"/>
    <cellStyle name="Normal 4 2 5 5 3 2" xfId="14411" xr:uid="{E3DD7687-DCBC-4CBB-B92C-C15D92E78D74}"/>
    <cellStyle name="Normal 4 2 5 5 4" xfId="10193" xr:uid="{16D4C50E-2694-4D38-9470-B227E3058213}"/>
    <cellStyle name="Normal 4 2 5 6" xfId="2087" xr:uid="{00000000-0005-0000-0000-0000EB130000}"/>
    <cellStyle name="Normal 4 2 5 6 2" xfId="4316" xr:uid="{00000000-0005-0000-0000-0000EC130000}"/>
    <cellStyle name="Normal 4 2 5 6 2 2" xfId="8540" xr:uid="{00000000-0005-0000-0000-0000ED130000}"/>
    <cellStyle name="Normal 4 2 5 6 2 2 2" xfId="16969" xr:uid="{CBA150B6-9AA9-4C85-8961-409A760BACD8}"/>
    <cellStyle name="Normal 4 2 5 6 2 3" xfId="12751" xr:uid="{42C8B372-9A14-45F3-A9DE-553A2C999134}"/>
    <cellStyle name="Normal 4 2 5 6 3" xfId="6395" xr:uid="{00000000-0005-0000-0000-0000EE130000}"/>
    <cellStyle name="Normal 4 2 5 6 3 2" xfId="14824" xr:uid="{3C619112-2A16-463B-9414-D10FC6C3FF2A}"/>
    <cellStyle name="Normal 4 2 5 6 4" xfId="10606" xr:uid="{DBA27036-F133-43B9-B778-7AF41E1C46C9}"/>
    <cellStyle name="Normal 4 2 5 7" xfId="2523" xr:uid="{00000000-0005-0000-0000-0000EF130000}"/>
    <cellStyle name="Normal 4 2 5 7 2" xfId="6808" xr:uid="{00000000-0005-0000-0000-0000F0130000}"/>
    <cellStyle name="Normal 4 2 5 7 2 2" xfId="15237" xr:uid="{4F563D9B-7E51-4A61-98E6-EF41A91AFA8F}"/>
    <cellStyle name="Normal 4 2 5 7 3" xfId="11019" xr:uid="{563FF560-29E8-4CC9-9FA0-B01A82BFE9C5}"/>
    <cellStyle name="Normal 4 2 5 8" xfId="4743" xr:uid="{00000000-0005-0000-0000-0000F1130000}"/>
    <cellStyle name="Normal 4 2 5 8 2" xfId="13172" xr:uid="{87B1A86F-F4DF-4B34-88B9-CF69528B79DC}"/>
    <cellStyle name="Normal 4 2 5 9" xfId="8954" xr:uid="{763B4CBD-2D96-4498-93FB-1D2F95BEC1CB}"/>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2 2 2" xfId="15732" xr:uid="{D4623AF2-ABE1-41F1-AA5B-EC490AB89612}"/>
    <cellStyle name="Normal 4 2 6 2 2 3" xfId="11514" xr:uid="{CB2DF571-DE48-4A12-8A5B-CBD56E16E9B3}"/>
    <cellStyle name="Normal 4 2 6 2 3" xfId="5158" xr:uid="{00000000-0005-0000-0000-0000F6130000}"/>
    <cellStyle name="Normal 4 2 6 2 3 2" xfId="13587" xr:uid="{70750C44-0AB3-4E47-BC9E-A673E0C25538}"/>
    <cellStyle name="Normal 4 2 6 2 4" xfId="9369" xr:uid="{63D126BD-E775-4103-A0E8-6DA0E1C7F219}"/>
    <cellStyle name="Normal 4 2 6 3" xfId="1262" xr:uid="{00000000-0005-0000-0000-0000F7130000}"/>
    <cellStyle name="Normal 4 2 6 3 2" xfId="3492" xr:uid="{00000000-0005-0000-0000-0000F8130000}"/>
    <cellStyle name="Normal 4 2 6 3 2 2" xfId="7716" xr:uid="{00000000-0005-0000-0000-0000F9130000}"/>
    <cellStyle name="Normal 4 2 6 3 2 2 2" xfId="16145" xr:uid="{C92EC457-7FC0-40E2-A277-CF919CB2CE04}"/>
    <cellStyle name="Normal 4 2 6 3 2 3" xfId="11927" xr:uid="{CA75F337-186F-4B06-A7A1-B3F677731BB5}"/>
    <cellStyle name="Normal 4 2 6 3 3" xfId="5571" xr:uid="{00000000-0005-0000-0000-0000FA130000}"/>
    <cellStyle name="Normal 4 2 6 3 3 2" xfId="14000" xr:uid="{E7731C89-EF98-48C2-A5CA-D332D19EF819}"/>
    <cellStyle name="Normal 4 2 6 3 4" xfId="9782" xr:uid="{F0C8E1E9-B959-44E0-8FD7-D0CA7177061F}"/>
    <cellStyle name="Normal 4 2 6 4" xfId="1675" xr:uid="{00000000-0005-0000-0000-0000FB130000}"/>
    <cellStyle name="Normal 4 2 6 4 2" xfId="3905" xr:uid="{00000000-0005-0000-0000-0000FC130000}"/>
    <cellStyle name="Normal 4 2 6 4 2 2" xfId="8129" xr:uid="{00000000-0005-0000-0000-0000FD130000}"/>
    <cellStyle name="Normal 4 2 6 4 2 2 2" xfId="16558" xr:uid="{41F21CBA-CDAA-4408-92B2-7F54E9AAD64E}"/>
    <cellStyle name="Normal 4 2 6 4 2 3" xfId="12340" xr:uid="{1C557507-5E02-426B-9B1F-17D88C6CF465}"/>
    <cellStyle name="Normal 4 2 6 4 3" xfId="5984" xr:uid="{00000000-0005-0000-0000-0000FE130000}"/>
    <cellStyle name="Normal 4 2 6 4 3 2" xfId="14413" xr:uid="{E0A5A0B7-015E-4D56-8360-06190940537D}"/>
    <cellStyle name="Normal 4 2 6 4 4" xfId="10195" xr:uid="{80306DC0-6F7F-4046-9484-D4F0980662A5}"/>
    <cellStyle name="Normal 4 2 6 5" xfId="2089" xr:uid="{00000000-0005-0000-0000-0000FF130000}"/>
    <cellStyle name="Normal 4 2 6 5 2" xfId="4318" xr:uid="{00000000-0005-0000-0000-000000140000}"/>
    <cellStyle name="Normal 4 2 6 5 2 2" xfId="8542" xr:uid="{00000000-0005-0000-0000-000001140000}"/>
    <cellStyle name="Normal 4 2 6 5 2 2 2" xfId="16971" xr:uid="{1D57FA2D-13B2-4BBE-A9BE-4A01AEDB7147}"/>
    <cellStyle name="Normal 4 2 6 5 2 3" xfId="12753" xr:uid="{3CEF0429-128E-4818-8BC0-DAD0910B6D06}"/>
    <cellStyle name="Normal 4 2 6 5 3" xfId="6397" xr:uid="{00000000-0005-0000-0000-000002140000}"/>
    <cellStyle name="Normal 4 2 6 5 3 2" xfId="14826" xr:uid="{BBE315B2-2B25-444E-AA53-5B62C33D8E27}"/>
    <cellStyle name="Normal 4 2 6 5 4" xfId="10608" xr:uid="{3EEE9029-1080-47E2-8DCB-49A073CD0C29}"/>
    <cellStyle name="Normal 4 2 6 6" xfId="2525" xr:uid="{00000000-0005-0000-0000-000003140000}"/>
    <cellStyle name="Normal 4 2 6 6 2" xfId="6810" xr:uid="{00000000-0005-0000-0000-000004140000}"/>
    <cellStyle name="Normal 4 2 6 6 2 2" xfId="15239" xr:uid="{03129433-5F65-4025-8675-C91B6E959D3F}"/>
    <cellStyle name="Normal 4 2 6 6 3" xfId="11021" xr:uid="{759248B6-8948-43ED-8D21-DD40ED945746}"/>
    <cellStyle name="Normal 4 2 6 7" xfId="4745" xr:uid="{00000000-0005-0000-0000-000005140000}"/>
    <cellStyle name="Normal 4 2 6 7 2" xfId="13174" xr:uid="{AC9351EA-4021-474C-A249-B40A60332E27}"/>
    <cellStyle name="Normal 4 2 6 8" xfId="8956" xr:uid="{A9C28D3B-2D5E-4C51-A823-EE8E4C978E04}"/>
    <cellStyle name="Normal 4 3" xfId="366" xr:uid="{00000000-0005-0000-0000-000006140000}"/>
    <cellStyle name="Normal 4 3 10" xfId="8957" xr:uid="{5D082215-9149-40EA-97E8-2D8992AA3415}"/>
    <cellStyle name="Normal 4 3 2" xfId="367" xr:uid="{00000000-0005-0000-0000-000007140000}"/>
    <cellStyle name="Normal 4 3 2 2" xfId="368" xr:uid="{00000000-0005-0000-0000-000008140000}"/>
    <cellStyle name="Normal 4 3 2 2 2" xfId="369" xr:uid="{00000000-0005-0000-0000-000009140000}"/>
    <cellStyle name="Normal 4 3 2 2 2 10" xfId="8958" xr:uid="{28B3416F-091D-48C6-BC07-B9571618FFE4}"/>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2 2 2" xfId="15736" xr:uid="{32CBEEF1-83C1-414B-A288-23940C3FEED0}"/>
    <cellStyle name="Normal 4 3 2 2 2 2 2 2 2 3" xfId="11518" xr:uid="{D041C24D-A10B-4C22-A920-61EDDE49F346}"/>
    <cellStyle name="Normal 4 3 2 2 2 2 2 2 3" xfId="5162" xr:uid="{00000000-0005-0000-0000-00000F140000}"/>
    <cellStyle name="Normal 4 3 2 2 2 2 2 2 3 2" xfId="13591" xr:uid="{C020F5F6-4AC8-44C8-86EB-7EF729299C2E}"/>
    <cellStyle name="Normal 4 3 2 2 2 2 2 2 4" xfId="9373" xr:uid="{2D0AF92D-066C-432F-B811-9E8F418595AF}"/>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2 2 2" xfId="16149" xr:uid="{B00E6BDB-D3F9-43F0-AF31-EC29661E5DB4}"/>
    <cellStyle name="Normal 4 3 2 2 2 2 2 3 2 3" xfId="11931" xr:uid="{C8B94328-25E8-4F75-9689-F7777E6E1941}"/>
    <cellStyle name="Normal 4 3 2 2 2 2 2 3 3" xfId="5575" xr:uid="{00000000-0005-0000-0000-000013140000}"/>
    <cellStyle name="Normal 4 3 2 2 2 2 2 3 3 2" xfId="14004" xr:uid="{EFF76C5D-3E93-4D95-B1E9-BB173FF1ADD3}"/>
    <cellStyle name="Normal 4 3 2 2 2 2 2 3 4" xfId="9786" xr:uid="{906FFD82-7FC3-4B85-A29C-60D28211B66B}"/>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2 2 2" xfId="16562" xr:uid="{D05018B6-2DAE-4B92-AFD9-FC5AAE8B7F8B}"/>
    <cellStyle name="Normal 4 3 2 2 2 2 2 4 2 3" xfId="12344" xr:uid="{9B1FFF4E-1E79-41E8-99EB-0FCAE4A1C4C2}"/>
    <cellStyle name="Normal 4 3 2 2 2 2 2 4 3" xfId="5988" xr:uid="{00000000-0005-0000-0000-000017140000}"/>
    <cellStyle name="Normal 4 3 2 2 2 2 2 4 3 2" xfId="14417" xr:uid="{39CB4AF6-ED24-41DA-B229-D12AE2803FB7}"/>
    <cellStyle name="Normal 4 3 2 2 2 2 2 4 4" xfId="10199" xr:uid="{D945492E-EDFE-44BD-8953-B4ADE726338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2 2 2" xfId="16975" xr:uid="{BA93AE3B-E9E0-4F8E-A940-BEC666BF8F2C}"/>
    <cellStyle name="Normal 4 3 2 2 2 2 2 5 2 3" xfId="12757" xr:uid="{FFAD7D5B-19AC-4157-8F9D-880C773A8506}"/>
    <cellStyle name="Normal 4 3 2 2 2 2 2 5 3" xfId="6401" xr:uid="{00000000-0005-0000-0000-00001B140000}"/>
    <cellStyle name="Normal 4 3 2 2 2 2 2 5 3 2" xfId="14830" xr:uid="{7341B814-6C6F-4E9E-A123-FAE89FDD7357}"/>
    <cellStyle name="Normal 4 3 2 2 2 2 2 5 4" xfId="10612" xr:uid="{02DE94DE-F582-42A4-83D5-E88E1CB3210E}"/>
    <cellStyle name="Normal 4 3 2 2 2 2 2 6" xfId="2529" xr:uid="{00000000-0005-0000-0000-00001C140000}"/>
    <cellStyle name="Normal 4 3 2 2 2 2 2 6 2" xfId="6814" xr:uid="{00000000-0005-0000-0000-00001D140000}"/>
    <cellStyle name="Normal 4 3 2 2 2 2 2 6 2 2" xfId="15243" xr:uid="{D4C893D7-29EF-4E03-AF69-AA37E2BA5D02}"/>
    <cellStyle name="Normal 4 3 2 2 2 2 2 6 3" xfId="11025" xr:uid="{CC4D8892-841C-482B-A608-25D6C0689978}"/>
    <cellStyle name="Normal 4 3 2 2 2 2 2 7" xfId="4749" xr:uid="{00000000-0005-0000-0000-00001E140000}"/>
    <cellStyle name="Normal 4 3 2 2 2 2 2 7 2" xfId="13178" xr:uid="{740E937D-2C4C-4E35-A3CA-69DA06A4ABA5}"/>
    <cellStyle name="Normal 4 3 2 2 2 2 2 8" xfId="8960" xr:uid="{278C1F60-EFA3-4A35-8C53-63CEBF850D4F}"/>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2 2 2" xfId="15735" xr:uid="{6BEF5C88-C104-404A-8C8A-DF4459DA5E6B}"/>
    <cellStyle name="Normal 4 3 2 2 2 2 3 2 3" xfId="11517" xr:uid="{9F85C3D3-0A46-456A-8FB3-1010DEAF8EFF}"/>
    <cellStyle name="Normal 4 3 2 2 2 2 3 3" xfId="5161" xr:uid="{00000000-0005-0000-0000-000022140000}"/>
    <cellStyle name="Normal 4 3 2 2 2 2 3 3 2" xfId="13590" xr:uid="{2F166BCB-1D2F-480F-B9EE-267B000C8E31}"/>
    <cellStyle name="Normal 4 3 2 2 2 2 3 4" xfId="9372" xr:uid="{2D2EFEBF-5FDD-483C-9CC2-C76247FF48B5}"/>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2 2 2" xfId="16148" xr:uid="{A00BB07D-D1FF-4955-B5E1-5A396C759338}"/>
    <cellStyle name="Normal 4 3 2 2 2 2 4 2 3" xfId="11930" xr:uid="{6B60E0D0-E4C3-4ED0-AE36-08A29A520CCF}"/>
    <cellStyle name="Normal 4 3 2 2 2 2 4 3" xfId="5574" xr:uid="{00000000-0005-0000-0000-000026140000}"/>
    <cellStyle name="Normal 4 3 2 2 2 2 4 3 2" xfId="14003" xr:uid="{9A632670-94B2-4CE6-A84C-E7938AC904E4}"/>
    <cellStyle name="Normal 4 3 2 2 2 2 4 4" xfId="9785" xr:uid="{CD8A5F31-A35A-4D10-89EB-665ADC553C57}"/>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2 2 2" xfId="16561" xr:uid="{6AA656FB-7BDB-4659-A07D-2AA078C89EDD}"/>
    <cellStyle name="Normal 4 3 2 2 2 2 5 2 3" xfId="12343" xr:uid="{8D520556-64FB-464E-8100-E1021B00A3FD}"/>
    <cellStyle name="Normal 4 3 2 2 2 2 5 3" xfId="5987" xr:uid="{00000000-0005-0000-0000-00002A140000}"/>
    <cellStyle name="Normal 4 3 2 2 2 2 5 3 2" xfId="14416" xr:uid="{47EF6CC8-F604-43FC-8741-268388F674DD}"/>
    <cellStyle name="Normal 4 3 2 2 2 2 5 4" xfId="10198" xr:uid="{3D4D3BDC-AA4A-4EA1-938D-379F51F06CB1}"/>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2 2 2" xfId="16974" xr:uid="{4ED2F814-EDDF-4C96-A3D5-E37610F3C905}"/>
    <cellStyle name="Normal 4 3 2 2 2 2 6 2 3" xfId="12756" xr:uid="{C87C88EE-E7E9-4FD2-9B30-CB052C018ABF}"/>
    <cellStyle name="Normal 4 3 2 2 2 2 6 3" xfId="6400" xr:uid="{00000000-0005-0000-0000-00002E140000}"/>
    <cellStyle name="Normal 4 3 2 2 2 2 6 3 2" xfId="14829" xr:uid="{44C699E6-8ABA-4BB4-BF5C-C86063D0EF66}"/>
    <cellStyle name="Normal 4 3 2 2 2 2 6 4" xfId="10611" xr:uid="{50728764-2435-4FE8-BABC-E14B7A9E02DF}"/>
    <cellStyle name="Normal 4 3 2 2 2 2 7" xfId="2528" xr:uid="{00000000-0005-0000-0000-00002F140000}"/>
    <cellStyle name="Normal 4 3 2 2 2 2 7 2" xfId="6813" xr:uid="{00000000-0005-0000-0000-000030140000}"/>
    <cellStyle name="Normal 4 3 2 2 2 2 7 2 2" xfId="15242" xr:uid="{B782C44D-43A5-4467-ABF6-AE11FA53712B}"/>
    <cellStyle name="Normal 4 3 2 2 2 2 7 3" xfId="11024" xr:uid="{823BB584-51FD-4864-A043-3866A3BEE33E}"/>
    <cellStyle name="Normal 4 3 2 2 2 2 8" xfId="4748" xr:uid="{00000000-0005-0000-0000-000031140000}"/>
    <cellStyle name="Normal 4 3 2 2 2 2 8 2" xfId="13177" xr:uid="{39F24D6C-B587-40A2-92CD-35F395D8E5DA}"/>
    <cellStyle name="Normal 4 3 2 2 2 2 9" xfId="8959" xr:uid="{2EAE7AFC-3413-4F50-8594-323825F729DD}"/>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2 2 2" xfId="15737" xr:uid="{AC117FD7-DA84-41BF-8BFB-04EF3F6027D4}"/>
    <cellStyle name="Normal 4 3 2 2 2 3 2 2 3" xfId="11519" xr:uid="{0F5C5BAC-44E6-4F27-B4C5-61F954C21FDE}"/>
    <cellStyle name="Normal 4 3 2 2 2 3 2 3" xfId="5163" xr:uid="{00000000-0005-0000-0000-000036140000}"/>
    <cellStyle name="Normal 4 3 2 2 2 3 2 3 2" xfId="13592" xr:uid="{DFFC6C58-029E-4F07-8B7C-C24BD82838CE}"/>
    <cellStyle name="Normal 4 3 2 2 2 3 2 4" xfId="9374" xr:uid="{15E1ED7B-C337-4891-89AA-E9A4FEA94A8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2 2 2" xfId="16150" xr:uid="{33F8EEB0-9341-489C-A5E1-FD8002DECEAA}"/>
    <cellStyle name="Normal 4 3 2 2 2 3 3 2 3" xfId="11932" xr:uid="{CADCCAD8-A544-451A-9B8F-F782F11C1E1A}"/>
    <cellStyle name="Normal 4 3 2 2 2 3 3 3" xfId="5576" xr:uid="{00000000-0005-0000-0000-00003A140000}"/>
    <cellStyle name="Normal 4 3 2 2 2 3 3 3 2" xfId="14005" xr:uid="{E0067390-239B-4775-B1A7-6320CAD317BE}"/>
    <cellStyle name="Normal 4 3 2 2 2 3 3 4" xfId="9787" xr:uid="{58F63A14-6A54-4BA7-8F6A-EA51EA295213}"/>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2 2 2" xfId="16563" xr:uid="{58C41529-C18F-4186-832F-2FB8C854E0C8}"/>
    <cellStyle name="Normal 4 3 2 2 2 3 4 2 3" xfId="12345" xr:uid="{452F1074-C8E3-458A-828B-011E122DCBF7}"/>
    <cellStyle name="Normal 4 3 2 2 2 3 4 3" xfId="5989" xr:uid="{00000000-0005-0000-0000-00003E140000}"/>
    <cellStyle name="Normal 4 3 2 2 2 3 4 3 2" xfId="14418" xr:uid="{B1198D47-4296-4FC0-9798-696559F7D278}"/>
    <cellStyle name="Normal 4 3 2 2 2 3 4 4" xfId="10200" xr:uid="{7AE6DAC4-68F7-4647-8D93-9D9C49A6E4CF}"/>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2 2 2" xfId="16976" xr:uid="{095CB5BD-E23C-4A23-B158-715DC3079358}"/>
    <cellStyle name="Normal 4 3 2 2 2 3 5 2 3" xfId="12758" xr:uid="{2472ED90-9995-4225-AE46-2A33334D718C}"/>
    <cellStyle name="Normal 4 3 2 2 2 3 5 3" xfId="6402" xr:uid="{00000000-0005-0000-0000-000042140000}"/>
    <cellStyle name="Normal 4 3 2 2 2 3 5 3 2" xfId="14831" xr:uid="{E0C88AFB-0DB5-4DB6-86B3-44ADFF0A09C7}"/>
    <cellStyle name="Normal 4 3 2 2 2 3 5 4" xfId="10613" xr:uid="{B0D1F849-9B9E-4191-BF24-D71C867B6453}"/>
    <cellStyle name="Normal 4 3 2 2 2 3 6" xfId="2530" xr:uid="{00000000-0005-0000-0000-000043140000}"/>
    <cellStyle name="Normal 4 3 2 2 2 3 6 2" xfId="6815" xr:uid="{00000000-0005-0000-0000-000044140000}"/>
    <cellStyle name="Normal 4 3 2 2 2 3 6 2 2" xfId="15244" xr:uid="{BD70AF35-148A-4A08-B7AF-770AD49FDB0C}"/>
    <cellStyle name="Normal 4 3 2 2 2 3 6 3" xfId="11026" xr:uid="{5E05EB05-7755-428E-8ECA-33E0DD3134D9}"/>
    <cellStyle name="Normal 4 3 2 2 2 3 7" xfId="4750" xr:uid="{00000000-0005-0000-0000-000045140000}"/>
    <cellStyle name="Normal 4 3 2 2 2 3 7 2" xfId="13179" xr:uid="{3233ACD7-049F-431E-B1D0-8A6221D102E1}"/>
    <cellStyle name="Normal 4 3 2 2 2 3 8" xfId="8961" xr:uid="{CE822E1D-55EB-4A48-8855-24237AE2461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2 2 2" xfId="15734" xr:uid="{10259003-D505-40A9-B227-D57047BBE427}"/>
    <cellStyle name="Normal 4 3 2 2 2 4 2 3" xfId="11516" xr:uid="{27390A49-C780-46F7-A33E-42E3A4478897}"/>
    <cellStyle name="Normal 4 3 2 2 2 4 3" xfId="5160" xr:uid="{00000000-0005-0000-0000-000049140000}"/>
    <cellStyle name="Normal 4 3 2 2 2 4 3 2" xfId="13589" xr:uid="{89822A47-9376-465C-916E-195AC6333EBF}"/>
    <cellStyle name="Normal 4 3 2 2 2 4 4" xfId="9371" xr:uid="{BE19862F-8A0C-4305-9A8E-8CC94504DD44}"/>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2 2 2" xfId="16147" xr:uid="{6B140420-12B4-43F7-ABEE-C14F9252078A}"/>
    <cellStyle name="Normal 4 3 2 2 2 5 2 3" xfId="11929" xr:uid="{507EA0FE-519A-4A06-8C03-D5C5B6A74611}"/>
    <cellStyle name="Normal 4 3 2 2 2 5 3" xfId="5573" xr:uid="{00000000-0005-0000-0000-00004D140000}"/>
    <cellStyle name="Normal 4 3 2 2 2 5 3 2" xfId="14002" xr:uid="{0B3BA474-ADA5-4588-A6AC-ECCA576DD180}"/>
    <cellStyle name="Normal 4 3 2 2 2 5 4" xfId="9784" xr:uid="{CCD7370F-9D38-4CCC-9D64-C6EA5124C48D}"/>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2 2 2" xfId="16560" xr:uid="{58AE4A32-6969-4263-AF7B-31F02CC6509E}"/>
    <cellStyle name="Normal 4 3 2 2 2 6 2 3" xfId="12342" xr:uid="{60787A8D-4ED8-4C05-A32F-74E9C4B60426}"/>
    <cellStyle name="Normal 4 3 2 2 2 6 3" xfId="5986" xr:uid="{00000000-0005-0000-0000-000051140000}"/>
    <cellStyle name="Normal 4 3 2 2 2 6 3 2" xfId="14415" xr:uid="{A32DB9D8-28A8-4F6D-9E35-844FB56915FF}"/>
    <cellStyle name="Normal 4 3 2 2 2 6 4" xfId="10197" xr:uid="{1EEC788A-D6FC-47EF-BD68-45CE9A374399}"/>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2 2 2" xfId="16973" xr:uid="{FA963553-9739-4DA5-98A0-D9E30661E762}"/>
    <cellStyle name="Normal 4 3 2 2 2 7 2 3" xfId="12755" xr:uid="{0C484A17-1CE9-4FDD-A4C3-B31B58368CD0}"/>
    <cellStyle name="Normal 4 3 2 2 2 7 3" xfId="6399" xr:uid="{00000000-0005-0000-0000-000055140000}"/>
    <cellStyle name="Normal 4 3 2 2 2 7 3 2" xfId="14828" xr:uid="{3E7AFDAD-31B7-419C-9AD9-C898813B4125}"/>
    <cellStyle name="Normal 4 3 2 2 2 7 4" xfId="10610" xr:uid="{AFAAE889-18CD-4A39-9CF9-C72DA8AC7439}"/>
    <cellStyle name="Normal 4 3 2 2 2 8" xfId="2527" xr:uid="{00000000-0005-0000-0000-000056140000}"/>
    <cellStyle name="Normal 4 3 2 2 2 8 2" xfId="6812" xr:uid="{00000000-0005-0000-0000-000057140000}"/>
    <cellStyle name="Normal 4 3 2 2 2 8 2 2" xfId="15241" xr:uid="{C2DBE6E0-7212-4A0E-8389-ECDA82E9534D}"/>
    <cellStyle name="Normal 4 3 2 2 2 8 3" xfId="11023" xr:uid="{483A90DD-E27C-49C3-A0BA-390DA7AA20EE}"/>
    <cellStyle name="Normal 4 3 2 2 2 9" xfId="4747" xr:uid="{00000000-0005-0000-0000-000058140000}"/>
    <cellStyle name="Normal 4 3 2 2 2 9 2" xfId="13176" xr:uid="{E56EBEFE-1309-47D6-95EB-22872090B356}"/>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10" xfId="8962" xr:uid="{06614A89-8457-41AF-91D0-234106BAB97F}"/>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2 2 2" xfId="15740" xr:uid="{6A6BAF29-3D90-4B25-AD68-C2AE3C72F438}"/>
    <cellStyle name="Normal 4 3 3 2 2 2 2 3" xfId="11522" xr:uid="{A5EE2D3E-F903-4EBD-9A2C-67C1FE59040A}"/>
    <cellStyle name="Normal 4 3 3 2 2 2 3" xfId="5166" xr:uid="{00000000-0005-0000-0000-000062140000}"/>
    <cellStyle name="Normal 4 3 3 2 2 2 3 2" xfId="13595" xr:uid="{8A07A40A-6DA0-4DF2-A435-D45806CEAF03}"/>
    <cellStyle name="Normal 4 3 3 2 2 2 4" xfId="9377" xr:uid="{B5E28A27-18E7-47E8-A7C9-68C6869D455A}"/>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2 2 2" xfId="16153" xr:uid="{981F5CC8-BCD9-4101-8080-437B2F01EBD6}"/>
    <cellStyle name="Normal 4 3 3 2 2 3 2 3" xfId="11935" xr:uid="{88AA2014-0554-4532-B3C6-C8F67B66A6B6}"/>
    <cellStyle name="Normal 4 3 3 2 2 3 3" xfId="5579" xr:uid="{00000000-0005-0000-0000-000066140000}"/>
    <cellStyle name="Normal 4 3 3 2 2 3 3 2" xfId="14008" xr:uid="{105BEA4F-702D-460B-B710-C775B5F21F32}"/>
    <cellStyle name="Normal 4 3 3 2 2 3 4" xfId="9790" xr:uid="{8E31BC0B-83D5-4937-BE06-B7597E959B72}"/>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2 2 2" xfId="16566" xr:uid="{087C1814-521A-41BA-8856-06E6E1E804EA}"/>
    <cellStyle name="Normal 4 3 3 2 2 4 2 3" xfId="12348" xr:uid="{80FAD697-5907-4805-825A-7861ACC1891A}"/>
    <cellStyle name="Normal 4 3 3 2 2 4 3" xfId="5992" xr:uid="{00000000-0005-0000-0000-00006A140000}"/>
    <cellStyle name="Normal 4 3 3 2 2 4 3 2" xfId="14421" xr:uid="{C3AB502E-0CC8-45BD-BDA2-9099C6CD2B42}"/>
    <cellStyle name="Normal 4 3 3 2 2 4 4" xfId="10203" xr:uid="{57FFCA72-6F99-4863-94F2-F97AA2D2C804}"/>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2 2 2" xfId="16979" xr:uid="{7F95C35C-F8DC-4E3D-BDB9-97DDB9B7AA08}"/>
    <cellStyle name="Normal 4 3 3 2 2 5 2 3" xfId="12761" xr:uid="{EB060721-1F7B-463D-8C80-BE03CEA99307}"/>
    <cellStyle name="Normal 4 3 3 2 2 5 3" xfId="6405" xr:uid="{00000000-0005-0000-0000-00006E140000}"/>
    <cellStyle name="Normal 4 3 3 2 2 5 3 2" xfId="14834" xr:uid="{458FAB3B-FC13-4CB6-9657-80BF5072FAF7}"/>
    <cellStyle name="Normal 4 3 3 2 2 5 4" xfId="10616" xr:uid="{E0AE5F54-01DA-4578-BF89-066ECEFEAEC2}"/>
    <cellStyle name="Normal 4 3 3 2 2 6" xfId="2533" xr:uid="{00000000-0005-0000-0000-00006F140000}"/>
    <cellStyle name="Normal 4 3 3 2 2 6 2" xfId="6818" xr:uid="{00000000-0005-0000-0000-000070140000}"/>
    <cellStyle name="Normal 4 3 3 2 2 6 2 2" xfId="15247" xr:uid="{36B32101-883E-416F-A4B2-4D64E10A0973}"/>
    <cellStyle name="Normal 4 3 3 2 2 6 3" xfId="11029" xr:uid="{11457D7C-A0C3-4E03-BA05-E37C49E26BBE}"/>
    <cellStyle name="Normal 4 3 3 2 2 7" xfId="4753" xr:uid="{00000000-0005-0000-0000-000071140000}"/>
    <cellStyle name="Normal 4 3 3 2 2 7 2" xfId="13182" xr:uid="{3C3F561D-66DB-4E6B-9CA8-FD974BFCBC0D}"/>
    <cellStyle name="Normal 4 3 3 2 2 8" xfId="8964" xr:uid="{21DEA9E9-4F29-4229-A6B2-7DA5E8E317B0}"/>
    <cellStyle name="Normal 4 3 3 2 3" xfId="851" xr:uid="{00000000-0005-0000-0000-000072140000}"/>
    <cellStyle name="Normal 4 3 3 2 3 2" xfId="3086" xr:uid="{00000000-0005-0000-0000-000073140000}"/>
    <cellStyle name="Normal 4 3 3 2 3 2 2" xfId="7310" xr:uid="{00000000-0005-0000-0000-000074140000}"/>
    <cellStyle name="Normal 4 3 3 2 3 2 2 2" xfId="15739" xr:uid="{0DA1A568-84E7-4541-96F6-D027491EC8A8}"/>
    <cellStyle name="Normal 4 3 3 2 3 2 3" xfId="11521" xr:uid="{D28FF141-3F4E-49C4-BD3A-2F42BD8092B1}"/>
    <cellStyle name="Normal 4 3 3 2 3 3" xfId="5165" xr:uid="{00000000-0005-0000-0000-000075140000}"/>
    <cellStyle name="Normal 4 3 3 2 3 3 2" xfId="13594" xr:uid="{271469A4-686B-41F6-A3EE-2D949CF4FC06}"/>
    <cellStyle name="Normal 4 3 3 2 3 4" xfId="9376" xr:uid="{6BAAE52C-1F0D-4C1D-B0E3-1D494A6D3532}"/>
    <cellStyle name="Normal 4 3 3 2 4" xfId="1269" xr:uid="{00000000-0005-0000-0000-000076140000}"/>
    <cellStyle name="Normal 4 3 3 2 4 2" xfId="3499" xr:uid="{00000000-0005-0000-0000-000077140000}"/>
    <cellStyle name="Normal 4 3 3 2 4 2 2" xfId="7723" xr:uid="{00000000-0005-0000-0000-000078140000}"/>
    <cellStyle name="Normal 4 3 3 2 4 2 2 2" xfId="16152" xr:uid="{6501C75B-EE12-4B00-BFE9-398C67C1CFF2}"/>
    <cellStyle name="Normal 4 3 3 2 4 2 3" xfId="11934" xr:uid="{7F09204A-6B17-4462-918C-EFF7B6FE2EAD}"/>
    <cellStyle name="Normal 4 3 3 2 4 3" xfId="5578" xr:uid="{00000000-0005-0000-0000-000079140000}"/>
    <cellStyle name="Normal 4 3 3 2 4 3 2" xfId="14007" xr:uid="{6307F7EF-F1CA-4FF3-8AC4-ECF585373CC0}"/>
    <cellStyle name="Normal 4 3 3 2 4 4" xfId="9789" xr:uid="{1C22DA2E-EE90-48AB-BCAD-A9F8704C798C}"/>
    <cellStyle name="Normal 4 3 3 2 5" xfId="1682" xr:uid="{00000000-0005-0000-0000-00007A140000}"/>
    <cellStyle name="Normal 4 3 3 2 5 2" xfId="3912" xr:uid="{00000000-0005-0000-0000-00007B140000}"/>
    <cellStyle name="Normal 4 3 3 2 5 2 2" xfId="8136" xr:uid="{00000000-0005-0000-0000-00007C140000}"/>
    <cellStyle name="Normal 4 3 3 2 5 2 2 2" xfId="16565" xr:uid="{16678925-4844-4777-A2E6-E28C4996E6B0}"/>
    <cellStyle name="Normal 4 3 3 2 5 2 3" xfId="12347" xr:uid="{9FA206B2-B447-49D6-A61D-409B6071B0C4}"/>
    <cellStyle name="Normal 4 3 3 2 5 3" xfId="5991" xr:uid="{00000000-0005-0000-0000-00007D140000}"/>
    <cellStyle name="Normal 4 3 3 2 5 3 2" xfId="14420" xr:uid="{B6CCA94A-F625-4ECC-9410-B1B790715822}"/>
    <cellStyle name="Normal 4 3 3 2 5 4" xfId="10202" xr:uid="{8E43AF70-3344-41FA-BE13-85ECDFA9CEB1}"/>
    <cellStyle name="Normal 4 3 3 2 6" xfId="2096" xr:uid="{00000000-0005-0000-0000-00007E140000}"/>
    <cellStyle name="Normal 4 3 3 2 6 2" xfId="4325" xr:uid="{00000000-0005-0000-0000-00007F140000}"/>
    <cellStyle name="Normal 4 3 3 2 6 2 2" xfId="8549" xr:uid="{00000000-0005-0000-0000-000080140000}"/>
    <cellStyle name="Normal 4 3 3 2 6 2 2 2" xfId="16978" xr:uid="{BDA4C545-050F-410C-9D5E-47B88CD7ED3D}"/>
    <cellStyle name="Normal 4 3 3 2 6 2 3" xfId="12760" xr:uid="{3613CCCF-38F1-4675-A7C9-E175B935CC6E}"/>
    <cellStyle name="Normal 4 3 3 2 6 3" xfId="6404" xr:uid="{00000000-0005-0000-0000-000081140000}"/>
    <cellStyle name="Normal 4 3 3 2 6 3 2" xfId="14833" xr:uid="{570A4BB6-158C-46A6-943F-0F04374A9047}"/>
    <cellStyle name="Normal 4 3 3 2 6 4" xfId="10615" xr:uid="{0557A123-63D7-4728-97DA-4E4582E8C6B3}"/>
    <cellStyle name="Normal 4 3 3 2 7" xfId="2532" xr:uid="{00000000-0005-0000-0000-000082140000}"/>
    <cellStyle name="Normal 4 3 3 2 7 2" xfId="6817" xr:uid="{00000000-0005-0000-0000-000083140000}"/>
    <cellStyle name="Normal 4 3 3 2 7 2 2" xfId="15246" xr:uid="{ACE25BE6-FFB0-4570-8185-810D74585D0C}"/>
    <cellStyle name="Normal 4 3 3 2 7 3" xfId="11028" xr:uid="{3E99A423-09F2-492D-8698-A4216762A24A}"/>
    <cellStyle name="Normal 4 3 3 2 8" xfId="4752" xr:uid="{00000000-0005-0000-0000-000084140000}"/>
    <cellStyle name="Normal 4 3 3 2 8 2" xfId="13181" xr:uid="{0BFE2D3F-4725-453B-B9D3-20A5DBC3DE27}"/>
    <cellStyle name="Normal 4 3 3 2 9" xfId="8963" xr:uid="{0DB9D252-9DB1-4F89-9167-7163BF60FDC2}"/>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2 2 2" xfId="15741" xr:uid="{A3162E76-5F9F-4A89-8FAC-B4D71D064D91}"/>
    <cellStyle name="Normal 4 3 3 3 2 2 3" xfId="11523" xr:uid="{61770849-A609-4FE8-8467-37FDC112B135}"/>
    <cellStyle name="Normal 4 3 3 3 2 3" xfId="5167" xr:uid="{00000000-0005-0000-0000-000089140000}"/>
    <cellStyle name="Normal 4 3 3 3 2 3 2" xfId="13596" xr:uid="{2474F523-770D-4521-99E5-76AEB9966708}"/>
    <cellStyle name="Normal 4 3 3 3 2 4" xfId="9378" xr:uid="{2B0E334D-1C6D-4B0B-A550-196EE3DAC8BA}"/>
    <cellStyle name="Normal 4 3 3 3 3" xfId="1271" xr:uid="{00000000-0005-0000-0000-00008A140000}"/>
    <cellStyle name="Normal 4 3 3 3 3 2" xfId="3501" xr:uid="{00000000-0005-0000-0000-00008B140000}"/>
    <cellStyle name="Normal 4 3 3 3 3 2 2" xfId="7725" xr:uid="{00000000-0005-0000-0000-00008C140000}"/>
    <cellStyle name="Normal 4 3 3 3 3 2 2 2" xfId="16154" xr:uid="{68E35C9F-9273-4DCD-947C-342DD00E2E38}"/>
    <cellStyle name="Normal 4 3 3 3 3 2 3" xfId="11936" xr:uid="{C7566073-B945-44FF-ABAD-B961CF4B72C6}"/>
    <cellStyle name="Normal 4 3 3 3 3 3" xfId="5580" xr:uid="{00000000-0005-0000-0000-00008D140000}"/>
    <cellStyle name="Normal 4 3 3 3 3 3 2" xfId="14009" xr:uid="{5BE2DDBA-97E4-4F58-AA9D-2070C50165D0}"/>
    <cellStyle name="Normal 4 3 3 3 3 4" xfId="9791" xr:uid="{3CD7C1B5-EC12-4AB6-A65E-DA3C50B7CCA3}"/>
    <cellStyle name="Normal 4 3 3 3 4" xfId="1684" xr:uid="{00000000-0005-0000-0000-00008E140000}"/>
    <cellStyle name="Normal 4 3 3 3 4 2" xfId="3914" xr:uid="{00000000-0005-0000-0000-00008F140000}"/>
    <cellStyle name="Normal 4 3 3 3 4 2 2" xfId="8138" xr:uid="{00000000-0005-0000-0000-000090140000}"/>
    <cellStyle name="Normal 4 3 3 3 4 2 2 2" xfId="16567" xr:uid="{642692CE-0744-4EE5-BD4F-E1D5B96DFECB}"/>
    <cellStyle name="Normal 4 3 3 3 4 2 3" xfId="12349" xr:uid="{DDA33B3B-3A5D-4691-BB41-1B961C98C428}"/>
    <cellStyle name="Normal 4 3 3 3 4 3" xfId="5993" xr:uid="{00000000-0005-0000-0000-000091140000}"/>
    <cellStyle name="Normal 4 3 3 3 4 3 2" xfId="14422" xr:uid="{34BB893C-F9CD-4333-9DA4-54E73094D870}"/>
    <cellStyle name="Normal 4 3 3 3 4 4" xfId="10204" xr:uid="{EE2055C4-1971-4139-AF71-213565F763F6}"/>
    <cellStyle name="Normal 4 3 3 3 5" xfId="2098" xr:uid="{00000000-0005-0000-0000-000092140000}"/>
    <cellStyle name="Normal 4 3 3 3 5 2" xfId="4327" xr:uid="{00000000-0005-0000-0000-000093140000}"/>
    <cellStyle name="Normal 4 3 3 3 5 2 2" xfId="8551" xr:uid="{00000000-0005-0000-0000-000094140000}"/>
    <cellStyle name="Normal 4 3 3 3 5 2 2 2" xfId="16980" xr:uid="{0E7DED48-7AF1-493F-AE9D-B689240F96C6}"/>
    <cellStyle name="Normal 4 3 3 3 5 2 3" xfId="12762" xr:uid="{8CE875A0-AA1D-4546-AF23-900B81A2DC6D}"/>
    <cellStyle name="Normal 4 3 3 3 5 3" xfId="6406" xr:uid="{00000000-0005-0000-0000-000095140000}"/>
    <cellStyle name="Normal 4 3 3 3 5 3 2" xfId="14835" xr:uid="{3B6322F8-9352-4E80-A176-85150766CA25}"/>
    <cellStyle name="Normal 4 3 3 3 5 4" xfId="10617" xr:uid="{DE5617E9-39D0-4685-BDB6-0AD90698EFA8}"/>
    <cellStyle name="Normal 4 3 3 3 6" xfId="2534" xr:uid="{00000000-0005-0000-0000-000096140000}"/>
    <cellStyle name="Normal 4 3 3 3 6 2" xfId="6819" xr:uid="{00000000-0005-0000-0000-000097140000}"/>
    <cellStyle name="Normal 4 3 3 3 6 2 2" xfId="15248" xr:uid="{52C3CD2F-8725-4BEF-B83D-975E06C82D4B}"/>
    <cellStyle name="Normal 4 3 3 3 6 3" xfId="11030" xr:uid="{E37D426D-8019-4A86-BDBD-C9126AD2E83E}"/>
    <cellStyle name="Normal 4 3 3 3 7" xfId="4754" xr:uid="{00000000-0005-0000-0000-000098140000}"/>
    <cellStyle name="Normal 4 3 3 3 7 2" xfId="13183" xr:uid="{EA248770-EA9A-4B6D-A263-B0B1507C8972}"/>
    <cellStyle name="Normal 4 3 3 3 8" xfId="8965" xr:uid="{CE2F3150-80A0-4293-89EA-3641C2BFE18E}"/>
    <cellStyle name="Normal 4 3 3 4" xfId="850" xr:uid="{00000000-0005-0000-0000-000099140000}"/>
    <cellStyle name="Normal 4 3 3 4 2" xfId="3085" xr:uid="{00000000-0005-0000-0000-00009A140000}"/>
    <cellStyle name="Normal 4 3 3 4 2 2" xfId="7309" xr:uid="{00000000-0005-0000-0000-00009B140000}"/>
    <cellStyle name="Normal 4 3 3 4 2 2 2" xfId="15738" xr:uid="{E0929BD4-493D-40CF-8642-9CC683B3F85D}"/>
    <cellStyle name="Normal 4 3 3 4 2 3" xfId="11520" xr:uid="{24CFC636-8A93-4EEA-B0DD-3E426069ADE9}"/>
    <cellStyle name="Normal 4 3 3 4 3" xfId="5164" xr:uid="{00000000-0005-0000-0000-00009C140000}"/>
    <cellStyle name="Normal 4 3 3 4 3 2" xfId="13593" xr:uid="{1DE3B739-92FB-4505-A1FF-E8E2128CE142}"/>
    <cellStyle name="Normal 4 3 3 4 4" xfId="9375" xr:uid="{68D860BD-A3DA-4C0B-BCA3-BBFE94080E28}"/>
    <cellStyle name="Normal 4 3 3 5" xfId="1268" xr:uid="{00000000-0005-0000-0000-00009D140000}"/>
    <cellStyle name="Normal 4 3 3 5 2" xfId="3498" xr:uid="{00000000-0005-0000-0000-00009E140000}"/>
    <cellStyle name="Normal 4 3 3 5 2 2" xfId="7722" xr:uid="{00000000-0005-0000-0000-00009F140000}"/>
    <cellStyle name="Normal 4 3 3 5 2 2 2" xfId="16151" xr:uid="{6E9FAB34-BDB1-4A7D-9CA7-4009FE8D588B}"/>
    <cellStyle name="Normal 4 3 3 5 2 3" xfId="11933" xr:uid="{17EC38CE-A509-405B-9607-4324007F6D2A}"/>
    <cellStyle name="Normal 4 3 3 5 3" xfId="5577" xr:uid="{00000000-0005-0000-0000-0000A0140000}"/>
    <cellStyle name="Normal 4 3 3 5 3 2" xfId="14006" xr:uid="{FE48980C-6051-4EE7-8CAE-FE3F243F6B9C}"/>
    <cellStyle name="Normal 4 3 3 5 4" xfId="9788" xr:uid="{869D4B00-E4A2-444A-BD72-663DEABE68AB}"/>
    <cellStyle name="Normal 4 3 3 6" xfId="1681" xr:uid="{00000000-0005-0000-0000-0000A1140000}"/>
    <cellStyle name="Normal 4 3 3 6 2" xfId="3911" xr:uid="{00000000-0005-0000-0000-0000A2140000}"/>
    <cellStyle name="Normal 4 3 3 6 2 2" xfId="8135" xr:uid="{00000000-0005-0000-0000-0000A3140000}"/>
    <cellStyle name="Normal 4 3 3 6 2 2 2" xfId="16564" xr:uid="{B612B983-F40E-4139-AAEF-BAD09EEDB52A}"/>
    <cellStyle name="Normal 4 3 3 6 2 3" xfId="12346" xr:uid="{2294C81F-9CD9-487E-ADF7-10652AEA4EA1}"/>
    <cellStyle name="Normal 4 3 3 6 3" xfId="5990" xr:uid="{00000000-0005-0000-0000-0000A4140000}"/>
    <cellStyle name="Normal 4 3 3 6 3 2" xfId="14419" xr:uid="{555193EF-A5D9-4596-84A3-609641B60D77}"/>
    <cellStyle name="Normal 4 3 3 6 4" xfId="10201" xr:uid="{DA5590DF-2918-465D-AFDD-B62A7E09B6D3}"/>
    <cellStyle name="Normal 4 3 3 7" xfId="2095" xr:uid="{00000000-0005-0000-0000-0000A5140000}"/>
    <cellStyle name="Normal 4 3 3 7 2" xfId="4324" xr:uid="{00000000-0005-0000-0000-0000A6140000}"/>
    <cellStyle name="Normal 4 3 3 7 2 2" xfId="8548" xr:uid="{00000000-0005-0000-0000-0000A7140000}"/>
    <cellStyle name="Normal 4 3 3 7 2 2 2" xfId="16977" xr:uid="{E8505F1F-C5D1-4F2B-B559-E2E815A95A02}"/>
    <cellStyle name="Normal 4 3 3 7 2 3" xfId="12759" xr:uid="{13A475FE-C513-476F-92AD-FCFB1A9AB2EA}"/>
    <cellStyle name="Normal 4 3 3 7 3" xfId="6403" xr:uid="{00000000-0005-0000-0000-0000A8140000}"/>
    <cellStyle name="Normal 4 3 3 7 3 2" xfId="14832" xr:uid="{BA916CA6-E171-407C-8433-CC47BFB83A1B}"/>
    <cellStyle name="Normal 4 3 3 7 4" xfId="10614" xr:uid="{E7B53716-54E6-497D-8ACC-7B8E06198B2C}"/>
    <cellStyle name="Normal 4 3 3 8" xfId="2531" xr:uid="{00000000-0005-0000-0000-0000A9140000}"/>
    <cellStyle name="Normal 4 3 3 8 2" xfId="6816" xr:uid="{00000000-0005-0000-0000-0000AA140000}"/>
    <cellStyle name="Normal 4 3 3 8 2 2" xfId="15245" xr:uid="{9DDBF417-7FB8-4C00-8CE2-1C4FD5C4C351}"/>
    <cellStyle name="Normal 4 3 3 8 3" xfId="11027" xr:uid="{98283839-48DF-4FD8-A224-607501CBA7B5}"/>
    <cellStyle name="Normal 4 3 3 9" xfId="4751" xr:uid="{00000000-0005-0000-0000-0000AB140000}"/>
    <cellStyle name="Normal 4 3 3 9 2" xfId="13180" xr:uid="{872219A8-63EA-4908-B8FC-1967B23B8521}"/>
    <cellStyle name="Normal 4 3 4" xfId="843" xr:uid="{00000000-0005-0000-0000-0000AC140000}"/>
    <cellStyle name="Normal 4 3 4 2" xfId="3080" xr:uid="{00000000-0005-0000-0000-0000AD140000}"/>
    <cellStyle name="Normal 4 3 4 2 2" xfId="7304" xr:uid="{00000000-0005-0000-0000-0000AE140000}"/>
    <cellStyle name="Normal 4 3 4 2 2 2" xfId="15733" xr:uid="{7F215AAC-3D7E-48EC-9A60-2A474DF7A785}"/>
    <cellStyle name="Normal 4 3 4 2 3" xfId="11515" xr:uid="{1D83DE81-DE83-4749-8340-C22E5BBDC6D6}"/>
    <cellStyle name="Normal 4 3 4 3" xfId="5159" xr:uid="{00000000-0005-0000-0000-0000AF140000}"/>
    <cellStyle name="Normal 4 3 4 3 2" xfId="13588" xr:uid="{F2700D34-8200-4519-87E1-43E4850C7A77}"/>
    <cellStyle name="Normal 4 3 4 4" xfId="9370" xr:uid="{DF8F3809-160B-4A8C-8B3B-9C9A33481432}"/>
    <cellStyle name="Normal 4 3 5" xfId="1263" xr:uid="{00000000-0005-0000-0000-0000B0140000}"/>
    <cellStyle name="Normal 4 3 5 2" xfId="3493" xr:uid="{00000000-0005-0000-0000-0000B1140000}"/>
    <cellStyle name="Normal 4 3 5 2 2" xfId="7717" xr:uid="{00000000-0005-0000-0000-0000B2140000}"/>
    <cellStyle name="Normal 4 3 5 2 2 2" xfId="16146" xr:uid="{BBED1032-4F61-4328-B7C5-EA6CB62DAC91}"/>
    <cellStyle name="Normal 4 3 5 2 3" xfId="11928" xr:uid="{F1697F4E-8FA0-46B1-83FF-602CD3243654}"/>
    <cellStyle name="Normal 4 3 5 3" xfId="5572" xr:uid="{00000000-0005-0000-0000-0000B3140000}"/>
    <cellStyle name="Normal 4 3 5 3 2" xfId="14001" xr:uid="{49607404-D9DA-4D9C-AA85-5FBDAB602F76}"/>
    <cellStyle name="Normal 4 3 5 4" xfId="9783" xr:uid="{80B021D4-C89D-4F24-AB56-9BC6613C98EC}"/>
    <cellStyle name="Normal 4 3 6" xfId="1676" xr:uid="{00000000-0005-0000-0000-0000B4140000}"/>
    <cellStyle name="Normal 4 3 6 2" xfId="3906" xr:uid="{00000000-0005-0000-0000-0000B5140000}"/>
    <cellStyle name="Normal 4 3 6 2 2" xfId="8130" xr:uid="{00000000-0005-0000-0000-0000B6140000}"/>
    <cellStyle name="Normal 4 3 6 2 2 2" xfId="16559" xr:uid="{B90EDF69-66A4-4D11-8FDA-5E2FEC8ED315}"/>
    <cellStyle name="Normal 4 3 6 2 3" xfId="12341" xr:uid="{1FD79A8B-4D54-4C33-9BD4-C9D9AE7FC1DB}"/>
    <cellStyle name="Normal 4 3 6 3" xfId="5985" xr:uid="{00000000-0005-0000-0000-0000B7140000}"/>
    <cellStyle name="Normal 4 3 6 3 2" xfId="14414" xr:uid="{D58225FA-9D45-4730-AC86-5B2737FCAC31}"/>
    <cellStyle name="Normal 4 3 6 4" xfId="10196" xr:uid="{BF1D8957-57F1-455F-B297-E8201664051C}"/>
    <cellStyle name="Normal 4 3 7" xfId="2090" xr:uid="{00000000-0005-0000-0000-0000B8140000}"/>
    <cellStyle name="Normal 4 3 7 2" xfId="4319" xr:uid="{00000000-0005-0000-0000-0000B9140000}"/>
    <cellStyle name="Normal 4 3 7 2 2" xfId="8543" xr:uid="{00000000-0005-0000-0000-0000BA140000}"/>
    <cellStyle name="Normal 4 3 7 2 2 2" xfId="16972" xr:uid="{37DEED5A-DD83-4FB3-A8CC-87E49BFEB4D8}"/>
    <cellStyle name="Normal 4 3 7 2 3" xfId="12754" xr:uid="{76F10F2F-CE6D-45D2-ABAA-740761C98C47}"/>
    <cellStyle name="Normal 4 3 7 3" xfId="6398" xr:uid="{00000000-0005-0000-0000-0000BB140000}"/>
    <cellStyle name="Normal 4 3 7 3 2" xfId="14827" xr:uid="{E03B3ACC-E342-4184-A7EA-56E2236DCB3F}"/>
    <cellStyle name="Normal 4 3 7 4" xfId="10609" xr:uid="{A74E29D1-4D9F-4121-A9F9-BAA5DDC5C54B}"/>
    <cellStyle name="Normal 4 3 8" xfId="2526" xr:uid="{00000000-0005-0000-0000-0000BC140000}"/>
    <cellStyle name="Normal 4 3 8 2" xfId="6811" xr:uid="{00000000-0005-0000-0000-0000BD140000}"/>
    <cellStyle name="Normal 4 3 8 2 2" xfId="15240" xr:uid="{D231D02B-54E0-4180-8794-EFE52D9280CD}"/>
    <cellStyle name="Normal 4 3 8 3" xfId="11022" xr:uid="{E4EF09AF-B04F-4AD4-A36C-212104A68CAB}"/>
    <cellStyle name="Normal 4 3 9" xfId="4746" xr:uid="{00000000-0005-0000-0000-0000BE140000}"/>
    <cellStyle name="Normal 4 3 9 2" xfId="13175" xr:uid="{3BF6E97A-9195-46D4-961E-DB246A4BF1A2}"/>
    <cellStyle name="Normal 4 4" xfId="378" xr:uid="{00000000-0005-0000-0000-0000BF140000}"/>
    <cellStyle name="Normal 4 4 10" xfId="2535" xr:uid="{00000000-0005-0000-0000-0000C0140000}"/>
    <cellStyle name="Normal 4 4 10 2" xfId="6820" xr:uid="{00000000-0005-0000-0000-0000C1140000}"/>
    <cellStyle name="Normal 4 4 10 2 2" xfId="15249" xr:uid="{DB962146-D799-496D-B9B3-E74B20DC354F}"/>
    <cellStyle name="Normal 4 4 10 3" xfId="11031" xr:uid="{E49BFDBA-D938-4B91-B26E-2885D5FE1722}"/>
    <cellStyle name="Normal 4 4 11" xfId="4755" xr:uid="{00000000-0005-0000-0000-0000C2140000}"/>
    <cellStyle name="Normal 4 4 11 2" xfId="13184" xr:uid="{D09D397D-D0E7-4D1A-83DF-E9B6DF8D1238}"/>
    <cellStyle name="Normal 4 4 12" xfId="8966" xr:uid="{170431CD-2850-4757-AC3A-11B5CA7AE4AA}"/>
    <cellStyle name="Normal 4 4 2" xfId="379" xr:uid="{00000000-0005-0000-0000-0000C3140000}"/>
    <cellStyle name="Normal 4 4 2 10" xfId="4756" xr:uid="{00000000-0005-0000-0000-0000C4140000}"/>
    <cellStyle name="Normal 4 4 2 10 2" xfId="13185" xr:uid="{E66D127F-92F3-43F6-AEF0-FDEDFF77804D}"/>
    <cellStyle name="Normal 4 4 2 11" xfId="8967" xr:uid="{CA6106D7-2482-4E3F-A733-B2A0B877C7EC}"/>
    <cellStyle name="Normal 4 4 2 2" xfId="380" xr:uid="{00000000-0005-0000-0000-0000C5140000}"/>
    <cellStyle name="Normal 4 4 2 2 10" xfId="8968" xr:uid="{C0335DC7-649E-412D-B8EF-401B46E7C806}"/>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2 2 2" xfId="15746" xr:uid="{1AFF655A-F4BD-407B-A7D4-C076B1016AED}"/>
    <cellStyle name="Normal 4 4 2 2 2 2 2 2 3" xfId="11528" xr:uid="{56D4F726-19E3-4262-8E51-D04D3B5BCF10}"/>
    <cellStyle name="Normal 4 4 2 2 2 2 2 3" xfId="5172" xr:uid="{00000000-0005-0000-0000-0000CB140000}"/>
    <cellStyle name="Normal 4 4 2 2 2 2 2 3 2" xfId="13601" xr:uid="{D7B68A88-955F-4FA0-92CE-5318C1AF4405}"/>
    <cellStyle name="Normal 4 4 2 2 2 2 2 4" xfId="9383" xr:uid="{578F965B-CA88-4FDC-8EDC-F5FE4FA89E22}"/>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2 2 2" xfId="16159" xr:uid="{D6AE9CFA-A3D8-41BC-89D8-127CFAE6A2B4}"/>
    <cellStyle name="Normal 4 4 2 2 2 2 3 2 3" xfId="11941" xr:uid="{B22F1F99-13F1-4519-B98D-0E74757FE09B}"/>
    <cellStyle name="Normal 4 4 2 2 2 2 3 3" xfId="5585" xr:uid="{00000000-0005-0000-0000-0000CF140000}"/>
    <cellStyle name="Normal 4 4 2 2 2 2 3 3 2" xfId="14014" xr:uid="{A6299AFE-04A6-4FE7-8314-723C4D9E0E77}"/>
    <cellStyle name="Normal 4 4 2 2 2 2 3 4" xfId="9796" xr:uid="{E3B45B71-00B3-4A71-AB99-36FD7291C825}"/>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2 2 2" xfId="16572" xr:uid="{6F245DE5-EB02-4DCE-8488-0554D46268C9}"/>
    <cellStyle name="Normal 4 4 2 2 2 2 4 2 3" xfId="12354" xr:uid="{2EF8E9FE-560B-4E5F-8A33-0ADEBCFEEEE7}"/>
    <cellStyle name="Normal 4 4 2 2 2 2 4 3" xfId="5998" xr:uid="{00000000-0005-0000-0000-0000D3140000}"/>
    <cellStyle name="Normal 4 4 2 2 2 2 4 3 2" xfId="14427" xr:uid="{DA5ABA8A-AAA4-48FB-938F-B28A76533158}"/>
    <cellStyle name="Normal 4 4 2 2 2 2 4 4" xfId="10209" xr:uid="{F8A4CF46-5768-4783-A509-CA102D80D0E1}"/>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2 2 2" xfId="16985" xr:uid="{8F1293DF-13F6-4EA9-A3B2-AD357DDE4104}"/>
    <cellStyle name="Normal 4 4 2 2 2 2 5 2 3" xfId="12767" xr:uid="{4BB3DB9C-29CE-41E2-A814-FDFF477A3750}"/>
    <cellStyle name="Normal 4 4 2 2 2 2 5 3" xfId="6411" xr:uid="{00000000-0005-0000-0000-0000D7140000}"/>
    <cellStyle name="Normal 4 4 2 2 2 2 5 3 2" xfId="14840" xr:uid="{7879E3A3-252A-43C0-A1D6-4E64350DEA42}"/>
    <cellStyle name="Normal 4 4 2 2 2 2 5 4" xfId="10622" xr:uid="{58D59E59-8C2B-4651-9F72-9012E379DD71}"/>
    <cellStyle name="Normal 4 4 2 2 2 2 6" xfId="2539" xr:uid="{00000000-0005-0000-0000-0000D8140000}"/>
    <cellStyle name="Normal 4 4 2 2 2 2 6 2" xfId="6824" xr:uid="{00000000-0005-0000-0000-0000D9140000}"/>
    <cellStyle name="Normal 4 4 2 2 2 2 6 2 2" xfId="15253" xr:uid="{83BF949A-7569-41FE-BE25-B34C32A0014D}"/>
    <cellStyle name="Normal 4 4 2 2 2 2 6 3" xfId="11035" xr:uid="{5BDB7923-E440-4824-AF61-F2A188EE5662}"/>
    <cellStyle name="Normal 4 4 2 2 2 2 7" xfId="4759" xr:uid="{00000000-0005-0000-0000-0000DA140000}"/>
    <cellStyle name="Normal 4 4 2 2 2 2 7 2" xfId="13188" xr:uid="{90BF614B-3C3B-4B49-9218-7189F7D63CF3}"/>
    <cellStyle name="Normal 4 4 2 2 2 2 8" xfId="8970" xr:uid="{94B59136-0969-48E2-A3AF-7E9ECC50F854}"/>
    <cellStyle name="Normal 4 4 2 2 2 3" xfId="857" xr:uid="{00000000-0005-0000-0000-0000DB140000}"/>
    <cellStyle name="Normal 4 4 2 2 2 3 2" xfId="3092" xr:uid="{00000000-0005-0000-0000-0000DC140000}"/>
    <cellStyle name="Normal 4 4 2 2 2 3 2 2" xfId="7316" xr:uid="{00000000-0005-0000-0000-0000DD140000}"/>
    <cellStyle name="Normal 4 4 2 2 2 3 2 2 2" xfId="15745" xr:uid="{508A9AD9-37DE-4663-84B3-EC4377E5257F}"/>
    <cellStyle name="Normal 4 4 2 2 2 3 2 3" xfId="11527" xr:uid="{FD7DBDD8-DD49-4C5F-9761-71CC561A03A8}"/>
    <cellStyle name="Normal 4 4 2 2 2 3 3" xfId="5171" xr:uid="{00000000-0005-0000-0000-0000DE140000}"/>
    <cellStyle name="Normal 4 4 2 2 2 3 3 2" xfId="13600" xr:uid="{AB95235A-49FF-4504-8F77-93A225816744}"/>
    <cellStyle name="Normal 4 4 2 2 2 3 4" xfId="9382" xr:uid="{208DE170-EE17-43E6-8957-A1E984B98E4D}"/>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2 2 2" xfId="16158" xr:uid="{93D903B5-4324-43CF-8F1D-F1A363337916}"/>
    <cellStyle name="Normal 4 4 2 2 2 4 2 3" xfId="11940" xr:uid="{603AFAC8-5342-4CD0-9509-9E87DA60E7AF}"/>
    <cellStyle name="Normal 4 4 2 2 2 4 3" xfId="5584" xr:uid="{00000000-0005-0000-0000-0000E2140000}"/>
    <cellStyle name="Normal 4 4 2 2 2 4 3 2" xfId="14013" xr:uid="{D664A085-120C-4B98-80EC-913A66E2BA08}"/>
    <cellStyle name="Normal 4 4 2 2 2 4 4" xfId="9795" xr:uid="{18F886A5-7713-4B7B-B78C-C84E5539F6E8}"/>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2 2 2" xfId="16571" xr:uid="{9E2807B3-19C0-4161-8AF8-8023764BC78E}"/>
    <cellStyle name="Normal 4 4 2 2 2 5 2 3" xfId="12353" xr:uid="{9E558B07-44FA-4EA4-A3C9-9D3C7340D523}"/>
    <cellStyle name="Normal 4 4 2 2 2 5 3" xfId="5997" xr:uid="{00000000-0005-0000-0000-0000E6140000}"/>
    <cellStyle name="Normal 4 4 2 2 2 5 3 2" xfId="14426" xr:uid="{77DC6FAF-2641-4AE2-A535-72EF8348147C}"/>
    <cellStyle name="Normal 4 4 2 2 2 5 4" xfId="10208" xr:uid="{27C370F9-2679-43F5-8AA8-A46F4832FD69}"/>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2 2 2" xfId="16984" xr:uid="{0663ABDC-BCC1-4BEA-BD4B-F6509B922292}"/>
    <cellStyle name="Normal 4 4 2 2 2 6 2 3" xfId="12766" xr:uid="{1B78F5FE-2E7F-4308-9E64-09D113B032E8}"/>
    <cellStyle name="Normal 4 4 2 2 2 6 3" xfId="6410" xr:uid="{00000000-0005-0000-0000-0000EA140000}"/>
    <cellStyle name="Normal 4 4 2 2 2 6 3 2" xfId="14839" xr:uid="{555618B7-2EB9-42F4-A5AD-6293D0174FE1}"/>
    <cellStyle name="Normal 4 4 2 2 2 6 4" xfId="10621" xr:uid="{A6EC6609-6F8E-4C80-B250-E84183D53B6F}"/>
    <cellStyle name="Normal 4 4 2 2 2 7" xfId="2538" xr:uid="{00000000-0005-0000-0000-0000EB140000}"/>
    <cellStyle name="Normal 4 4 2 2 2 7 2" xfId="6823" xr:uid="{00000000-0005-0000-0000-0000EC140000}"/>
    <cellStyle name="Normal 4 4 2 2 2 7 2 2" xfId="15252" xr:uid="{694BA917-E956-4BE0-9B81-29E7890A9817}"/>
    <cellStyle name="Normal 4 4 2 2 2 7 3" xfId="11034" xr:uid="{AD0014CF-6085-48E4-ABD2-A29697210059}"/>
    <cellStyle name="Normal 4 4 2 2 2 8" xfId="4758" xr:uid="{00000000-0005-0000-0000-0000ED140000}"/>
    <cellStyle name="Normal 4 4 2 2 2 8 2" xfId="13187" xr:uid="{57116446-B06D-4D07-A156-5409F46C293D}"/>
    <cellStyle name="Normal 4 4 2 2 2 9" xfId="8969" xr:uid="{8A4039D6-5718-42E2-A356-40441C363CE3}"/>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2 2 2" xfId="15747" xr:uid="{E3BE4436-359E-4EB2-B5DA-5155C98AF26D}"/>
    <cellStyle name="Normal 4 4 2 2 3 2 2 3" xfId="11529" xr:uid="{1F32827C-DC57-47D6-B832-886FB4A4E957}"/>
    <cellStyle name="Normal 4 4 2 2 3 2 3" xfId="5173" xr:uid="{00000000-0005-0000-0000-0000F2140000}"/>
    <cellStyle name="Normal 4 4 2 2 3 2 3 2" xfId="13602" xr:uid="{80A2A398-457A-4A27-82C9-1FF336CDF699}"/>
    <cellStyle name="Normal 4 4 2 2 3 2 4" xfId="9384" xr:uid="{AB3803FD-50B7-4C44-8150-DAEA2B51CD85}"/>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2 2 2" xfId="16160" xr:uid="{8A9D90F8-60AF-467F-96BA-B2827CA23FC2}"/>
    <cellStyle name="Normal 4 4 2 2 3 3 2 3" xfId="11942" xr:uid="{A44D783B-20B1-4430-A72A-E51CDA3C0C3F}"/>
    <cellStyle name="Normal 4 4 2 2 3 3 3" xfId="5586" xr:uid="{00000000-0005-0000-0000-0000F6140000}"/>
    <cellStyle name="Normal 4 4 2 2 3 3 3 2" xfId="14015" xr:uid="{8F5526FA-D643-4E76-8A72-BD52F7F3A360}"/>
    <cellStyle name="Normal 4 4 2 2 3 3 4" xfId="9797" xr:uid="{DE35DF5E-7DE5-46B2-9260-A39B10EDF7D8}"/>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2 2 2" xfId="16573" xr:uid="{3B90D466-726B-4D52-B447-624D62E6D04C}"/>
    <cellStyle name="Normal 4 4 2 2 3 4 2 3" xfId="12355" xr:uid="{22736C4A-5790-4E84-9595-A2FDAE28D4A9}"/>
    <cellStyle name="Normal 4 4 2 2 3 4 3" xfId="5999" xr:uid="{00000000-0005-0000-0000-0000FA140000}"/>
    <cellStyle name="Normal 4 4 2 2 3 4 3 2" xfId="14428" xr:uid="{FDFC4281-7D0E-4B15-B72E-81E541B52A70}"/>
    <cellStyle name="Normal 4 4 2 2 3 4 4" xfId="10210" xr:uid="{57E6D803-CCE9-495B-846A-5BDAAF1CFB2A}"/>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2 2 2" xfId="16986" xr:uid="{9E563B1F-675D-4408-9DD0-A695349076CA}"/>
    <cellStyle name="Normal 4 4 2 2 3 5 2 3" xfId="12768" xr:uid="{087560DB-026F-4234-A8CB-D44D376043A9}"/>
    <cellStyle name="Normal 4 4 2 2 3 5 3" xfId="6412" xr:uid="{00000000-0005-0000-0000-0000FE140000}"/>
    <cellStyle name="Normal 4 4 2 2 3 5 3 2" xfId="14841" xr:uid="{8BB6AC49-F9DF-4470-ABA6-BFBBDED8C8C0}"/>
    <cellStyle name="Normal 4 4 2 2 3 5 4" xfId="10623" xr:uid="{680BA1D1-947B-4F34-BD93-5B33E0B9D7C3}"/>
    <cellStyle name="Normal 4 4 2 2 3 6" xfId="2540" xr:uid="{00000000-0005-0000-0000-0000FF140000}"/>
    <cellStyle name="Normal 4 4 2 2 3 6 2" xfId="6825" xr:uid="{00000000-0005-0000-0000-000000150000}"/>
    <cellStyle name="Normal 4 4 2 2 3 6 2 2" xfId="15254" xr:uid="{20C04434-F74A-4D6E-AFB5-CB3D85037C5E}"/>
    <cellStyle name="Normal 4 4 2 2 3 6 3" xfId="11036" xr:uid="{C220A0A2-8BB7-447F-9175-634307908EEB}"/>
    <cellStyle name="Normal 4 4 2 2 3 7" xfId="4760" xr:uid="{00000000-0005-0000-0000-000001150000}"/>
    <cellStyle name="Normal 4 4 2 2 3 7 2" xfId="13189" xr:uid="{16A57CCA-FB3B-4250-882C-3A58B0F4B48C}"/>
    <cellStyle name="Normal 4 4 2 2 3 8" xfId="8971" xr:uid="{DBD7E686-88B9-44FC-ACEE-264B485E50E2}"/>
    <cellStyle name="Normal 4 4 2 2 4" xfId="856" xr:uid="{00000000-0005-0000-0000-000002150000}"/>
    <cellStyle name="Normal 4 4 2 2 4 2" xfId="3091" xr:uid="{00000000-0005-0000-0000-000003150000}"/>
    <cellStyle name="Normal 4 4 2 2 4 2 2" xfId="7315" xr:uid="{00000000-0005-0000-0000-000004150000}"/>
    <cellStyle name="Normal 4 4 2 2 4 2 2 2" xfId="15744" xr:uid="{24E62EB6-DD16-4EF3-9347-BE7FD0DE6DF2}"/>
    <cellStyle name="Normal 4 4 2 2 4 2 3" xfId="11526" xr:uid="{E34C1DB1-7A61-4496-AF41-19E218337852}"/>
    <cellStyle name="Normal 4 4 2 2 4 3" xfId="5170" xr:uid="{00000000-0005-0000-0000-000005150000}"/>
    <cellStyle name="Normal 4 4 2 2 4 3 2" xfId="13599" xr:uid="{ED8BF40C-ECB1-4172-987B-991C80FDAA4F}"/>
    <cellStyle name="Normal 4 4 2 2 4 4" xfId="9381" xr:uid="{609D8667-E2F5-41CE-8989-41B65960F0ED}"/>
    <cellStyle name="Normal 4 4 2 2 5" xfId="1274" xr:uid="{00000000-0005-0000-0000-000006150000}"/>
    <cellStyle name="Normal 4 4 2 2 5 2" xfId="3504" xr:uid="{00000000-0005-0000-0000-000007150000}"/>
    <cellStyle name="Normal 4 4 2 2 5 2 2" xfId="7728" xr:uid="{00000000-0005-0000-0000-000008150000}"/>
    <cellStyle name="Normal 4 4 2 2 5 2 2 2" xfId="16157" xr:uid="{7B36F09F-1183-4704-ADD1-50AE4B3DF019}"/>
    <cellStyle name="Normal 4 4 2 2 5 2 3" xfId="11939" xr:uid="{30C0A9CB-359C-4084-9ACE-C4A9A70FB691}"/>
    <cellStyle name="Normal 4 4 2 2 5 3" xfId="5583" xr:uid="{00000000-0005-0000-0000-000009150000}"/>
    <cellStyle name="Normal 4 4 2 2 5 3 2" xfId="14012" xr:uid="{B53BE6D1-EA74-49EC-92C3-273790227CF6}"/>
    <cellStyle name="Normal 4 4 2 2 5 4" xfId="9794" xr:uid="{50C1D85C-89E2-4F07-BB67-FB3D2043136D}"/>
    <cellStyle name="Normal 4 4 2 2 6" xfId="1687" xr:uid="{00000000-0005-0000-0000-00000A150000}"/>
    <cellStyle name="Normal 4 4 2 2 6 2" xfId="3917" xr:uid="{00000000-0005-0000-0000-00000B150000}"/>
    <cellStyle name="Normal 4 4 2 2 6 2 2" xfId="8141" xr:uid="{00000000-0005-0000-0000-00000C150000}"/>
    <cellStyle name="Normal 4 4 2 2 6 2 2 2" xfId="16570" xr:uid="{A4F6C05D-660D-4E0C-9DF6-3147597D90C1}"/>
    <cellStyle name="Normal 4 4 2 2 6 2 3" xfId="12352" xr:uid="{7D9DF497-B7AB-48A9-948A-BF49D91AB511}"/>
    <cellStyle name="Normal 4 4 2 2 6 3" xfId="5996" xr:uid="{00000000-0005-0000-0000-00000D150000}"/>
    <cellStyle name="Normal 4 4 2 2 6 3 2" xfId="14425" xr:uid="{58035D22-8BA9-43B7-BF84-32D81A5F4F72}"/>
    <cellStyle name="Normal 4 4 2 2 6 4" xfId="10207" xr:uid="{20FB204E-DDB0-4FF1-8A73-B16B55D3E8E0}"/>
    <cellStyle name="Normal 4 4 2 2 7" xfId="2101" xr:uid="{00000000-0005-0000-0000-00000E150000}"/>
    <cellStyle name="Normal 4 4 2 2 7 2" xfId="4330" xr:uid="{00000000-0005-0000-0000-00000F150000}"/>
    <cellStyle name="Normal 4 4 2 2 7 2 2" xfId="8554" xr:uid="{00000000-0005-0000-0000-000010150000}"/>
    <cellStyle name="Normal 4 4 2 2 7 2 2 2" xfId="16983" xr:uid="{0FCAAD9F-E54E-40DE-97CB-72D54B9428F1}"/>
    <cellStyle name="Normal 4 4 2 2 7 2 3" xfId="12765" xr:uid="{9E65528A-C8D8-45DD-AA4B-912AF84DC3D1}"/>
    <cellStyle name="Normal 4 4 2 2 7 3" xfId="6409" xr:uid="{00000000-0005-0000-0000-000011150000}"/>
    <cellStyle name="Normal 4 4 2 2 7 3 2" xfId="14838" xr:uid="{DAFDA551-110B-4A96-873C-3AF896A70381}"/>
    <cellStyle name="Normal 4 4 2 2 7 4" xfId="10620" xr:uid="{9AAD6850-157B-46A2-A3B6-633116BD5694}"/>
    <cellStyle name="Normal 4 4 2 2 8" xfId="2537" xr:uid="{00000000-0005-0000-0000-000012150000}"/>
    <cellStyle name="Normal 4 4 2 2 8 2" xfId="6822" xr:uid="{00000000-0005-0000-0000-000013150000}"/>
    <cellStyle name="Normal 4 4 2 2 8 2 2" xfId="15251" xr:uid="{09F9CA0E-8AB9-4192-8B71-A5A8229252B3}"/>
    <cellStyle name="Normal 4 4 2 2 8 3" xfId="11033" xr:uid="{F2D449F4-4CB5-44EA-BB2B-011E3B135329}"/>
    <cellStyle name="Normal 4 4 2 2 9" xfId="4757" xr:uid="{00000000-0005-0000-0000-000014150000}"/>
    <cellStyle name="Normal 4 4 2 2 9 2" xfId="13186" xr:uid="{68770EC4-F14B-48D5-A666-23313308E97A}"/>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2 2 2" xfId="15749" xr:uid="{CBA653D9-7B21-4B6C-A6DE-C2E2FF8DC324}"/>
    <cellStyle name="Normal 4 4 2 3 2 2 2 3" xfId="11531" xr:uid="{3EBBB0D8-8070-4725-A125-C937B5326203}"/>
    <cellStyle name="Normal 4 4 2 3 2 2 3" xfId="5175" xr:uid="{00000000-0005-0000-0000-00001A150000}"/>
    <cellStyle name="Normal 4 4 2 3 2 2 3 2" xfId="13604" xr:uid="{B2069AB2-D031-482F-9A6D-ACBA5E473216}"/>
    <cellStyle name="Normal 4 4 2 3 2 2 4" xfId="9386" xr:uid="{DD586504-8C40-425E-95AD-8FC587297BED}"/>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2 2 2" xfId="16162" xr:uid="{B9A98DC9-585D-4F7D-A947-CF9DF0CDA46A}"/>
    <cellStyle name="Normal 4 4 2 3 2 3 2 3" xfId="11944" xr:uid="{D9ABA7C5-438F-46B7-96D3-E8390381C2BC}"/>
    <cellStyle name="Normal 4 4 2 3 2 3 3" xfId="5588" xr:uid="{00000000-0005-0000-0000-00001E150000}"/>
    <cellStyle name="Normal 4 4 2 3 2 3 3 2" xfId="14017" xr:uid="{F5527337-338F-49F2-980E-C8FAFA8A3F9C}"/>
    <cellStyle name="Normal 4 4 2 3 2 3 4" xfId="9799" xr:uid="{7F9969D6-1C5C-4B56-AA8D-1D2ED41EBBB8}"/>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2 2 2" xfId="16575" xr:uid="{8512E5AE-C0D8-4420-8B5D-18AA88437588}"/>
    <cellStyle name="Normal 4 4 2 3 2 4 2 3" xfId="12357" xr:uid="{57AB70CB-16E3-4B16-A244-E36B67E97759}"/>
    <cellStyle name="Normal 4 4 2 3 2 4 3" xfId="6001" xr:uid="{00000000-0005-0000-0000-000022150000}"/>
    <cellStyle name="Normal 4 4 2 3 2 4 3 2" xfId="14430" xr:uid="{4E57C44C-4AB9-4DD1-A1B8-E2DDAB51E232}"/>
    <cellStyle name="Normal 4 4 2 3 2 4 4" xfId="10212" xr:uid="{580A9F54-2A76-48A2-B05B-ACC89F6C63F6}"/>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2 2 2" xfId="16988" xr:uid="{987D930D-35C5-46EC-B79C-643AF79CA105}"/>
    <cellStyle name="Normal 4 4 2 3 2 5 2 3" xfId="12770" xr:uid="{F84CE35E-CBFF-4DA3-A493-5B0DBECC5888}"/>
    <cellStyle name="Normal 4 4 2 3 2 5 3" xfId="6414" xr:uid="{00000000-0005-0000-0000-000026150000}"/>
    <cellStyle name="Normal 4 4 2 3 2 5 3 2" xfId="14843" xr:uid="{A1F2A6DD-E1FD-4F2E-BE47-046861575F84}"/>
    <cellStyle name="Normal 4 4 2 3 2 5 4" xfId="10625" xr:uid="{21E7994E-C68D-4073-9025-745A4D92F2AD}"/>
    <cellStyle name="Normal 4 4 2 3 2 6" xfId="2542" xr:uid="{00000000-0005-0000-0000-000027150000}"/>
    <cellStyle name="Normal 4 4 2 3 2 6 2" xfId="6827" xr:uid="{00000000-0005-0000-0000-000028150000}"/>
    <cellStyle name="Normal 4 4 2 3 2 6 2 2" xfId="15256" xr:uid="{C4603883-9B5F-482F-AFF6-51FABA32D6AC}"/>
    <cellStyle name="Normal 4 4 2 3 2 6 3" xfId="11038" xr:uid="{FA4EED5A-B727-480E-A9C8-F3A36620F928}"/>
    <cellStyle name="Normal 4 4 2 3 2 7" xfId="4762" xr:uid="{00000000-0005-0000-0000-000029150000}"/>
    <cellStyle name="Normal 4 4 2 3 2 7 2" xfId="13191" xr:uid="{4DE89897-839A-4F6A-AF09-E41B86F1A1B3}"/>
    <cellStyle name="Normal 4 4 2 3 2 8" xfId="8973" xr:uid="{FCDA3EF8-D05E-4EA0-A02F-0231D686E1F8}"/>
    <cellStyle name="Normal 4 4 2 3 3" xfId="860" xr:uid="{00000000-0005-0000-0000-00002A150000}"/>
    <cellStyle name="Normal 4 4 2 3 3 2" xfId="3095" xr:uid="{00000000-0005-0000-0000-00002B150000}"/>
    <cellStyle name="Normal 4 4 2 3 3 2 2" xfId="7319" xr:uid="{00000000-0005-0000-0000-00002C150000}"/>
    <cellStyle name="Normal 4 4 2 3 3 2 2 2" xfId="15748" xr:uid="{6E2119C6-0EA0-4F49-9D84-0A82DE18BE1E}"/>
    <cellStyle name="Normal 4 4 2 3 3 2 3" xfId="11530" xr:uid="{46E6C937-6DCA-487F-8D4D-091A3FE41701}"/>
    <cellStyle name="Normal 4 4 2 3 3 3" xfId="5174" xr:uid="{00000000-0005-0000-0000-00002D150000}"/>
    <cellStyle name="Normal 4 4 2 3 3 3 2" xfId="13603" xr:uid="{B1B483DA-5064-4BCE-81DF-AC9C66328009}"/>
    <cellStyle name="Normal 4 4 2 3 3 4" xfId="9385" xr:uid="{29806C64-7B72-4A47-8018-DD246231A329}"/>
    <cellStyle name="Normal 4 4 2 3 4" xfId="1278" xr:uid="{00000000-0005-0000-0000-00002E150000}"/>
    <cellStyle name="Normal 4 4 2 3 4 2" xfId="3508" xr:uid="{00000000-0005-0000-0000-00002F150000}"/>
    <cellStyle name="Normal 4 4 2 3 4 2 2" xfId="7732" xr:uid="{00000000-0005-0000-0000-000030150000}"/>
    <cellStyle name="Normal 4 4 2 3 4 2 2 2" xfId="16161" xr:uid="{3BAEA301-DD04-440B-ABD3-6E43E2C83D3E}"/>
    <cellStyle name="Normal 4 4 2 3 4 2 3" xfId="11943" xr:uid="{867BE629-2E1E-4F6F-ACAD-0946D5BFCE0A}"/>
    <cellStyle name="Normal 4 4 2 3 4 3" xfId="5587" xr:uid="{00000000-0005-0000-0000-000031150000}"/>
    <cellStyle name="Normal 4 4 2 3 4 3 2" xfId="14016" xr:uid="{2D0BDFCB-3E51-4266-8223-E14F6FF47118}"/>
    <cellStyle name="Normal 4 4 2 3 4 4" xfId="9798" xr:uid="{A1ECAA5E-533D-43AD-963C-11BA0F1CD95E}"/>
    <cellStyle name="Normal 4 4 2 3 5" xfId="1691" xr:uid="{00000000-0005-0000-0000-000032150000}"/>
    <cellStyle name="Normal 4 4 2 3 5 2" xfId="3921" xr:uid="{00000000-0005-0000-0000-000033150000}"/>
    <cellStyle name="Normal 4 4 2 3 5 2 2" xfId="8145" xr:uid="{00000000-0005-0000-0000-000034150000}"/>
    <cellStyle name="Normal 4 4 2 3 5 2 2 2" xfId="16574" xr:uid="{216363F4-E6A2-4859-8359-CE352DD050A8}"/>
    <cellStyle name="Normal 4 4 2 3 5 2 3" xfId="12356" xr:uid="{CFFE1FA7-141C-4DE2-944A-25CAF50852E6}"/>
    <cellStyle name="Normal 4 4 2 3 5 3" xfId="6000" xr:uid="{00000000-0005-0000-0000-000035150000}"/>
    <cellStyle name="Normal 4 4 2 3 5 3 2" xfId="14429" xr:uid="{BB49795F-AFB6-48D7-A8FD-D107348AF3D3}"/>
    <cellStyle name="Normal 4 4 2 3 5 4" xfId="10211" xr:uid="{DB1751BD-813B-4DFB-8115-360BCC3019A0}"/>
    <cellStyle name="Normal 4 4 2 3 6" xfId="2105" xr:uid="{00000000-0005-0000-0000-000036150000}"/>
    <cellStyle name="Normal 4 4 2 3 6 2" xfId="4334" xr:uid="{00000000-0005-0000-0000-000037150000}"/>
    <cellStyle name="Normal 4 4 2 3 6 2 2" xfId="8558" xr:uid="{00000000-0005-0000-0000-000038150000}"/>
    <cellStyle name="Normal 4 4 2 3 6 2 2 2" xfId="16987" xr:uid="{48782794-59C2-4B34-A587-A30B66B3CBCB}"/>
    <cellStyle name="Normal 4 4 2 3 6 2 3" xfId="12769" xr:uid="{07991875-04F4-41DA-AFB0-D2FF91AD6A3C}"/>
    <cellStyle name="Normal 4 4 2 3 6 3" xfId="6413" xr:uid="{00000000-0005-0000-0000-000039150000}"/>
    <cellStyle name="Normal 4 4 2 3 6 3 2" xfId="14842" xr:uid="{B1372CC8-5A05-4E06-8DF7-9B66F670F563}"/>
    <cellStyle name="Normal 4 4 2 3 6 4" xfId="10624" xr:uid="{64A542D1-4423-4A82-BEA0-4CEE816BCD9E}"/>
    <cellStyle name="Normal 4 4 2 3 7" xfId="2541" xr:uid="{00000000-0005-0000-0000-00003A150000}"/>
    <cellStyle name="Normal 4 4 2 3 7 2" xfId="6826" xr:uid="{00000000-0005-0000-0000-00003B150000}"/>
    <cellStyle name="Normal 4 4 2 3 7 2 2" xfId="15255" xr:uid="{E463AA69-F2C7-432C-B60D-BE57C2530D08}"/>
    <cellStyle name="Normal 4 4 2 3 7 3" xfId="11037" xr:uid="{72878B08-8D6B-411B-A6A2-3416CBB66EB8}"/>
    <cellStyle name="Normal 4 4 2 3 8" xfId="4761" xr:uid="{00000000-0005-0000-0000-00003C150000}"/>
    <cellStyle name="Normal 4 4 2 3 8 2" xfId="13190" xr:uid="{EFE8525F-E4AB-4F29-B8AA-212A8C744F9F}"/>
    <cellStyle name="Normal 4 4 2 3 9" xfId="8972" xr:uid="{924381BB-9305-41F6-8475-5FAE956250CB}"/>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2 2 2" xfId="15750" xr:uid="{450A23DA-122D-44B3-A154-DF033F63370B}"/>
    <cellStyle name="Normal 4 4 2 4 2 2 3" xfId="11532" xr:uid="{3597BA0D-1114-4005-BD96-5F3FD4BFF289}"/>
    <cellStyle name="Normal 4 4 2 4 2 3" xfId="5176" xr:uid="{00000000-0005-0000-0000-000041150000}"/>
    <cellStyle name="Normal 4 4 2 4 2 3 2" xfId="13605" xr:uid="{860BDDBD-F044-4EEB-9F96-F6783DF45AF1}"/>
    <cellStyle name="Normal 4 4 2 4 2 4" xfId="9387" xr:uid="{D86C2A01-4CC9-49B2-875C-7DB192BF90A3}"/>
    <cellStyle name="Normal 4 4 2 4 3" xfId="1280" xr:uid="{00000000-0005-0000-0000-000042150000}"/>
    <cellStyle name="Normal 4 4 2 4 3 2" xfId="3510" xr:uid="{00000000-0005-0000-0000-000043150000}"/>
    <cellStyle name="Normal 4 4 2 4 3 2 2" xfId="7734" xr:uid="{00000000-0005-0000-0000-000044150000}"/>
    <cellStyle name="Normal 4 4 2 4 3 2 2 2" xfId="16163" xr:uid="{6B41D902-72E4-4F8B-B326-5FC7C1319DE3}"/>
    <cellStyle name="Normal 4 4 2 4 3 2 3" xfId="11945" xr:uid="{DA6DF52E-D349-4BD5-BA60-74C8787E9402}"/>
    <cellStyle name="Normal 4 4 2 4 3 3" xfId="5589" xr:uid="{00000000-0005-0000-0000-000045150000}"/>
    <cellStyle name="Normal 4 4 2 4 3 3 2" xfId="14018" xr:uid="{9F233EFE-CF36-4420-9551-068C6BCF0C17}"/>
    <cellStyle name="Normal 4 4 2 4 3 4" xfId="9800" xr:uid="{22D9C73C-065F-4ABF-8224-D514135F5751}"/>
    <cellStyle name="Normal 4 4 2 4 4" xfId="1693" xr:uid="{00000000-0005-0000-0000-000046150000}"/>
    <cellStyle name="Normal 4 4 2 4 4 2" xfId="3923" xr:uid="{00000000-0005-0000-0000-000047150000}"/>
    <cellStyle name="Normal 4 4 2 4 4 2 2" xfId="8147" xr:uid="{00000000-0005-0000-0000-000048150000}"/>
    <cellStyle name="Normal 4 4 2 4 4 2 2 2" xfId="16576" xr:uid="{AAEF90BD-72EE-4457-B83B-797CD3D004ED}"/>
    <cellStyle name="Normal 4 4 2 4 4 2 3" xfId="12358" xr:uid="{7725FF7B-9361-4FCB-B09D-A094A9C8540C}"/>
    <cellStyle name="Normal 4 4 2 4 4 3" xfId="6002" xr:uid="{00000000-0005-0000-0000-000049150000}"/>
    <cellStyle name="Normal 4 4 2 4 4 3 2" xfId="14431" xr:uid="{E0639AB3-2A16-4B48-BDB8-0130842AADA4}"/>
    <cellStyle name="Normal 4 4 2 4 4 4" xfId="10213" xr:uid="{CAF846E6-703A-48A1-8B6D-7D898D2FF1FC}"/>
    <cellStyle name="Normal 4 4 2 4 5" xfId="2107" xr:uid="{00000000-0005-0000-0000-00004A150000}"/>
    <cellStyle name="Normal 4 4 2 4 5 2" xfId="4336" xr:uid="{00000000-0005-0000-0000-00004B150000}"/>
    <cellStyle name="Normal 4 4 2 4 5 2 2" xfId="8560" xr:uid="{00000000-0005-0000-0000-00004C150000}"/>
    <cellStyle name="Normal 4 4 2 4 5 2 2 2" xfId="16989" xr:uid="{282F1820-C694-42DD-A075-B5232EE6A3BA}"/>
    <cellStyle name="Normal 4 4 2 4 5 2 3" xfId="12771" xr:uid="{654CC52F-4EF6-4501-9FDD-09D49DA4CA13}"/>
    <cellStyle name="Normal 4 4 2 4 5 3" xfId="6415" xr:uid="{00000000-0005-0000-0000-00004D150000}"/>
    <cellStyle name="Normal 4 4 2 4 5 3 2" xfId="14844" xr:uid="{F94E5610-3049-4BF8-A8FD-44B480D4B827}"/>
    <cellStyle name="Normal 4 4 2 4 5 4" xfId="10626" xr:uid="{506580C2-A929-4B5E-8D8D-D4EC05A65B1A}"/>
    <cellStyle name="Normal 4 4 2 4 6" xfId="2543" xr:uid="{00000000-0005-0000-0000-00004E150000}"/>
    <cellStyle name="Normal 4 4 2 4 6 2" xfId="6828" xr:uid="{00000000-0005-0000-0000-00004F150000}"/>
    <cellStyle name="Normal 4 4 2 4 6 2 2" xfId="15257" xr:uid="{01E90C87-F74F-4D6F-9C52-6F7946EBA38A}"/>
    <cellStyle name="Normal 4 4 2 4 6 3" xfId="11039" xr:uid="{1D8764A5-D12E-4C20-B697-EF1EC97607F6}"/>
    <cellStyle name="Normal 4 4 2 4 7" xfId="4763" xr:uid="{00000000-0005-0000-0000-000050150000}"/>
    <cellStyle name="Normal 4 4 2 4 7 2" xfId="13192" xr:uid="{F21E0BAB-5EDA-4434-BFAF-FD7363490262}"/>
    <cellStyle name="Normal 4 4 2 4 8" xfId="8974" xr:uid="{D39B97A8-D6E5-4189-98EC-91F82D4FA199}"/>
    <cellStyle name="Normal 4 4 2 5" xfId="855" xr:uid="{00000000-0005-0000-0000-000051150000}"/>
    <cellStyle name="Normal 4 4 2 5 2" xfId="3090" xr:uid="{00000000-0005-0000-0000-000052150000}"/>
    <cellStyle name="Normal 4 4 2 5 2 2" xfId="7314" xr:uid="{00000000-0005-0000-0000-000053150000}"/>
    <cellStyle name="Normal 4 4 2 5 2 2 2" xfId="15743" xr:uid="{84D01927-4B57-4B7C-BD91-9F772F8B7483}"/>
    <cellStyle name="Normal 4 4 2 5 2 3" xfId="11525" xr:uid="{BABC8008-459B-4A23-BA92-A751131001B9}"/>
    <cellStyle name="Normal 4 4 2 5 3" xfId="5169" xr:uid="{00000000-0005-0000-0000-000054150000}"/>
    <cellStyle name="Normal 4 4 2 5 3 2" xfId="13598" xr:uid="{7170EE2C-DF84-4EA7-B2D0-BAB3CC530406}"/>
    <cellStyle name="Normal 4 4 2 5 4" xfId="9380" xr:uid="{42FE245C-879B-4048-9BB3-16A41873E101}"/>
    <cellStyle name="Normal 4 4 2 6" xfId="1273" xr:uid="{00000000-0005-0000-0000-000055150000}"/>
    <cellStyle name="Normal 4 4 2 6 2" xfId="3503" xr:uid="{00000000-0005-0000-0000-000056150000}"/>
    <cellStyle name="Normal 4 4 2 6 2 2" xfId="7727" xr:uid="{00000000-0005-0000-0000-000057150000}"/>
    <cellStyle name="Normal 4 4 2 6 2 2 2" xfId="16156" xr:uid="{7D66DD76-87FB-4151-B2BB-1906C4105649}"/>
    <cellStyle name="Normal 4 4 2 6 2 3" xfId="11938" xr:uid="{769237EA-7878-46CC-9A02-CDFA0FA40644}"/>
    <cellStyle name="Normal 4 4 2 6 3" xfId="5582" xr:uid="{00000000-0005-0000-0000-000058150000}"/>
    <cellStyle name="Normal 4 4 2 6 3 2" xfId="14011" xr:uid="{7896BAD8-B257-4705-99C7-A2056325BF08}"/>
    <cellStyle name="Normal 4 4 2 6 4" xfId="9793" xr:uid="{E79734AD-9BBE-47AD-BD55-CCD50504B7FE}"/>
    <cellStyle name="Normal 4 4 2 7" xfId="1686" xr:uid="{00000000-0005-0000-0000-000059150000}"/>
    <cellStyle name="Normal 4 4 2 7 2" xfId="3916" xr:uid="{00000000-0005-0000-0000-00005A150000}"/>
    <cellStyle name="Normal 4 4 2 7 2 2" xfId="8140" xr:uid="{00000000-0005-0000-0000-00005B150000}"/>
    <cellStyle name="Normal 4 4 2 7 2 2 2" xfId="16569" xr:uid="{57B0E882-AF25-48E0-8FCB-453A76EBC454}"/>
    <cellStyle name="Normal 4 4 2 7 2 3" xfId="12351" xr:uid="{CDFA2241-4C99-43D6-922B-88CC02965928}"/>
    <cellStyle name="Normal 4 4 2 7 3" xfId="5995" xr:uid="{00000000-0005-0000-0000-00005C150000}"/>
    <cellStyle name="Normal 4 4 2 7 3 2" xfId="14424" xr:uid="{73C5E14F-F05F-41A1-BB01-34B52DCFF455}"/>
    <cellStyle name="Normal 4 4 2 7 4" xfId="10206" xr:uid="{7F41CB9C-E39F-4A88-9E13-68FA23AAEB2A}"/>
    <cellStyle name="Normal 4 4 2 8" xfId="2100" xr:uid="{00000000-0005-0000-0000-00005D150000}"/>
    <cellStyle name="Normal 4 4 2 8 2" xfId="4329" xr:uid="{00000000-0005-0000-0000-00005E150000}"/>
    <cellStyle name="Normal 4 4 2 8 2 2" xfId="8553" xr:uid="{00000000-0005-0000-0000-00005F150000}"/>
    <cellStyle name="Normal 4 4 2 8 2 2 2" xfId="16982" xr:uid="{145C4936-CF74-4903-9C5C-9E301909357D}"/>
    <cellStyle name="Normal 4 4 2 8 2 3" xfId="12764" xr:uid="{DB7642AF-366D-4B89-9B50-0B56692DFB61}"/>
    <cellStyle name="Normal 4 4 2 8 3" xfId="6408" xr:uid="{00000000-0005-0000-0000-000060150000}"/>
    <cellStyle name="Normal 4 4 2 8 3 2" xfId="14837" xr:uid="{1F43E518-4C20-4B68-9437-54773A38710C}"/>
    <cellStyle name="Normal 4 4 2 8 4" xfId="10619" xr:uid="{0452B4D1-6F10-49B2-A0CD-82B2C079CCF8}"/>
    <cellStyle name="Normal 4 4 2 9" xfId="2536" xr:uid="{00000000-0005-0000-0000-000061150000}"/>
    <cellStyle name="Normal 4 4 2 9 2" xfId="6821" xr:uid="{00000000-0005-0000-0000-000062150000}"/>
    <cellStyle name="Normal 4 4 2 9 2 2" xfId="15250" xr:uid="{6D9F6530-491F-4178-B101-20B6AF46B77E}"/>
    <cellStyle name="Normal 4 4 2 9 3" xfId="11032" xr:uid="{9B4EB06F-6A49-4362-A242-F899E6657E98}"/>
    <cellStyle name="Normal 4 4 3" xfId="387" xr:uid="{00000000-0005-0000-0000-000063150000}"/>
    <cellStyle name="Normal 4 4 3 10" xfId="8975" xr:uid="{AC9171BF-9963-4ED3-B1C4-CC3CEDE6C552}"/>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2 2 2" xfId="15753" xr:uid="{196B99F6-FCB9-4B82-81B9-927A5DFAA23F}"/>
    <cellStyle name="Normal 4 4 3 2 2 2 2 3" xfId="11535" xr:uid="{294AA719-B59B-4721-9366-9A9BAE54EB20}"/>
    <cellStyle name="Normal 4 4 3 2 2 2 3" xfId="5179" xr:uid="{00000000-0005-0000-0000-000069150000}"/>
    <cellStyle name="Normal 4 4 3 2 2 2 3 2" xfId="13608" xr:uid="{3D23DFDE-6B10-4D29-8FDD-DE47C850D315}"/>
    <cellStyle name="Normal 4 4 3 2 2 2 4" xfId="9390" xr:uid="{14FE563E-4A04-4740-963F-62469419C413}"/>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2 2 2" xfId="16166" xr:uid="{5F25AB2A-651E-4007-AF39-44BED5E49138}"/>
    <cellStyle name="Normal 4 4 3 2 2 3 2 3" xfId="11948" xr:uid="{A981EF7C-97CD-4F21-8C6B-56E59F433891}"/>
    <cellStyle name="Normal 4 4 3 2 2 3 3" xfId="5592" xr:uid="{00000000-0005-0000-0000-00006D150000}"/>
    <cellStyle name="Normal 4 4 3 2 2 3 3 2" xfId="14021" xr:uid="{85EA6CD6-3418-4096-86C0-85ECDF9AAC57}"/>
    <cellStyle name="Normal 4 4 3 2 2 3 4" xfId="9803" xr:uid="{85895AB6-E1F3-4D1B-B69E-A9B1504384EE}"/>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2 2 2" xfId="16579" xr:uid="{54EABB1F-CE01-42F7-AC4B-D8ADE0905DCB}"/>
    <cellStyle name="Normal 4 4 3 2 2 4 2 3" xfId="12361" xr:uid="{418E5E17-9503-4AED-AE0D-5AA08461E723}"/>
    <cellStyle name="Normal 4 4 3 2 2 4 3" xfId="6005" xr:uid="{00000000-0005-0000-0000-000071150000}"/>
    <cellStyle name="Normal 4 4 3 2 2 4 3 2" xfId="14434" xr:uid="{68A75D97-02F3-4E25-9EA8-5F8B3ED3B517}"/>
    <cellStyle name="Normal 4 4 3 2 2 4 4" xfId="10216" xr:uid="{3A24E06B-B633-4E1C-B85D-E5E6E0805EB1}"/>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2 2 2" xfId="16992" xr:uid="{13261225-9A4B-4E9C-8E97-80DE8F91DB24}"/>
    <cellStyle name="Normal 4 4 3 2 2 5 2 3" xfId="12774" xr:uid="{EBBFBEC2-0175-479E-A1CC-73C586611EC8}"/>
    <cellStyle name="Normal 4 4 3 2 2 5 3" xfId="6418" xr:uid="{00000000-0005-0000-0000-000075150000}"/>
    <cellStyle name="Normal 4 4 3 2 2 5 3 2" xfId="14847" xr:uid="{B933B702-442A-405F-A68C-A366193B7E93}"/>
    <cellStyle name="Normal 4 4 3 2 2 5 4" xfId="10629" xr:uid="{5B0A68B3-F4CC-4170-8AA4-9ACC6F079A31}"/>
    <cellStyle name="Normal 4 4 3 2 2 6" xfId="2546" xr:uid="{00000000-0005-0000-0000-000076150000}"/>
    <cellStyle name="Normal 4 4 3 2 2 6 2" xfId="6831" xr:uid="{00000000-0005-0000-0000-000077150000}"/>
    <cellStyle name="Normal 4 4 3 2 2 6 2 2" xfId="15260" xr:uid="{35CA96EE-2B26-4EC8-9573-C7E460C05318}"/>
    <cellStyle name="Normal 4 4 3 2 2 6 3" xfId="11042" xr:uid="{B3442434-17C3-458B-B716-015BF119527B}"/>
    <cellStyle name="Normal 4 4 3 2 2 7" xfId="4766" xr:uid="{00000000-0005-0000-0000-000078150000}"/>
    <cellStyle name="Normal 4 4 3 2 2 7 2" xfId="13195" xr:uid="{2FE0438A-F2D0-492A-A79B-1CAEE0172A03}"/>
    <cellStyle name="Normal 4 4 3 2 2 8" xfId="8977" xr:uid="{B8852BC9-ADDC-43DE-B7DB-F6F22AE94561}"/>
    <cellStyle name="Normal 4 4 3 2 3" xfId="864" xr:uid="{00000000-0005-0000-0000-000079150000}"/>
    <cellStyle name="Normal 4 4 3 2 3 2" xfId="3099" xr:uid="{00000000-0005-0000-0000-00007A150000}"/>
    <cellStyle name="Normal 4 4 3 2 3 2 2" xfId="7323" xr:uid="{00000000-0005-0000-0000-00007B150000}"/>
    <cellStyle name="Normal 4 4 3 2 3 2 2 2" xfId="15752" xr:uid="{D59B6F89-4CD2-4234-B246-CF2396B8A372}"/>
    <cellStyle name="Normal 4 4 3 2 3 2 3" xfId="11534" xr:uid="{6DE9E14D-7C0A-43E5-97EB-D38B2310DF70}"/>
    <cellStyle name="Normal 4 4 3 2 3 3" xfId="5178" xr:uid="{00000000-0005-0000-0000-00007C150000}"/>
    <cellStyle name="Normal 4 4 3 2 3 3 2" xfId="13607" xr:uid="{A5291343-450B-4AF4-BA63-59A23AD63CA5}"/>
    <cellStyle name="Normal 4 4 3 2 3 4" xfId="9389" xr:uid="{E35F3D7B-4F96-42BE-8F9D-F4E7274D19F2}"/>
    <cellStyle name="Normal 4 4 3 2 4" xfId="1282" xr:uid="{00000000-0005-0000-0000-00007D150000}"/>
    <cellStyle name="Normal 4 4 3 2 4 2" xfId="3512" xr:uid="{00000000-0005-0000-0000-00007E150000}"/>
    <cellStyle name="Normal 4 4 3 2 4 2 2" xfId="7736" xr:uid="{00000000-0005-0000-0000-00007F150000}"/>
    <cellStyle name="Normal 4 4 3 2 4 2 2 2" xfId="16165" xr:uid="{62E8D4D1-3295-47CB-A320-CDA8AFF34AF3}"/>
    <cellStyle name="Normal 4 4 3 2 4 2 3" xfId="11947" xr:uid="{787AC097-0F72-42C1-B813-D3216028D1B8}"/>
    <cellStyle name="Normal 4 4 3 2 4 3" xfId="5591" xr:uid="{00000000-0005-0000-0000-000080150000}"/>
    <cellStyle name="Normal 4 4 3 2 4 3 2" xfId="14020" xr:uid="{10B81FB8-2259-407E-AB9C-F1280CE4D432}"/>
    <cellStyle name="Normal 4 4 3 2 4 4" xfId="9802" xr:uid="{D8AF18DC-4EA2-4C52-B598-CFF78F3F0AF0}"/>
    <cellStyle name="Normal 4 4 3 2 5" xfId="1695" xr:uid="{00000000-0005-0000-0000-000081150000}"/>
    <cellStyle name="Normal 4 4 3 2 5 2" xfId="3925" xr:uid="{00000000-0005-0000-0000-000082150000}"/>
    <cellStyle name="Normal 4 4 3 2 5 2 2" xfId="8149" xr:uid="{00000000-0005-0000-0000-000083150000}"/>
    <cellStyle name="Normal 4 4 3 2 5 2 2 2" xfId="16578" xr:uid="{853ADE92-AABC-423C-9519-6CF45B00BCE4}"/>
    <cellStyle name="Normal 4 4 3 2 5 2 3" xfId="12360" xr:uid="{178B0CC5-8B92-47AD-8078-FEE462DE3CE7}"/>
    <cellStyle name="Normal 4 4 3 2 5 3" xfId="6004" xr:uid="{00000000-0005-0000-0000-000084150000}"/>
    <cellStyle name="Normal 4 4 3 2 5 3 2" xfId="14433" xr:uid="{45D75AA1-E89F-4AB7-9306-4C57CB37480A}"/>
    <cellStyle name="Normal 4 4 3 2 5 4" xfId="10215" xr:uid="{6DF31166-EB89-4D22-AA86-50A64F807374}"/>
    <cellStyle name="Normal 4 4 3 2 6" xfId="2109" xr:uid="{00000000-0005-0000-0000-000085150000}"/>
    <cellStyle name="Normal 4 4 3 2 6 2" xfId="4338" xr:uid="{00000000-0005-0000-0000-000086150000}"/>
    <cellStyle name="Normal 4 4 3 2 6 2 2" xfId="8562" xr:uid="{00000000-0005-0000-0000-000087150000}"/>
    <cellStyle name="Normal 4 4 3 2 6 2 2 2" xfId="16991" xr:uid="{5356309E-859E-4B52-93F9-F582B0BC2958}"/>
    <cellStyle name="Normal 4 4 3 2 6 2 3" xfId="12773" xr:uid="{04494B8E-3323-4C6A-B7DD-CCFB3F48DE70}"/>
    <cellStyle name="Normal 4 4 3 2 6 3" xfId="6417" xr:uid="{00000000-0005-0000-0000-000088150000}"/>
    <cellStyle name="Normal 4 4 3 2 6 3 2" xfId="14846" xr:uid="{CA0C789D-3761-44FC-BC70-2CB5D40A2128}"/>
    <cellStyle name="Normal 4 4 3 2 6 4" xfId="10628" xr:uid="{4EAB6E33-F5BB-4242-8303-15C124FD0748}"/>
    <cellStyle name="Normal 4 4 3 2 7" xfId="2545" xr:uid="{00000000-0005-0000-0000-000089150000}"/>
    <cellStyle name="Normal 4 4 3 2 7 2" xfId="6830" xr:uid="{00000000-0005-0000-0000-00008A150000}"/>
    <cellStyle name="Normal 4 4 3 2 7 2 2" xfId="15259" xr:uid="{5C0B44DA-546F-4675-9EF2-960638AC9CE1}"/>
    <cellStyle name="Normal 4 4 3 2 7 3" xfId="11041" xr:uid="{F220FB5C-9F92-49AC-AE95-7E01741E834E}"/>
    <cellStyle name="Normal 4 4 3 2 8" xfId="4765" xr:uid="{00000000-0005-0000-0000-00008B150000}"/>
    <cellStyle name="Normal 4 4 3 2 8 2" xfId="13194" xr:uid="{3DFC03B0-6F53-441F-BE21-653B9405BD74}"/>
    <cellStyle name="Normal 4 4 3 2 9" xfId="8976" xr:uid="{20074154-0677-4673-B5CD-8342CB92F6C1}"/>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2 2 2" xfId="15754" xr:uid="{AB00A182-0423-47EB-ADB0-A7ED728E7512}"/>
    <cellStyle name="Normal 4 4 3 3 2 2 3" xfId="11536" xr:uid="{D22D0FD0-8ED0-4541-B236-739053A0DC22}"/>
    <cellStyle name="Normal 4 4 3 3 2 3" xfId="5180" xr:uid="{00000000-0005-0000-0000-000090150000}"/>
    <cellStyle name="Normal 4 4 3 3 2 3 2" xfId="13609" xr:uid="{CD2914B2-573B-4F7B-BCBB-B45E989156E5}"/>
    <cellStyle name="Normal 4 4 3 3 2 4" xfId="9391" xr:uid="{9381082B-65E8-4602-A4AA-38D896EC7AF4}"/>
    <cellStyle name="Normal 4 4 3 3 3" xfId="1284" xr:uid="{00000000-0005-0000-0000-000091150000}"/>
    <cellStyle name="Normal 4 4 3 3 3 2" xfId="3514" xr:uid="{00000000-0005-0000-0000-000092150000}"/>
    <cellStyle name="Normal 4 4 3 3 3 2 2" xfId="7738" xr:uid="{00000000-0005-0000-0000-000093150000}"/>
    <cellStyle name="Normal 4 4 3 3 3 2 2 2" xfId="16167" xr:uid="{50B533E4-846E-4216-8901-70383A766F3A}"/>
    <cellStyle name="Normal 4 4 3 3 3 2 3" xfId="11949" xr:uid="{338BE2DD-6DB3-4C74-8BCA-B3FB58CB4921}"/>
    <cellStyle name="Normal 4 4 3 3 3 3" xfId="5593" xr:uid="{00000000-0005-0000-0000-000094150000}"/>
    <cellStyle name="Normal 4 4 3 3 3 3 2" xfId="14022" xr:uid="{3CAA5917-7090-4DDE-8E49-156C05EDEFA0}"/>
    <cellStyle name="Normal 4 4 3 3 3 4" xfId="9804" xr:uid="{E107795A-79DA-482F-A4B7-A825EE1E65C4}"/>
    <cellStyle name="Normal 4 4 3 3 4" xfId="1697" xr:uid="{00000000-0005-0000-0000-000095150000}"/>
    <cellStyle name="Normal 4 4 3 3 4 2" xfId="3927" xr:uid="{00000000-0005-0000-0000-000096150000}"/>
    <cellStyle name="Normal 4 4 3 3 4 2 2" xfId="8151" xr:uid="{00000000-0005-0000-0000-000097150000}"/>
    <cellStyle name="Normal 4 4 3 3 4 2 2 2" xfId="16580" xr:uid="{F0CAC69E-15B0-42E2-AD5C-AA57ABB8A1C4}"/>
    <cellStyle name="Normal 4 4 3 3 4 2 3" xfId="12362" xr:uid="{64B89339-64FA-4A2D-B2CC-BA8417EBAC00}"/>
    <cellStyle name="Normal 4 4 3 3 4 3" xfId="6006" xr:uid="{00000000-0005-0000-0000-000098150000}"/>
    <cellStyle name="Normal 4 4 3 3 4 3 2" xfId="14435" xr:uid="{F3C02667-78DB-4A86-A6B6-B7E266858B0D}"/>
    <cellStyle name="Normal 4 4 3 3 4 4" xfId="10217" xr:uid="{EE54D27F-D0AD-4571-8D80-77187976C978}"/>
    <cellStyle name="Normal 4 4 3 3 5" xfId="2111" xr:uid="{00000000-0005-0000-0000-000099150000}"/>
    <cellStyle name="Normal 4 4 3 3 5 2" xfId="4340" xr:uid="{00000000-0005-0000-0000-00009A150000}"/>
    <cellStyle name="Normal 4 4 3 3 5 2 2" xfId="8564" xr:uid="{00000000-0005-0000-0000-00009B150000}"/>
    <cellStyle name="Normal 4 4 3 3 5 2 2 2" xfId="16993" xr:uid="{53986D1D-8288-4F11-9F35-BB06429CBBAE}"/>
    <cellStyle name="Normal 4 4 3 3 5 2 3" xfId="12775" xr:uid="{F0411302-FC94-4349-909F-A7129F84399E}"/>
    <cellStyle name="Normal 4 4 3 3 5 3" xfId="6419" xr:uid="{00000000-0005-0000-0000-00009C150000}"/>
    <cellStyle name="Normal 4 4 3 3 5 3 2" xfId="14848" xr:uid="{639C09AD-B50A-4F1E-93E2-7800584CCC92}"/>
    <cellStyle name="Normal 4 4 3 3 5 4" xfId="10630" xr:uid="{6068E96D-F029-48F6-96C5-E5CB8B4DE484}"/>
    <cellStyle name="Normal 4 4 3 3 6" xfId="2547" xr:uid="{00000000-0005-0000-0000-00009D150000}"/>
    <cellStyle name="Normal 4 4 3 3 6 2" xfId="6832" xr:uid="{00000000-0005-0000-0000-00009E150000}"/>
    <cellStyle name="Normal 4 4 3 3 6 2 2" xfId="15261" xr:uid="{63EFBBE5-EBCA-4B6D-8F3B-C389F1176CE2}"/>
    <cellStyle name="Normal 4 4 3 3 6 3" xfId="11043" xr:uid="{E974C101-F6D8-449E-A01A-F2C100F0D795}"/>
    <cellStyle name="Normal 4 4 3 3 7" xfId="4767" xr:uid="{00000000-0005-0000-0000-00009F150000}"/>
    <cellStyle name="Normal 4 4 3 3 7 2" xfId="13196" xr:uid="{6776252B-928E-445B-B995-2F407B9D5A5C}"/>
    <cellStyle name="Normal 4 4 3 3 8" xfId="8978" xr:uid="{2D417387-4CCF-4D42-BE5D-95245C6732D8}"/>
    <cellStyle name="Normal 4 4 3 4" xfId="863" xr:uid="{00000000-0005-0000-0000-0000A0150000}"/>
    <cellStyle name="Normal 4 4 3 4 2" xfId="3098" xr:uid="{00000000-0005-0000-0000-0000A1150000}"/>
    <cellStyle name="Normal 4 4 3 4 2 2" xfId="7322" xr:uid="{00000000-0005-0000-0000-0000A2150000}"/>
    <cellStyle name="Normal 4 4 3 4 2 2 2" xfId="15751" xr:uid="{3E6C9B88-E7A3-4465-B8F9-EAA6387241CA}"/>
    <cellStyle name="Normal 4 4 3 4 2 3" xfId="11533" xr:uid="{74BA35C5-582D-4CA8-9B7A-35F7CDFE0177}"/>
    <cellStyle name="Normal 4 4 3 4 3" xfId="5177" xr:uid="{00000000-0005-0000-0000-0000A3150000}"/>
    <cellStyle name="Normal 4 4 3 4 3 2" xfId="13606" xr:uid="{319D42F0-ABF5-45EA-AD1E-EB54953BDF47}"/>
    <cellStyle name="Normal 4 4 3 4 4" xfId="9388" xr:uid="{373419E3-D261-432E-96BA-61BECF6AD943}"/>
    <cellStyle name="Normal 4 4 3 5" xfId="1281" xr:uid="{00000000-0005-0000-0000-0000A4150000}"/>
    <cellStyle name="Normal 4 4 3 5 2" xfId="3511" xr:uid="{00000000-0005-0000-0000-0000A5150000}"/>
    <cellStyle name="Normal 4 4 3 5 2 2" xfId="7735" xr:uid="{00000000-0005-0000-0000-0000A6150000}"/>
    <cellStyle name="Normal 4 4 3 5 2 2 2" xfId="16164" xr:uid="{E2898E11-0391-40FB-ABA5-F3E0859D6CD0}"/>
    <cellStyle name="Normal 4 4 3 5 2 3" xfId="11946" xr:uid="{2A3FE02A-030A-4D42-BE6B-99E130E38EED}"/>
    <cellStyle name="Normal 4 4 3 5 3" xfId="5590" xr:uid="{00000000-0005-0000-0000-0000A7150000}"/>
    <cellStyle name="Normal 4 4 3 5 3 2" xfId="14019" xr:uid="{67B9413D-6238-4685-B1DD-BDFC7A92C8BF}"/>
    <cellStyle name="Normal 4 4 3 5 4" xfId="9801" xr:uid="{C0213F7C-6F0F-427B-9662-210666623A85}"/>
    <cellStyle name="Normal 4 4 3 6" xfId="1694" xr:uid="{00000000-0005-0000-0000-0000A8150000}"/>
    <cellStyle name="Normal 4 4 3 6 2" xfId="3924" xr:uid="{00000000-0005-0000-0000-0000A9150000}"/>
    <cellStyle name="Normal 4 4 3 6 2 2" xfId="8148" xr:uid="{00000000-0005-0000-0000-0000AA150000}"/>
    <cellStyle name="Normal 4 4 3 6 2 2 2" xfId="16577" xr:uid="{F322D005-26E8-411F-8D7D-DB7488C91135}"/>
    <cellStyle name="Normal 4 4 3 6 2 3" xfId="12359" xr:uid="{FDF76008-58D3-49F3-9BDF-ED490D76AAC7}"/>
    <cellStyle name="Normal 4 4 3 6 3" xfId="6003" xr:uid="{00000000-0005-0000-0000-0000AB150000}"/>
    <cellStyle name="Normal 4 4 3 6 3 2" xfId="14432" xr:uid="{3056E11E-3ECB-4CEA-BA04-EFD0FD00440A}"/>
    <cellStyle name="Normal 4 4 3 6 4" xfId="10214" xr:uid="{B310EDE6-2BCC-45BD-9666-22F57E1560B2}"/>
    <cellStyle name="Normal 4 4 3 7" xfId="2108" xr:uid="{00000000-0005-0000-0000-0000AC150000}"/>
    <cellStyle name="Normal 4 4 3 7 2" xfId="4337" xr:uid="{00000000-0005-0000-0000-0000AD150000}"/>
    <cellStyle name="Normal 4 4 3 7 2 2" xfId="8561" xr:uid="{00000000-0005-0000-0000-0000AE150000}"/>
    <cellStyle name="Normal 4 4 3 7 2 2 2" xfId="16990" xr:uid="{2DC95980-2360-4AEA-9F66-3912ED6ECB08}"/>
    <cellStyle name="Normal 4 4 3 7 2 3" xfId="12772" xr:uid="{9035397B-8AAF-4EF3-AA65-C1025662A611}"/>
    <cellStyle name="Normal 4 4 3 7 3" xfId="6416" xr:uid="{00000000-0005-0000-0000-0000AF150000}"/>
    <cellStyle name="Normal 4 4 3 7 3 2" xfId="14845" xr:uid="{FADC7D98-EA9F-470A-BFD9-50313D9C0E20}"/>
    <cellStyle name="Normal 4 4 3 7 4" xfId="10627" xr:uid="{9A0B2706-3263-455E-9E26-CF834B89F627}"/>
    <cellStyle name="Normal 4 4 3 8" xfId="2544" xr:uid="{00000000-0005-0000-0000-0000B0150000}"/>
    <cellStyle name="Normal 4 4 3 8 2" xfId="6829" xr:uid="{00000000-0005-0000-0000-0000B1150000}"/>
    <cellStyle name="Normal 4 4 3 8 2 2" xfId="15258" xr:uid="{CD0E9E05-FBD4-4228-96B4-2F591CDA769E}"/>
    <cellStyle name="Normal 4 4 3 8 3" xfId="11040" xr:uid="{E7FDA1B8-EEA3-4B76-BF21-8285CA09E48E}"/>
    <cellStyle name="Normal 4 4 3 9" xfId="4764" xr:uid="{00000000-0005-0000-0000-0000B2150000}"/>
    <cellStyle name="Normal 4 4 3 9 2" xfId="13193" xr:uid="{4381070F-9D5D-4434-A8BD-21B69E8FB0AF}"/>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2 2 2" xfId="15756" xr:uid="{A24D4518-BD6B-407F-8D50-687B6D4A2D70}"/>
    <cellStyle name="Normal 4 4 4 2 2 2 3" xfId="11538" xr:uid="{DDA649EA-A6A4-440D-B330-C133D4E9018A}"/>
    <cellStyle name="Normal 4 4 4 2 2 3" xfId="5182" xr:uid="{00000000-0005-0000-0000-0000B8150000}"/>
    <cellStyle name="Normal 4 4 4 2 2 3 2" xfId="13611" xr:uid="{25C2CB43-FE9C-45CD-A4C2-F6C86532EF4F}"/>
    <cellStyle name="Normal 4 4 4 2 2 4" xfId="9393" xr:uid="{51821EE1-BF7C-412F-A7A3-9CF8F3FBE093}"/>
    <cellStyle name="Normal 4 4 4 2 3" xfId="1286" xr:uid="{00000000-0005-0000-0000-0000B9150000}"/>
    <cellStyle name="Normal 4 4 4 2 3 2" xfId="3516" xr:uid="{00000000-0005-0000-0000-0000BA150000}"/>
    <cellStyle name="Normal 4 4 4 2 3 2 2" xfId="7740" xr:uid="{00000000-0005-0000-0000-0000BB150000}"/>
    <cellStyle name="Normal 4 4 4 2 3 2 2 2" xfId="16169" xr:uid="{E8CDC09A-6A90-4E17-B1A5-4109FCC75668}"/>
    <cellStyle name="Normal 4 4 4 2 3 2 3" xfId="11951" xr:uid="{D19DC42E-3330-47C9-B430-E8E1060145A9}"/>
    <cellStyle name="Normal 4 4 4 2 3 3" xfId="5595" xr:uid="{00000000-0005-0000-0000-0000BC150000}"/>
    <cellStyle name="Normal 4 4 4 2 3 3 2" xfId="14024" xr:uid="{0B45DDD9-3C96-414B-AD82-87E1422D110D}"/>
    <cellStyle name="Normal 4 4 4 2 3 4" xfId="9806" xr:uid="{61CE1A35-258E-472F-BA45-0B21E9594B47}"/>
    <cellStyle name="Normal 4 4 4 2 4" xfId="1699" xr:uid="{00000000-0005-0000-0000-0000BD150000}"/>
    <cellStyle name="Normal 4 4 4 2 4 2" xfId="3929" xr:uid="{00000000-0005-0000-0000-0000BE150000}"/>
    <cellStyle name="Normal 4 4 4 2 4 2 2" xfId="8153" xr:uid="{00000000-0005-0000-0000-0000BF150000}"/>
    <cellStyle name="Normal 4 4 4 2 4 2 2 2" xfId="16582" xr:uid="{875C02E9-838C-4AF7-823A-C2F5FC838DCB}"/>
    <cellStyle name="Normal 4 4 4 2 4 2 3" xfId="12364" xr:uid="{A61AB821-EE48-4413-899D-EC424257DFF7}"/>
    <cellStyle name="Normal 4 4 4 2 4 3" xfId="6008" xr:uid="{00000000-0005-0000-0000-0000C0150000}"/>
    <cellStyle name="Normal 4 4 4 2 4 3 2" xfId="14437" xr:uid="{60F1B143-4AAB-49B6-8036-292B9196580E}"/>
    <cellStyle name="Normal 4 4 4 2 4 4" xfId="10219" xr:uid="{38A54752-B6D6-467B-832A-B3F93FDEEA50}"/>
    <cellStyle name="Normal 4 4 4 2 5" xfId="2113" xr:uid="{00000000-0005-0000-0000-0000C1150000}"/>
    <cellStyle name="Normal 4 4 4 2 5 2" xfId="4342" xr:uid="{00000000-0005-0000-0000-0000C2150000}"/>
    <cellStyle name="Normal 4 4 4 2 5 2 2" xfId="8566" xr:uid="{00000000-0005-0000-0000-0000C3150000}"/>
    <cellStyle name="Normal 4 4 4 2 5 2 2 2" xfId="16995" xr:uid="{22934F3B-5153-4EB5-9A26-67C1823B315B}"/>
    <cellStyle name="Normal 4 4 4 2 5 2 3" xfId="12777" xr:uid="{DA2690AE-01E6-4590-A9CC-E956C59595F9}"/>
    <cellStyle name="Normal 4 4 4 2 5 3" xfId="6421" xr:uid="{00000000-0005-0000-0000-0000C4150000}"/>
    <cellStyle name="Normal 4 4 4 2 5 3 2" xfId="14850" xr:uid="{E2A3B0A5-4FDF-4F56-B0A2-2C2B052C7736}"/>
    <cellStyle name="Normal 4 4 4 2 5 4" xfId="10632" xr:uid="{33DE2234-3283-4D5E-BBE5-EF2E2BB6BC73}"/>
    <cellStyle name="Normal 4 4 4 2 6" xfId="2549" xr:uid="{00000000-0005-0000-0000-0000C5150000}"/>
    <cellStyle name="Normal 4 4 4 2 6 2" xfId="6834" xr:uid="{00000000-0005-0000-0000-0000C6150000}"/>
    <cellStyle name="Normal 4 4 4 2 6 2 2" xfId="15263" xr:uid="{91A92BEF-A094-4356-97CE-57D69DB90158}"/>
    <cellStyle name="Normal 4 4 4 2 6 3" xfId="11045" xr:uid="{76F45D7E-3440-47F7-B269-EDF3DF7A0EB1}"/>
    <cellStyle name="Normal 4 4 4 2 7" xfId="4769" xr:uid="{00000000-0005-0000-0000-0000C7150000}"/>
    <cellStyle name="Normal 4 4 4 2 7 2" xfId="13198" xr:uid="{AB86FF79-B6BD-4C94-9A1E-3BDFB09C6433}"/>
    <cellStyle name="Normal 4 4 4 2 8" xfId="8980" xr:uid="{057A4D8B-299A-4652-ACD7-53C10280A6A5}"/>
    <cellStyle name="Normal 4 4 4 3" xfId="867" xr:uid="{00000000-0005-0000-0000-0000C8150000}"/>
    <cellStyle name="Normal 4 4 4 3 2" xfId="3102" xr:uid="{00000000-0005-0000-0000-0000C9150000}"/>
    <cellStyle name="Normal 4 4 4 3 2 2" xfId="7326" xr:uid="{00000000-0005-0000-0000-0000CA150000}"/>
    <cellStyle name="Normal 4 4 4 3 2 2 2" xfId="15755" xr:uid="{AB3E3E41-4724-4941-8430-EEFEF41D3A15}"/>
    <cellStyle name="Normal 4 4 4 3 2 3" xfId="11537" xr:uid="{26FBC3A8-0C96-4927-89D5-DA55E7FBF3F8}"/>
    <cellStyle name="Normal 4 4 4 3 3" xfId="5181" xr:uid="{00000000-0005-0000-0000-0000CB150000}"/>
    <cellStyle name="Normal 4 4 4 3 3 2" xfId="13610" xr:uid="{8DE41C31-11CE-4461-B7F4-64E90FFE6D6B}"/>
    <cellStyle name="Normal 4 4 4 3 4" xfId="9392" xr:uid="{482A65A5-1FFE-4141-9800-39BCA54CCDC6}"/>
    <cellStyle name="Normal 4 4 4 4" xfId="1285" xr:uid="{00000000-0005-0000-0000-0000CC150000}"/>
    <cellStyle name="Normal 4 4 4 4 2" xfId="3515" xr:uid="{00000000-0005-0000-0000-0000CD150000}"/>
    <cellStyle name="Normal 4 4 4 4 2 2" xfId="7739" xr:uid="{00000000-0005-0000-0000-0000CE150000}"/>
    <cellStyle name="Normal 4 4 4 4 2 2 2" xfId="16168" xr:uid="{EB7D0F28-7E1E-4F9C-8EAF-9C3F73CFF9C1}"/>
    <cellStyle name="Normal 4 4 4 4 2 3" xfId="11950" xr:uid="{1A002ED2-71D7-4A1F-A7BE-B6D58DF9FAE3}"/>
    <cellStyle name="Normal 4 4 4 4 3" xfId="5594" xr:uid="{00000000-0005-0000-0000-0000CF150000}"/>
    <cellStyle name="Normal 4 4 4 4 3 2" xfId="14023" xr:uid="{3D94C3D6-6863-4911-973E-FF07841F5DF4}"/>
    <cellStyle name="Normal 4 4 4 4 4" xfId="9805" xr:uid="{C817DE0F-9D79-463A-BF9D-48CC5FDFE182}"/>
    <cellStyle name="Normal 4 4 4 5" xfId="1698" xr:uid="{00000000-0005-0000-0000-0000D0150000}"/>
    <cellStyle name="Normal 4 4 4 5 2" xfId="3928" xr:uid="{00000000-0005-0000-0000-0000D1150000}"/>
    <cellStyle name="Normal 4 4 4 5 2 2" xfId="8152" xr:uid="{00000000-0005-0000-0000-0000D2150000}"/>
    <cellStyle name="Normal 4 4 4 5 2 2 2" xfId="16581" xr:uid="{DFAEEAF4-DE5C-4DB4-8238-E08F2A232DBF}"/>
    <cellStyle name="Normal 4 4 4 5 2 3" xfId="12363" xr:uid="{85F8E18B-7BB8-469F-9A37-37A12A2B05B3}"/>
    <cellStyle name="Normal 4 4 4 5 3" xfId="6007" xr:uid="{00000000-0005-0000-0000-0000D3150000}"/>
    <cellStyle name="Normal 4 4 4 5 3 2" xfId="14436" xr:uid="{76A34A12-B4EA-4F50-9421-5731A9CF26A2}"/>
    <cellStyle name="Normal 4 4 4 5 4" xfId="10218" xr:uid="{04C20C0F-5F21-48AD-87DB-5FC2C075C7B1}"/>
    <cellStyle name="Normal 4 4 4 6" xfId="2112" xr:uid="{00000000-0005-0000-0000-0000D4150000}"/>
    <cellStyle name="Normal 4 4 4 6 2" xfId="4341" xr:uid="{00000000-0005-0000-0000-0000D5150000}"/>
    <cellStyle name="Normal 4 4 4 6 2 2" xfId="8565" xr:uid="{00000000-0005-0000-0000-0000D6150000}"/>
    <cellStyle name="Normal 4 4 4 6 2 2 2" xfId="16994" xr:uid="{6D680029-4464-486F-A1CF-513377FC84ED}"/>
    <cellStyle name="Normal 4 4 4 6 2 3" xfId="12776" xr:uid="{E335EA18-EF3C-489D-9CD6-C7AB4FA7DAA3}"/>
    <cellStyle name="Normal 4 4 4 6 3" xfId="6420" xr:uid="{00000000-0005-0000-0000-0000D7150000}"/>
    <cellStyle name="Normal 4 4 4 6 3 2" xfId="14849" xr:uid="{B48EAABA-03F8-4158-92F5-A53D37A99A47}"/>
    <cellStyle name="Normal 4 4 4 6 4" xfId="10631" xr:uid="{5BEF2CC8-66D2-4C78-AE8F-22598E1D7CEF}"/>
    <cellStyle name="Normal 4 4 4 7" xfId="2548" xr:uid="{00000000-0005-0000-0000-0000D8150000}"/>
    <cellStyle name="Normal 4 4 4 7 2" xfId="6833" xr:uid="{00000000-0005-0000-0000-0000D9150000}"/>
    <cellStyle name="Normal 4 4 4 7 2 2" xfId="15262" xr:uid="{A6CDFD33-E027-41A1-889B-CA45B6D47863}"/>
    <cellStyle name="Normal 4 4 4 7 3" xfId="11044" xr:uid="{3DE1746F-18F8-47A0-B776-0C742F448D9E}"/>
    <cellStyle name="Normal 4 4 4 8" xfId="4768" xr:uid="{00000000-0005-0000-0000-0000DA150000}"/>
    <cellStyle name="Normal 4 4 4 8 2" xfId="13197" xr:uid="{5206C919-D3DC-48AC-9BC3-3F619780F6EF}"/>
    <cellStyle name="Normal 4 4 4 9" xfId="8979" xr:uid="{7A92106E-207B-4354-9A04-00CA5018BEE8}"/>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2 2 2" xfId="15757" xr:uid="{740BC9FE-1F3A-4063-9DDF-3D7941C7A58C}"/>
    <cellStyle name="Normal 4 4 5 2 2 3" xfId="11539" xr:uid="{13E01048-3BF0-44EB-941F-87362D63A4E0}"/>
    <cellStyle name="Normal 4 4 5 2 3" xfId="5183" xr:uid="{00000000-0005-0000-0000-0000DF150000}"/>
    <cellStyle name="Normal 4 4 5 2 3 2" xfId="13612" xr:uid="{5F50780D-C685-4D79-B0E4-C0A050D6CB65}"/>
    <cellStyle name="Normal 4 4 5 2 4" xfId="9394" xr:uid="{8849841F-948A-42B0-BDDE-EDE292A2A3D0}"/>
    <cellStyle name="Normal 4 4 5 3" xfId="1287" xr:uid="{00000000-0005-0000-0000-0000E0150000}"/>
    <cellStyle name="Normal 4 4 5 3 2" xfId="3517" xr:uid="{00000000-0005-0000-0000-0000E1150000}"/>
    <cellStyle name="Normal 4 4 5 3 2 2" xfId="7741" xr:uid="{00000000-0005-0000-0000-0000E2150000}"/>
    <cellStyle name="Normal 4 4 5 3 2 2 2" xfId="16170" xr:uid="{5DDE0FF0-2F04-4DCF-A9BD-722D7CBB4916}"/>
    <cellStyle name="Normal 4 4 5 3 2 3" xfId="11952" xr:uid="{27726651-11BE-4F23-B4AA-9549B882C7AF}"/>
    <cellStyle name="Normal 4 4 5 3 3" xfId="5596" xr:uid="{00000000-0005-0000-0000-0000E3150000}"/>
    <cellStyle name="Normal 4 4 5 3 3 2" xfId="14025" xr:uid="{7479CE93-71CD-49EF-B24E-F94CAA565D0A}"/>
    <cellStyle name="Normal 4 4 5 3 4" xfId="9807" xr:uid="{82B59FD1-5C1E-4825-88FF-E40E18AB955C}"/>
    <cellStyle name="Normal 4 4 5 4" xfId="1700" xr:uid="{00000000-0005-0000-0000-0000E4150000}"/>
    <cellStyle name="Normal 4 4 5 4 2" xfId="3930" xr:uid="{00000000-0005-0000-0000-0000E5150000}"/>
    <cellStyle name="Normal 4 4 5 4 2 2" xfId="8154" xr:uid="{00000000-0005-0000-0000-0000E6150000}"/>
    <cellStyle name="Normal 4 4 5 4 2 2 2" xfId="16583" xr:uid="{A3FD312A-B990-413C-AE51-AB7B170DE2A3}"/>
    <cellStyle name="Normal 4 4 5 4 2 3" xfId="12365" xr:uid="{185124E1-DE37-4220-ABCD-3BB33FB1AD0B}"/>
    <cellStyle name="Normal 4 4 5 4 3" xfId="6009" xr:uid="{00000000-0005-0000-0000-0000E7150000}"/>
    <cellStyle name="Normal 4 4 5 4 3 2" xfId="14438" xr:uid="{65B02A80-6345-4127-B81D-BD2ABC9B7CC4}"/>
    <cellStyle name="Normal 4 4 5 4 4" xfId="10220" xr:uid="{87DBB852-50AD-43F7-921E-19916A05B2AC}"/>
    <cellStyle name="Normal 4 4 5 5" xfId="2114" xr:uid="{00000000-0005-0000-0000-0000E8150000}"/>
    <cellStyle name="Normal 4 4 5 5 2" xfId="4343" xr:uid="{00000000-0005-0000-0000-0000E9150000}"/>
    <cellStyle name="Normal 4 4 5 5 2 2" xfId="8567" xr:uid="{00000000-0005-0000-0000-0000EA150000}"/>
    <cellStyle name="Normal 4 4 5 5 2 2 2" xfId="16996" xr:uid="{A0737E73-02AC-4FB0-881E-455F43345C86}"/>
    <cellStyle name="Normal 4 4 5 5 2 3" xfId="12778" xr:uid="{73D9A8E1-2D44-4859-8EF6-AC99D172C7D1}"/>
    <cellStyle name="Normal 4 4 5 5 3" xfId="6422" xr:uid="{00000000-0005-0000-0000-0000EB150000}"/>
    <cellStyle name="Normal 4 4 5 5 3 2" xfId="14851" xr:uid="{5E2FE581-6A91-4314-B232-1A4AA51E8C79}"/>
    <cellStyle name="Normal 4 4 5 5 4" xfId="10633" xr:uid="{C82DE605-0741-49FB-95C1-1596EFFFC550}"/>
    <cellStyle name="Normal 4 4 5 6" xfId="2550" xr:uid="{00000000-0005-0000-0000-0000EC150000}"/>
    <cellStyle name="Normal 4 4 5 6 2" xfId="6835" xr:uid="{00000000-0005-0000-0000-0000ED150000}"/>
    <cellStyle name="Normal 4 4 5 6 2 2" xfId="15264" xr:uid="{F833637B-CCAD-45D4-BBB4-F4E1BDF68992}"/>
    <cellStyle name="Normal 4 4 5 6 3" xfId="11046" xr:uid="{945F5B6A-121F-4279-B482-71E89A3B9214}"/>
    <cellStyle name="Normal 4 4 5 7" xfId="4770" xr:uid="{00000000-0005-0000-0000-0000EE150000}"/>
    <cellStyle name="Normal 4 4 5 7 2" xfId="13199" xr:uid="{5BF95CE3-961B-4569-8387-E8696263A48F}"/>
    <cellStyle name="Normal 4 4 5 8" xfId="8981" xr:uid="{58740381-EA22-4B98-A8D6-E698143A7F10}"/>
    <cellStyle name="Normal 4 4 6" xfId="854" xr:uid="{00000000-0005-0000-0000-0000EF150000}"/>
    <cellStyle name="Normal 4 4 6 2" xfId="3089" xr:uid="{00000000-0005-0000-0000-0000F0150000}"/>
    <cellStyle name="Normal 4 4 6 2 2" xfId="7313" xr:uid="{00000000-0005-0000-0000-0000F1150000}"/>
    <cellStyle name="Normal 4 4 6 2 2 2" xfId="15742" xr:uid="{99A733BB-3BCF-41B6-9410-EF95F23FFB6B}"/>
    <cellStyle name="Normal 4 4 6 2 3" xfId="11524" xr:uid="{70CE99E1-94CB-4B24-B344-A4D6B072A01D}"/>
    <cellStyle name="Normal 4 4 6 3" xfId="5168" xr:uid="{00000000-0005-0000-0000-0000F2150000}"/>
    <cellStyle name="Normal 4 4 6 3 2" xfId="13597" xr:uid="{5B5F45EC-C712-45DA-BF35-2226482AFBD3}"/>
    <cellStyle name="Normal 4 4 6 4" xfId="9379" xr:uid="{F250C2D9-45C6-4D85-822A-A7D35FD27A82}"/>
    <cellStyle name="Normal 4 4 7" xfId="1272" xr:uid="{00000000-0005-0000-0000-0000F3150000}"/>
    <cellStyle name="Normal 4 4 7 2" xfId="3502" xr:uid="{00000000-0005-0000-0000-0000F4150000}"/>
    <cellStyle name="Normal 4 4 7 2 2" xfId="7726" xr:uid="{00000000-0005-0000-0000-0000F5150000}"/>
    <cellStyle name="Normal 4 4 7 2 2 2" xfId="16155" xr:uid="{462D4FF5-C9B3-4FC9-9F30-9138D3C86C1C}"/>
    <cellStyle name="Normal 4 4 7 2 3" xfId="11937" xr:uid="{EC37898C-0B39-426F-9586-8673C63E7A1B}"/>
    <cellStyle name="Normal 4 4 7 3" xfId="5581" xr:uid="{00000000-0005-0000-0000-0000F6150000}"/>
    <cellStyle name="Normal 4 4 7 3 2" xfId="14010" xr:uid="{18039E26-45F0-4399-B0C8-633E5D73810A}"/>
    <cellStyle name="Normal 4 4 7 4" xfId="9792" xr:uid="{801138CD-7D62-4F3B-801B-ADB488094252}"/>
    <cellStyle name="Normal 4 4 8" xfId="1685" xr:uid="{00000000-0005-0000-0000-0000F7150000}"/>
    <cellStyle name="Normal 4 4 8 2" xfId="3915" xr:uid="{00000000-0005-0000-0000-0000F8150000}"/>
    <cellStyle name="Normal 4 4 8 2 2" xfId="8139" xr:uid="{00000000-0005-0000-0000-0000F9150000}"/>
    <cellStyle name="Normal 4 4 8 2 2 2" xfId="16568" xr:uid="{FA26D4BA-F25C-4188-8AB4-BE9CD5902D39}"/>
    <cellStyle name="Normal 4 4 8 2 3" xfId="12350" xr:uid="{73D2869E-5EC6-427C-AF0B-1213B5DF7B59}"/>
    <cellStyle name="Normal 4 4 8 3" xfId="5994" xr:uid="{00000000-0005-0000-0000-0000FA150000}"/>
    <cellStyle name="Normal 4 4 8 3 2" xfId="14423" xr:uid="{ED5D794C-C9E4-4B5B-9730-827E3C55BEAA}"/>
    <cellStyle name="Normal 4 4 8 4" xfId="10205" xr:uid="{2C08E791-7C85-4214-9EA8-A313AFF66357}"/>
    <cellStyle name="Normal 4 4 9" xfId="2099" xr:uid="{00000000-0005-0000-0000-0000FB150000}"/>
    <cellStyle name="Normal 4 4 9 2" xfId="4328" xr:uid="{00000000-0005-0000-0000-0000FC150000}"/>
    <cellStyle name="Normal 4 4 9 2 2" xfId="8552" xr:uid="{00000000-0005-0000-0000-0000FD150000}"/>
    <cellStyle name="Normal 4 4 9 2 2 2" xfId="16981" xr:uid="{469263C9-2EF9-41F9-85D0-ADAD96432C9B}"/>
    <cellStyle name="Normal 4 4 9 2 3" xfId="12763" xr:uid="{DCCCD526-6F58-4F54-BFF1-BC5CE0A8FCB4}"/>
    <cellStyle name="Normal 4 4 9 3" xfId="6407" xr:uid="{00000000-0005-0000-0000-0000FE150000}"/>
    <cellStyle name="Normal 4 4 9 3 2" xfId="14836" xr:uid="{8EF8A1B2-F83D-4E97-83D4-2AA82E180D51}"/>
    <cellStyle name="Normal 4 4 9 4" xfId="10618" xr:uid="{5BF075BB-FBD4-4094-8F14-40E539EF2657}"/>
    <cellStyle name="Normal 4 5" xfId="394" xr:uid="{00000000-0005-0000-0000-0000FF150000}"/>
    <cellStyle name="Normal 4 6" xfId="395" xr:uid="{00000000-0005-0000-0000-000000160000}"/>
    <cellStyle name="Normal 4 6 10" xfId="4771" xr:uid="{00000000-0005-0000-0000-000001160000}"/>
    <cellStyle name="Normal 4 6 10 2" xfId="13200" xr:uid="{727857A4-B7AD-4829-8ED4-E8E11949C7CC}"/>
    <cellStyle name="Normal 4 6 11" xfId="8982" xr:uid="{3EC4C980-E7F5-4FA0-9264-5CE9D415AE2C}"/>
    <cellStyle name="Normal 4 6 2" xfId="396" xr:uid="{00000000-0005-0000-0000-000002160000}"/>
    <cellStyle name="Normal 4 6 2 10" xfId="8983" xr:uid="{A605BB5B-B3DB-4B85-8D5E-67F0C7BBF20B}"/>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2 2 2" xfId="15761" xr:uid="{E5EA499D-9ECA-4D70-86AE-18E30DE8DBF6}"/>
    <cellStyle name="Normal 4 6 2 2 2 2 2 3" xfId="11543" xr:uid="{D7573C1F-8BD5-48B1-A896-A96F5CA1F76B}"/>
    <cellStyle name="Normal 4 6 2 2 2 2 3" xfId="5187" xr:uid="{00000000-0005-0000-0000-000008160000}"/>
    <cellStyle name="Normal 4 6 2 2 2 2 3 2" xfId="13616" xr:uid="{F3230A0A-BF21-4A27-9D1C-C0C22585A78C}"/>
    <cellStyle name="Normal 4 6 2 2 2 2 4" xfId="9398" xr:uid="{529159D4-3931-4449-ACF5-29BF33A9F0E8}"/>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2 2 2" xfId="16174" xr:uid="{6FFB71BA-EDFC-4A73-8A71-2F696992ABCE}"/>
    <cellStyle name="Normal 4 6 2 2 2 3 2 3" xfId="11956" xr:uid="{6A8DCCDC-E34E-4159-AC5A-3238EEEB312E}"/>
    <cellStyle name="Normal 4 6 2 2 2 3 3" xfId="5600" xr:uid="{00000000-0005-0000-0000-00000C160000}"/>
    <cellStyle name="Normal 4 6 2 2 2 3 3 2" xfId="14029" xr:uid="{75AF7997-9D43-4A71-BE20-C8CB1A1132B5}"/>
    <cellStyle name="Normal 4 6 2 2 2 3 4" xfId="9811" xr:uid="{1389D6D6-B3F0-40E3-A14C-F39BAB173CD7}"/>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2 2 2" xfId="16587" xr:uid="{DD84EE1E-E893-487A-AC9B-23D266E9BEC2}"/>
    <cellStyle name="Normal 4 6 2 2 2 4 2 3" xfId="12369" xr:uid="{F1A1B288-7CF9-41AA-893E-AD0B38E46673}"/>
    <cellStyle name="Normal 4 6 2 2 2 4 3" xfId="6013" xr:uid="{00000000-0005-0000-0000-000010160000}"/>
    <cellStyle name="Normal 4 6 2 2 2 4 3 2" xfId="14442" xr:uid="{6F0143D9-8404-4C27-B1E6-FB975CEB9793}"/>
    <cellStyle name="Normal 4 6 2 2 2 4 4" xfId="10224" xr:uid="{789ADB2F-9BE9-448C-9DA9-918A8CCADB88}"/>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2 2 2" xfId="17000" xr:uid="{EA95AEB3-57CC-488E-B767-CC497741FEBE}"/>
    <cellStyle name="Normal 4 6 2 2 2 5 2 3" xfId="12782" xr:uid="{65BCEE23-3AB2-4FD0-90D2-F09B83B9F5FC}"/>
    <cellStyle name="Normal 4 6 2 2 2 5 3" xfId="6426" xr:uid="{00000000-0005-0000-0000-000014160000}"/>
    <cellStyle name="Normal 4 6 2 2 2 5 3 2" xfId="14855" xr:uid="{4C5A0229-1E47-46A3-9DCA-DFCA89185DB4}"/>
    <cellStyle name="Normal 4 6 2 2 2 5 4" xfId="10637" xr:uid="{877014D9-35CC-4FDF-88D7-6727252E33B5}"/>
    <cellStyle name="Normal 4 6 2 2 2 6" xfId="2554" xr:uid="{00000000-0005-0000-0000-000015160000}"/>
    <cellStyle name="Normal 4 6 2 2 2 6 2" xfId="6839" xr:uid="{00000000-0005-0000-0000-000016160000}"/>
    <cellStyle name="Normal 4 6 2 2 2 6 2 2" xfId="15268" xr:uid="{B3D1AA76-276D-42D3-ACD9-C496C0303B22}"/>
    <cellStyle name="Normal 4 6 2 2 2 6 3" xfId="11050" xr:uid="{F36A6C44-FCB0-4D55-84D2-09A62243DC72}"/>
    <cellStyle name="Normal 4 6 2 2 2 7" xfId="4774" xr:uid="{00000000-0005-0000-0000-000017160000}"/>
    <cellStyle name="Normal 4 6 2 2 2 7 2" xfId="13203" xr:uid="{86100943-C508-4691-AAAF-9D5BF919FC4F}"/>
    <cellStyle name="Normal 4 6 2 2 2 8" xfId="8985" xr:uid="{620AC5E3-2E6A-4459-A4FF-0ABBF13C36AF}"/>
    <cellStyle name="Normal 4 6 2 2 3" xfId="872" xr:uid="{00000000-0005-0000-0000-000018160000}"/>
    <cellStyle name="Normal 4 6 2 2 3 2" xfId="3107" xr:uid="{00000000-0005-0000-0000-000019160000}"/>
    <cellStyle name="Normal 4 6 2 2 3 2 2" xfId="7331" xr:uid="{00000000-0005-0000-0000-00001A160000}"/>
    <cellStyle name="Normal 4 6 2 2 3 2 2 2" xfId="15760" xr:uid="{3537688F-2231-4F86-9AAE-7461E8A8D69F}"/>
    <cellStyle name="Normal 4 6 2 2 3 2 3" xfId="11542" xr:uid="{E0C2175C-4BF4-45BD-AEE3-8CBA01B2A383}"/>
    <cellStyle name="Normal 4 6 2 2 3 3" xfId="5186" xr:uid="{00000000-0005-0000-0000-00001B160000}"/>
    <cellStyle name="Normal 4 6 2 2 3 3 2" xfId="13615" xr:uid="{88A38824-4ED8-478E-BB2B-3760DA41AC8B}"/>
    <cellStyle name="Normal 4 6 2 2 3 4" xfId="9397" xr:uid="{2E927CD1-70BF-4866-9584-91919165C361}"/>
    <cellStyle name="Normal 4 6 2 2 4" xfId="1290" xr:uid="{00000000-0005-0000-0000-00001C160000}"/>
    <cellStyle name="Normal 4 6 2 2 4 2" xfId="3520" xr:uid="{00000000-0005-0000-0000-00001D160000}"/>
    <cellStyle name="Normal 4 6 2 2 4 2 2" xfId="7744" xr:uid="{00000000-0005-0000-0000-00001E160000}"/>
    <cellStyle name="Normal 4 6 2 2 4 2 2 2" xfId="16173" xr:uid="{07BC03E1-04F5-40AB-A220-2AB394B2CE8E}"/>
    <cellStyle name="Normal 4 6 2 2 4 2 3" xfId="11955" xr:uid="{42971297-1668-4C8C-841E-F706B75FC539}"/>
    <cellStyle name="Normal 4 6 2 2 4 3" xfId="5599" xr:uid="{00000000-0005-0000-0000-00001F160000}"/>
    <cellStyle name="Normal 4 6 2 2 4 3 2" xfId="14028" xr:uid="{C7447BB5-2932-4A76-BCB1-79907FAFF91D}"/>
    <cellStyle name="Normal 4 6 2 2 4 4" xfId="9810" xr:uid="{5988D00F-96FD-4D1A-B04C-84A451B501A4}"/>
    <cellStyle name="Normal 4 6 2 2 5" xfId="1703" xr:uid="{00000000-0005-0000-0000-000020160000}"/>
    <cellStyle name="Normal 4 6 2 2 5 2" xfId="3933" xr:uid="{00000000-0005-0000-0000-000021160000}"/>
    <cellStyle name="Normal 4 6 2 2 5 2 2" xfId="8157" xr:uid="{00000000-0005-0000-0000-000022160000}"/>
    <cellStyle name="Normal 4 6 2 2 5 2 2 2" xfId="16586" xr:uid="{234B0529-6FF0-4EB4-958F-F5179B0BE57D}"/>
    <cellStyle name="Normal 4 6 2 2 5 2 3" xfId="12368" xr:uid="{10C29DB2-308E-4C7C-9260-430CF3CD4E8F}"/>
    <cellStyle name="Normal 4 6 2 2 5 3" xfId="6012" xr:uid="{00000000-0005-0000-0000-000023160000}"/>
    <cellStyle name="Normal 4 6 2 2 5 3 2" xfId="14441" xr:uid="{C8C57B0A-1A8C-4570-8BE8-2B1B08EA3CBF}"/>
    <cellStyle name="Normal 4 6 2 2 5 4" xfId="10223" xr:uid="{0F54A662-57D3-46F4-BB95-E22CB14F84C6}"/>
    <cellStyle name="Normal 4 6 2 2 6" xfId="2117" xr:uid="{00000000-0005-0000-0000-000024160000}"/>
    <cellStyle name="Normal 4 6 2 2 6 2" xfId="4346" xr:uid="{00000000-0005-0000-0000-000025160000}"/>
    <cellStyle name="Normal 4 6 2 2 6 2 2" xfId="8570" xr:uid="{00000000-0005-0000-0000-000026160000}"/>
    <cellStyle name="Normal 4 6 2 2 6 2 2 2" xfId="16999" xr:uid="{F3532E86-6446-4D0B-9F16-C1882E1C3D76}"/>
    <cellStyle name="Normal 4 6 2 2 6 2 3" xfId="12781" xr:uid="{D3E1FC90-CCFB-4281-A998-F42E905FBE4C}"/>
    <cellStyle name="Normal 4 6 2 2 6 3" xfId="6425" xr:uid="{00000000-0005-0000-0000-000027160000}"/>
    <cellStyle name="Normal 4 6 2 2 6 3 2" xfId="14854" xr:uid="{513D1E1D-05C5-42FF-9A6F-F3A27D07FD8C}"/>
    <cellStyle name="Normal 4 6 2 2 6 4" xfId="10636" xr:uid="{FF951BFE-B153-4F51-9D54-250C61A1043B}"/>
    <cellStyle name="Normal 4 6 2 2 7" xfId="2553" xr:uid="{00000000-0005-0000-0000-000028160000}"/>
    <cellStyle name="Normal 4 6 2 2 7 2" xfId="6838" xr:uid="{00000000-0005-0000-0000-000029160000}"/>
    <cellStyle name="Normal 4 6 2 2 7 2 2" xfId="15267" xr:uid="{AA5F1A1A-31AD-4319-A683-A9DBE2A8ACF6}"/>
    <cellStyle name="Normal 4 6 2 2 7 3" xfId="11049" xr:uid="{C94E9DB2-9A51-472C-9D55-9C6CEDDE95D8}"/>
    <cellStyle name="Normal 4 6 2 2 8" xfId="4773" xr:uid="{00000000-0005-0000-0000-00002A160000}"/>
    <cellStyle name="Normal 4 6 2 2 8 2" xfId="13202" xr:uid="{31C1DC2A-D33D-4AF1-A6AA-57670B7A0747}"/>
    <cellStyle name="Normal 4 6 2 2 9" xfId="8984" xr:uid="{1EF7B8E5-AC1B-4968-9091-8EF068918296}"/>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2 2 2" xfId="15762" xr:uid="{E4C7CD4D-E54F-47A2-9195-EED3BC7D06BE}"/>
    <cellStyle name="Normal 4 6 2 3 2 2 3" xfId="11544" xr:uid="{5E82DEDD-177A-438C-B646-3E797C99E260}"/>
    <cellStyle name="Normal 4 6 2 3 2 3" xfId="5188" xr:uid="{00000000-0005-0000-0000-00002F160000}"/>
    <cellStyle name="Normal 4 6 2 3 2 3 2" xfId="13617" xr:uid="{96E7FB8E-6CA9-4067-ACB0-32D368EBCD0E}"/>
    <cellStyle name="Normal 4 6 2 3 2 4" xfId="9399" xr:uid="{80DD0177-84C1-459E-847A-F3F7C877B6F9}"/>
    <cellStyle name="Normal 4 6 2 3 3" xfId="1292" xr:uid="{00000000-0005-0000-0000-000030160000}"/>
    <cellStyle name="Normal 4 6 2 3 3 2" xfId="3522" xr:uid="{00000000-0005-0000-0000-000031160000}"/>
    <cellStyle name="Normal 4 6 2 3 3 2 2" xfId="7746" xr:uid="{00000000-0005-0000-0000-000032160000}"/>
    <cellStyle name="Normal 4 6 2 3 3 2 2 2" xfId="16175" xr:uid="{5855E50D-37C1-4BF6-8661-43493D2919D8}"/>
    <cellStyle name="Normal 4 6 2 3 3 2 3" xfId="11957" xr:uid="{E0CFC495-C538-44D1-9C27-E197F34ED84C}"/>
    <cellStyle name="Normal 4 6 2 3 3 3" xfId="5601" xr:uid="{00000000-0005-0000-0000-000033160000}"/>
    <cellStyle name="Normal 4 6 2 3 3 3 2" xfId="14030" xr:uid="{269569DE-BE9E-4A76-ABE0-07D85D5F12D4}"/>
    <cellStyle name="Normal 4 6 2 3 3 4" xfId="9812" xr:uid="{822A3D08-42DD-45F6-A22C-57C66E5D4CCB}"/>
    <cellStyle name="Normal 4 6 2 3 4" xfId="1705" xr:uid="{00000000-0005-0000-0000-000034160000}"/>
    <cellStyle name="Normal 4 6 2 3 4 2" xfId="3935" xr:uid="{00000000-0005-0000-0000-000035160000}"/>
    <cellStyle name="Normal 4 6 2 3 4 2 2" xfId="8159" xr:uid="{00000000-0005-0000-0000-000036160000}"/>
    <cellStyle name="Normal 4 6 2 3 4 2 2 2" xfId="16588" xr:uid="{EDA8777D-1BCF-43DE-84E4-7FF3BC403330}"/>
    <cellStyle name="Normal 4 6 2 3 4 2 3" xfId="12370" xr:uid="{CD5B866D-91F7-4288-9C02-9D83E9A3F173}"/>
    <cellStyle name="Normal 4 6 2 3 4 3" xfId="6014" xr:uid="{00000000-0005-0000-0000-000037160000}"/>
    <cellStyle name="Normal 4 6 2 3 4 3 2" xfId="14443" xr:uid="{848F2DB2-9610-47C0-A935-2DFC70D000B3}"/>
    <cellStyle name="Normal 4 6 2 3 4 4" xfId="10225" xr:uid="{223F5E9F-0BD4-4CAF-B56F-1419D1D5D268}"/>
    <cellStyle name="Normal 4 6 2 3 5" xfId="2119" xr:uid="{00000000-0005-0000-0000-000038160000}"/>
    <cellStyle name="Normal 4 6 2 3 5 2" xfId="4348" xr:uid="{00000000-0005-0000-0000-000039160000}"/>
    <cellStyle name="Normal 4 6 2 3 5 2 2" xfId="8572" xr:uid="{00000000-0005-0000-0000-00003A160000}"/>
    <cellStyle name="Normal 4 6 2 3 5 2 2 2" xfId="17001" xr:uid="{19F7A2D3-1019-4EC9-B9F6-B4FA9FEC7092}"/>
    <cellStyle name="Normal 4 6 2 3 5 2 3" xfId="12783" xr:uid="{B1B14A13-3985-46BE-9472-7A384C7A2456}"/>
    <cellStyle name="Normal 4 6 2 3 5 3" xfId="6427" xr:uid="{00000000-0005-0000-0000-00003B160000}"/>
    <cellStyle name="Normal 4 6 2 3 5 3 2" xfId="14856" xr:uid="{39D0968C-A238-4990-BDE9-E87501A2FD6E}"/>
    <cellStyle name="Normal 4 6 2 3 5 4" xfId="10638" xr:uid="{98721ADC-F108-4E9D-896A-4507AF4596B7}"/>
    <cellStyle name="Normal 4 6 2 3 6" xfId="2555" xr:uid="{00000000-0005-0000-0000-00003C160000}"/>
    <cellStyle name="Normal 4 6 2 3 6 2" xfId="6840" xr:uid="{00000000-0005-0000-0000-00003D160000}"/>
    <cellStyle name="Normal 4 6 2 3 6 2 2" xfId="15269" xr:uid="{F9048C65-24FC-4A3E-B965-881541ECA3D3}"/>
    <cellStyle name="Normal 4 6 2 3 6 3" xfId="11051" xr:uid="{F8BE3142-14E5-4172-88E5-441EC78C5C41}"/>
    <cellStyle name="Normal 4 6 2 3 7" xfId="4775" xr:uid="{00000000-0005-0000-0000-00003E160000}"/>
    <cellStyle name="Normal 4 6 2 3 7 2" xfId="13204" xr:uid="{13883DF7-4604-490E-BBF0-903E8274C317}"/>
    <cellStyle name="Normal 4 6 2 3 8" xfId="8986" xr:uid="{B64A3B17-C43E-404C-9881-27C93F8E2FDF}"/>
    <cellStyle name="Normal 4 6 2 4" xfId="871" xr:uid="{00000000-0005-0000-0000-00003F160000}"/>
    <cellStyle name="Normal 4 6 2 4 2" xfId="3106" xr:uid="{00000000-0005-0000-0000-000040160000}"/>
    <cellStyle name="Normal 4 6 2 4 2 2" xfId="7330" xr:uid="{00000000-0005-0000-0000-000041160000}"/>
    <cellStyle name="Normal 4 6 2 4 2 2 2" xfId="15759" xr:uid="{E3B9E81E-230E-4FD8-8125-0C6C2204DA3E}"/>
    <cellStyle name="Normal 4 6 2 4 2 3" xfId="11541" xr:uid="{CC1EE1FD-D5CD-4CE9-8D1A-B610C37EDDE9}"/>
    <cellStyle name="Normal 4 6 2 4 3" xfId="5185" xr:uid="{00000000-0005-0000-0000-000042160000}"/>
    <cellStyle name="Normal 4 6 2 4 3 2" xfId="13614" xr:uid="{45143EA1-F9DC-492D-8002-15AFFF7D55F1}"/>
    <cellStyle name="Normal 4 6 2 4 4" xfId="9396" xr:uid="{E08A1430-67E0-42C2-A8A7-7CD4EC1ABA0E}"/>
    <cellStyle name="Normal 4 6 2 5" xfId="1289" xr:uid="{00000000-0005-0000-0000-000043160000}"/>
    <cellStyle name="Normal 4 6 2 5 2" xfId="3519" xr:uid="{00000000-0005-0000-0000-000044160000}"/>
    <cellStyle name="Normal 4 6 2 5 2 2" xfId="7743" xr:uid="{00000000-0005-0000-0000-000045160000}"/>
    <cellStyle name="Normal 4 6 2 5 2 2 2" xfId="16172" xr:uid="{F6BCFE03-1034-4349-A6DC-557BF1DADE13}"/>
    <cellStyle name="Normal 4 6 2 5 2 3" xfId="11954" xr:uid="{B9E6AF5A-2384-43AC-A054-0AD60B47A02A}"/>
    <cellStyle name="Normal 4 6 2 5 3" xfId="5598" xr:uid="{00000000-0005-0000-0000-000046160000}"/>
    <cellStyle name="Normal 4 6 2 5 3 2" xfId="14027" xr:uid="{6954717A-82CD-4BEA-A4DC-3287130C13FD}"/>
    <cellStyle name="Normal 4 6 2 5 4" xfId="9809" xr:uid="{B7B08923-95F0-4BC1-9E31-922D73B58F9F}"/>
    <cellStyle name="Normal 4 6 2 6" xfId="1702" xr:uid="{00000000-0005-0000-0000-000047160000}"/>
    <cellStyle name="Normal 4 6 2 6 2" xfId="3932" xr:uid="{00000000-0005-0000-0000-000048160000}"/>
    <cellStyle name="Normal 4 6 2 6 2 2" xfId="8156" xr:uid="{00000000-0005-0000-0000-000049160000}"/>
    <cellStyle name="Normal 4 6 2 6 2 2 2" xfId="16585" xr:uid="{EC2FF73B-EFB1-4FD7-AAFB-AB732F84DF4A}"/>
    <cellStyle name="Normal 4 6 2 6 2 3" xfId="12367" xr:uid="{DCC30099-35A9-42D8-9929-9F5ED5D02F12}"/>
    <cellStyle name="Normal 4 6 2 6 3" xfId="6011" xr:uid="{00000000-0005-0000-0000-00004A160000}"/>
    <cellStyle name="Normal 4 6 2 6 3 2" xfId="14440" xr:uid="{15DB80F2-17DB-4DDE-BDE3-C8368EDB5F08}"/>
    <cellStyle name="Normal 4 6 2 6 4" xfId="10222" xr:uid="{D9C81EC7-29D9-4125-8BC5-015DF2C5F8E4}"/>
    <cellStyle name="Normal 4 6 2 7" xfId="2116" xr:uid="{00000000-0005-0000-0000-00004B160000}"/>
    <cellStyle name="Normal 4 6 2 7 2" xfId="4345" xr:uid="{00000000-0005-0000-0000-00004C160000}"/>
    <cellStyle name="Normal 4 6 2 7 2 2" xfId="8569" xr:uid="{00000000-0005-0000-0000-00004D160000}"/>
    <cellStyle name="Normal 4 6 2 7 2 2 2" xfId="16998" xr:uid="{C8511888-625B-4319-84C3-FC57F08DEE8B}"/>
    <cellStyle name="Normal 4 6 2 7 2 3" xfId="12780" xr:uid="{DBE25836-A700-4F12-A861-10A46E828D6F}"/>
    <cellStyle name="Normal 4 6 2 7 3" xfId="6424" xr:uid="{00000000-0005-0000-0000-00004E160000}"/>
    <cellStyle name="Normal 4 6 2 7 3 2" xfId="14853" xr:uid="{7EF13C2E-0097-4440-95EE-AD8DEE77313A}"/>
    <cellStyle name="Normal 4 6 2 7 4" xfId="10635" xr:uid="{11B3AAF4-F9AA-4C4B-AED2-E2172D58484F}"/>
    <cellStyle name="Normal 4 6 2 8" xfId="2552" xr:uid="{00000000-0005-0000-0000-00004F160000}"/>
    <cellStyle name="Normal 4 6 2 8 2" xfId="6837" xr:uid="{00000000-0005-0000-0000-000050160000}"/>
    <cellStyle name="Normal 4 6 2 8 2 2" xfId="15266" xr:uid="{BA11DADD-0A65-4FCE-91FC-34F92342912D}"/>
    <cellStyle name="Normal 4 6 2 8 3" xfId="11048" xr:uid="{43A5ECC3-4052-422B-9B02-B1550DA1634C}"/>
    <cellStyle name="Normal 4 6 2 9" xfId="4772" xr:uid="{00000000-0005-0000-0000-000051160000}"/>
    <cellStyle name="Normal 4 6 2 9 2" xfId="13201" xr:uid="{6108D071-A1AC-443C-B569-BA0DE601F185}"/>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2 2 2" xfId="15764" xr:uid="{E9200FB2-A706-4CB9-A0DF-C5BD393A8B97}"/>
    <cellStyle name="Normal 4 6 3 2 2 2 3" xfId="11546" xr:uid="{F2573F01-FF4E-4F0F-8E05-9C3788A17AB4}"/>
    <cellStyle name="Normal 4 6 3 2 2 3" xfId="5190" xr:uid="{00000000-0005-0000-0000-000057160000}"/>
    <cellStyle name="Normal 4 6 3 2 2 3 2" xfId="13619" xr:uid="{E068E870-E246-465B-B671-49B1857EA6D3}"/>
    <cellStyle name="Normal 4 6 3 2 2 4" xfId="9401" xr:uid="{F26D918D-DB0B-422F-A359-D20DC44E47F5}"/>
    <cellStyle name="Normal 4 6 3 2 3" xfId="1294" xr:uid="{00000000-0005-0000-0000-000058160000}"/>
    <cellStyle name="Normal 4 6 3 2 3 2" xfId="3524" xr:uid="{00000000-0005-0000-0000-000059160000}"/>
    <cellStyle name="Normal 4 6 3 2 3 2 2" xfId="7748" xr:uid="{00000000-0005-0000-0000-00005A160000}"/>
    <cellStyle name="Normal 4 6 3 2 3 2 2 2" xfId="16177" xr:uid="{776F670C-8D96-4C6D-85C4-3932973D5222}"/>
    <cellStyle name="Normal 4 6 3 2 3 2 3" xfId="11959" xr:uid="{05360E69-A27E-4C58-B461-6CB783969689}"/>
    <cellStyle name="Normal 4 6 3 2 3 3" xfId="5603" xr:uid="{00000000-0005-0000-0000-00005B160000}"/>
    <cellStyle name="Normal 4 6 3 2 3 3 2" xfId="14032" xr:uid="{823BF349-BD22-4FEF-B5C0-6DCBE422EA22}"/>
    <cellStyle name="Normal 4 6 3 2 3 4" xfId="9814" xr:uid="{971637EC-0C2F-44F4-8E1B-5B3188B36B72}"/>
    <cellStyle name="Normal 4 6 3 2 4" xfId="1707" xr:uid="{00000000-0005-0000-0000-00005C160000}"/>
    <cellStyle name="Normal 4 6 3 2 4 2" xfId="3937" xr:uid="{00000000-0005-0000-0000-00005D160000}"/>
    <cellStyle name="Normal 4 6 3 2 4 2 2" xfId="8161" xr:uid="{00000000-0005-0000-0000-00005E160000}"/>
    <cellStyle name="Normal 4 6 3 2 4 2 2 2" xfId="16590" xr:uid="{EF99068D-1670-4D30-8958-11DCF4F82957}"/>
    <cellStyle name="Normal 4 6 3 2 4 2 3" xfId="12372" xr:uid="{55F78526-2F8C-4365-A367-3098ED8BED3B}"/>
    <cellStyle name="Normal 4 6 3 2 4 3" xfId="6016" xr:uid="{00000000-0005-0000-0000-00005F160000}"/>
    <cellStyle name="Normal 4 6 3 2 4 3 2" xfId="14445" xr:uid="{56C4E09A-B4FD-494F-8396-8BA2E08250EB}"/>
    <cellStyle name="Normal 4 6 3 2 4 4" xfId="10227" xr:uid="{14D7832A-01DD-469E-9FD3-0314CA80F6AD}"/>
    <cellStyle name="Normal 4 6 3 2 5" xfId="2121" xr:uid="{00000000-0005-0000-0000-000060160000}"/>
    <cellStyle name="Normal 4 6 3 2 5 2" xfId="4350" xr:uid="{00000000-0005-0000-0000-000061160000}"/>
    <cellStyle name="Normal 4 6 3 2 5 2 2" xfId="8574" xr:uid="{00000000-0005-0000-0000-000062160000}"/>
    <cellStyle name="Normal 4 6 3 2 5 2 2 2" xfId="17003" xr:uid="{7F8946B3-364E-4873-953E-9AB067F0F46A}"/>
    <cellStyle name="Normal 4 6 3 2 5 2 3" xfId="12785" xr:uid="{0A4DA940-78AE-438D-957F-EB8CCFFA1930}"/>
    <cellStyle name="Normal 4 6 3 2 5 3" xfId="6429" xr:uid="{00000000-0005-0000-0000-000063160000}"/>
    <cellStyle name="Normal 4 6 3 2 5 3 2" xfId="14858" xr:uid="{0FA6712B-4DD9-4FD2-8F68-7CCE8E909DFA}"/>
    <cellStyle name="Normal 4 6 3 2 5 4" xfId="10640" xr:uid="{BB661594-41B0-4FEF-9028-79F926218C8B}"/>
    <cellStyle name="Normal 4 6 3 2 6" xfId="2557" xr:uid="{00000000-0005-0000-0000-000064160000}"/>
    <cellStyle name="Normal 4 6 3 2 6 2" xfId="6842" xr:uid="{00000000-0005-0000-0000-000065160000}"/>
    <cellStyle name="Normal 4 6 3 2 6 2 2" xfId="15271" xr:uid="{38E1713C-61C9-4C7C-8C2F-BA9FCD47FF48}"/>
    <cellStyle name="Normal 4 6 3 2 6 3" xfId="11053" xr:uid="{1C6D180C-00D1-48F1-985D-AB77C29A421D}"/>
    <cellStyle name="Normal 4 6 3 2 7" xfId="4777" xr:uid="{00000000-0005-0000-0000-000066160000}"/>
    <cellStyle name="Normal 4 6 3 2 7 2" xfId="13206" xr:uid="{D57A57A4-3379-4C46-A85F-7E06453B91D6}"/>
    <cellStyle name="Normal 4 6 3 2 8" xfId="8988" xr:uid="{DF602D20-8E99-4E4E-912C-E6AD2A38DB4E}"/>
    <cellStyle name="Normal 4 6 3 3" xfId="875" xr:uid="{00000000-0005-0000-0000-000067160000}"/>
    <cellStyle name="Normal 4 6 3 3 2" xfId="3110" xr:uid="{00000000-0005-0000-0000-000068160000}"/>
    <cellStyle name="Normal 4 6 3 3 2 2" xfId="7334" xr:uid="{00000000-0005-0000-0000-000069160000}"/>
    <cellStyle name="Normal 4 6 3 3 2 2 2" xfId="15763" xr:uid="{3C87713A-287E-4794-BC07-FEB13D331B41}"/>
    <cellStyle name="Normal 4 6 3 3 2 3" xfId="11545" xr:uid="{80CE43E3-85F0-479D-8950-08849237CE9F}"/>
    <cellStyle name="Normal 4 6 3 3 3" xfId="5189" xr:uid="{00000000-0005-0000-0000-00006A160000}"/>
    <cellStyle name="Normal 4 6 3 3 3 2" xfId="13618" xr:uid="{8DAB7753-3829-4527-BB5C-FAAE63B072F8}"/>
    <cellStyle name="Normal 4 6 3 3 4" xfId="9400" xr:uid="{0060D98B-E0D2-4BCD-9E61-7E3C99ABAD9D}"/>
    <cellStyle name="Normal 4 6 3 4" xfId="1293" xr:uid="{00000000-0005-0000-0000-00006B160000}"/>
    <cellStyle name="Normal 4 6 3 4 2" xfId="3523" xr:uid="{00000000-0005-0000-0000-00006C160000}"/>
    <cellStyle name="Normal 4 6 3 4 2 2" xfId="7747" xr:uid="{00000000-0005-0000-0000-00006D160000}"/>
    <cellStyle name="Normal 4 6 3 4 2 2 2" xfId="16176" xr:uid="{B43EE5C3-B4CB-4056-9FA7-E8BBE192DCF7}"/>
    <cellStyle name="Normal 4 6 3 4 2 3" xfId="11958" xr:uid="{897DA8DD-40BA-4B2A-9B0D-601FB5560050}"/>
    <cellStyle name="Normal 4 6 3 4 3" xfId="5602" xr:uid="{00000000-0005-0000-0000-00006E160000}"/>
    <cellStyle name="Normal 4 6 3 4 3 2" xfId="14031" xr:uid="{79554A68-E150-44BC-A5D0-3770E1735919}"/>
    <cellStyle name="Normal 4 6 3 4 4" xfId="9813" xr:uid="{EFC80DCE-98F0-4734-8031-5A9968C6122D}"/>
    <cellStyle name="Normal 4 6 3 5" xfId="1706" xr:uid="{00000000-0005-0000-0000-00006F160000}"/>
    <cellStyle name="Normal 4 6 3 5 2" xfId="3936" xr:uid="{00000000-0005-0000-0000-000070160000}"/>
    <cellStyle name="Normal 4 6 3 5 2 2" xfId="8160" xr:uid="{00000000-0005-0000-0000-000071160000}"/>
    <cellStyle name="Normal 4 6 3 5 2 2 2" xfId="16589" xr:uid="{87FE1006-0950-494E-A6EC-9EF2A3717284}"/>
    <cellStyle name="Normal 4 6 3 5 2 3" xfId="12371" xr:uid="{08A4255B-286C-4F16-9F0F-A0EA11B9C028}"/>
    <cellStyle name="Normal 4 6 3 5 3" xfId="6015" xr:uid="{00000000-0005-0000-0000-000072160000}"/>
    <cellStyle name="Normal 4 6 3 5 3 2" xfId="14444" xr:uid="{B801F4A9-C947-4385-93FD-B93A39BCA7C4}"/>
    <cellStyle name="Normal 4 6 3 5 4" xfId="10226" xr:uid="{0A4224BD-880D-4D37-A126-E528F8D2D340}"/>
    <cellStyle name="Normal 4 6 3 6" xfId="2120" xr:uid="{00000000-0005-0000-0000-000073160000}"/>
    <cellStyle name="Normal 4 6 3 6 2" xfId="4349" xr:uid="{00000000-0005-0000-0000-000074160000}"/>
    <cellStyle name="Normal 4 6 3 6 2 2" xfId="8573" xr:uid="{00000000-0005-0000-0000-000075160000}"/>
    <cellStyle name="Normal 4 6 3 6 2 2 2" xfId="17002" xr:uid="{2E351CD3-EC56-49DB-99BF-75D992D66F52}"/>
    <cellStyle name="Normal 4 6 3 6 2 3" xfId="12784" xr:uid="{DEFF4354-EEEA-4500-A98D-7F2E3E5895DB}"/>
    <cellStyle name="Normal 4 6 3 6 3" xfId="6428" xr:uid="{00000000-0005-0000-0000-000076160000}"/>
    <cellStyle name="Normal 4 6 3 6 3 2" xfId="14857" xr:uid="{22C56B6F-D323-4031-A9CD-4A2A46CADBC5}"/>
    <cellStyle name="Normal 4 6 3 6 4" xfId="10639" xr:uid="{6CAD3714-15C0-4D53-9BF3-5F7EBC5BC8A4}"/>
    <cellStyle name="Normal 4 6 3 7" xfId="2556" xr:uid="{00000000-0005-0000-0000-000077160000}"/>
    <cellStyle name="Normal 4 6 3 7 2" xfId="6841" xr:uid="{00000000-0005-0000-0000-000078160000}"/>
    <cellStyle name="Normal 4 6 3 7 2 2" xfId="15270" xr:uid="{67FC0319-FB3E-4B43-9E3E-379E82E85743}"/>
    <cellStyle name="Normal 4 6 3 7 3" xfId="11052" xr:uid="{E5B61C14-CF69-4253-95D7-794AFB57E58D}"/>
    <cellStyle name="Normal 4 6 3 8" xfId="4776" xr:uid="{00000000-0005-0000-0000-000079160000}"/>
    <cellStyle name="Normal 4 6 3 8 2" xfId="13205" xr:uid="{10E52E51-0D6B-4EE5-8871-90091FD09B1C}"/>
    <cellStyle name="Normal 4 6 3 9" xfId="8987" xr:uid="{5F36845C-8E74-4E9B-BEF6-4D84CAEAA1B8}"/>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2 2 2" xfId="15765" xr:uid="{165F94EA-F71A-46DD-9165-BED5B4901F20}"/>
    <cellStyle name="Normal 4 6 4 2 2 3" xfId="11547" xr:uid="{296E8BFA-786D-4CE0-9AF2-7FA87905B9FB}"/>
    <cellStyle name="Normal 4 6 4 2 3" xfId="5191" xr:uid="{00000000-0005-0000-0000-00007E160000}"/>
    <cellStyle name="Normal 4 6 4 2 3 2" xfId="13620" xr:uid="{ADBD3D10-A563-40EC-96F4-9F03A8FDDE51}"/>
    <cellStyle name="Normal 4 6 4 2 4" xfId="9402" xr:uid="{08C504E8-C7A8-4C56-B69E-8FDFF7E42EB3}"/>
    <cellStyle name="Normal 4 6 4 3" xfId="1295" xr:uid="{00000000-0005-0000-0000-00007F160000}"/>
    <cellStyle name="Normal 4 6 4 3 2" xfId="3525" xr:uid="{00000000-0005-0000-0000-000080160000}"/>
    <cellStyle name="Normal 4 6 4 3 2 2" xfId="7749" xr:uid="{00000000-0005-0000-0000-000081160000}"/>
    <cellStyle name="Normal 4 6 4 3 2 2 2" xfId="16178" xr:uid="{2CEC571C-AFBA-459E-B88F-42D31467B324}"/>
    <cellStyle name="Normal 4 6 4 3 2 3" xfId="11960" xr:uid="{27D5B2C0-1DF6-453D-B084-106B7756D234}"/>
    <cellStyle name="Normal 4 6 4 3 3" xfId="5604" xr:uid="{00000000-0005-0000-0000-000082160000}"/>
    <cellStyle name="Normal 4 6 4 3 3 2" xfId="14033" xr:uid="{66C4AC57-EFED-4CD5-A9A2-04506DF993F8}"/>
    <cellStyle name="Normal 4 6 4 3 4" xfId="9815" xr:uid="{1B3CADCF-1131-4A7D-96B2-5D73C6B29246}"/>
    <cellStyle name="Normal 4 6 4 4" xfId="1708" xr:uid="{00000000-0005-0000-0000-000083160000}"/>
    <cellStyle name="Normal 4 6 4 4 2" xfId="3938" xr:uid="{00000000-0005-0000-0000-000084160000}"/>
    <cellStyle name="Normal 4 6 4 4 2 2" xfId="8162" xr:uid="{00000000-0005-0000-0000-000085160000}"/>
    <cellStyle name="Normal 4 6 4 4 2 2 2" xfId="16591" xr:uid="{7976267E-8D2B-4499-865D-0F83397ED330}"/>
    <cellStyle name="Normal 4 6 4 4 2 3" xfId="12373" xr:uid="{2DDBFFEB-095D-4D25-9D8A-6003DA92753E}"/>
    <cellStyle name="Normal 4 6 4 4 3" xfId="6017" xr:uid="{00000000-0005-0000-0000-000086160000}"/>
    <cellStyle name="Normal 4 6 4 4 3 2" xfId="14446" xr:uid="{E6049773-66BC-457F-8D08-F86A7CEBF06F}"/>
    <cellStyle name="Normal 4 6 4 4 4" xfId="10228" xr:uid="{277280C2-740E-4324-9936-E19D6721EB77}"/>
    <cellStyle name="Normal 4 6 4 5" xfId="2122" xr:uid="{00000000-0005-0000-0000-000087160000}"/>
    <cellStyle name="Normal 4 6 4 5 2" xfId="4351" xr:uid="{00000000-0005-0000-0000-000088160000}"/>
    <cellStyle name="Normal 4 6 4 5 2 2" xfId="8575" xr:uid="{00000000-0005-0000-0000-000089160000}"/>
    <cellStyle name="Normal 4 6 4 5 2 2 2" xfId="17004" xr:uid="{9BCA1049-FA57-4535-AC9C-6148EDE10B24}"/>
    <cellStyle name="Normal 4 6 4 5 2 3" xfId="12786" xr:uid="{276AC6F0-B773-4DE4-A4E2-E6425F969A87}"/>
    <cellStyle name="Normal 4 6 4 5 3" xfId="6430" xr:uid="{00000000-0005-0000-0000-00008A160000}"/>
    <cellStyle name="Normal 4 6 4 5 3 2" xfId="14859" xr:uid="{FDB7AE89-7C85-40A7-B960-0944AF84EEA2}"/>
    <cellStyle name="Normal 4 6 4 5 4" xfId="10641" xr:uid="{E195FBA2-B10D-483A-83AF-1C815F524B43}"/>
    <cellStyle name="Normal 4 6 4 6" xfId="2558" xr:uid="{00000000-0005-0000-0000-00008B160000}"/>
    <cellStyle name="Normal 4 6 4 6 2" xfId="6843" xr:uid="{00000000-0005-0000-0000-00008C160000}"/>
    <cellStyle name="Normal 4 6 4 6 2 2" xfId="15272" xr:uid="{9B195DAF-FE3B-4637-BEDE-B5CD3BAB6B28}"/>
    <cellStyle name="Normal 4 6 4 6 3" xfId="11054" xr:uid="{5E4B47A4-8C01-4CD9-8DE1-3B501E105E63}"/>
    <cellStyle name="Normal 4 6 4 7" xfId="4778" xr:uid="{00000000-0005-0000-0000-00008D160000}"/>
    <cellStyle name="Normal 4 6 4 7 2" xfId="13207" xr:uid="{3998D765-4ABC-4910-9AC9-DD33E676B304}"/>
    <cellStyle name="Normal 4 6 4 8" xfId="8989" xr:uid="{A4879C9E-7A41-4B76-9188-3AC1721501C2}"/>
    <cellStyle name="Normal 4 6 5" xfId="870" xr:uid="{00000000-0005-0000-0000-00008E160000}"/>
    <cellStyle name="Normal 4 6 5 2" xfId="3105" xr:uid="{00000000-0005-0000-0000-00008F160000}"/>
    <cellStyle name="Normal 4 6 5 2 2" xfId="7329" xr:uid="{00000000-0005-0000-0000-000090160000}"/>
    <cellStyle name="Normal 4 6 5 2 2 2" xfId="15758" xr:uid="{5B29F99B-6813-43ED-8EB7-AF9EB4F16C67}"/>
    <cellStyle name="Normal 4 6 5 2 3" xfId="11540" xr:uid="{664AE7F9-EDD1-445C-B209-C4D7179C50DF}"/>
    <cellStyle name="Normal 4 6 5 3" xfId="5184" xr:uid="{00000000-0005-0000-0000-000091160000}"/>
    <cellStyle name="Normal 4 6 5 3 2" xfId="13613" xr:uid="{D9749552-C491-4ABA-91BD-F09FCE6B5EC9}"/>
    <cellStyle name="Normal 4 6 5 4" xfId="9395" xr:uid="{88AD2B60-5268-468B-8F00-04A1E5B2FF87}"/>
    <cellStyle name="Normal 4 6 6" xfId="1288" xr:uid="{00000000-0005-0000-0000-000092160000}"/>
    <cellStyle name="Normal 4 6 6 2" xfId="3518" xr:uid="{00000000-0005-0000-0000-000093160000}"/>
    <cellStyle name="Normal 4 6 6 2 2" xfId="7742" xr:uid="{00000000-0005-0000-0000-000094160000}"/>
    <cellStyle name="Normal 4 6 6 2 2 2" xfId="16171" xr:uid="{D4C78688-5F14-49A1-BA7A-6AB83AA7CE74}"/>
    <cellStyle name="Normal 4 6 6 2 3" xfId="11953" xr:uid="{E6D8BF0E-575E-4223-9788-A54AB362A58E}"/>
    <cellStyle name="Normal 4 6 6 3" xfId="5597" xr:uid="{00000000-0005-0000-0000-000095160000}"/>
    <cellStyle name="Normal 4 6 6 3 2" xfId="14026" xr:uid="{6A942E96-E55B-47B6-BF5C-61E967B839EA}"/>
    <cellStyle name="Normal 4 6 6 4" xfId="9808" xr:uid="{A932CE50-0206-4DB1-9CF3-3CD200CE0AAE}"/>
    <cellStyle name="Normal 4 6 7" xfId="1701" xr:uid="{00000000-0005-0000-0000-000096160000}"/>
    <cellStyle name="Normal 4 6 7 2" xfId="3931" xr:uid="{00000000-0005-0000-0000-000097160000}"/>
    <cellStyle name="Normal 4 6 7 2 2" xfId="8155" xr:uid="{00000000-0005-0000-0000-000098160000}"/>
    <cellStyle name="Normal 4 6 7 2 2 2" xfId="16584" xr:uid="{DDEB5ACD-AEF4-450E-9649-ACFD0FD99200}"/>
    <cellStyle name="Normal 4 6 7 2 3" xfId="12366" xr:uid="{CDF49E50-3031-4F85-82ED-F5346A0AC0CF}"/>
    <cellStyle name="Normal 4 6 7 3" xfId="6010" xr:uid="{00000000-0005-0000-0000-000099160000}"/>
    <cellStyle name="Normal 4 6 7 3 2" xfId="14439" xr:uid="{EBD531D7-7628-432C-B39D-E09197C51221}"/>
    <cellStyle name="Normal 4 6 7 4" xfId="10221" xr:uid="{008B9E73-DA5E-4314-A6AE-DFEE6BF9E3D3}"/>
    <cellStyle name="Normal 4 6 8" xfId="2115" xr:uid="{00000000-0005-0000-0000-00009A160000}"/>
    <cellStyle name="Normal 4 6 8 2" xfId="4344" xr:uid="{00000000-0005-0000-0000-00009B160000}"/>
    <cellStyle name="Normal 4 6 8 2 2" xfId="8568" xr:uid="{00000000-0005-0000-0000-00009C160000}"/>
    <cellStyle name="Normal 4 6 8 2 2 2" xfId="16997" xr:uid="{B428A6BB-8640-4D69-AA23-932C4321EB77}"/>
    <cellStyle name="Normal 4 6 8 2 3" xfId="12779" xr:uid="{A530FB5E-BE8C-4344-A8E4-68795EE3973B}"/>
    <cellStyle name="Normal 4 6 8 3" xfId="6423" xr:uid="{00000000-0005-0000-0000-00009D160000}"/>
    <cellStyle name="Normal 4 6 8 3 2" xfId="14852" xr:uid="{979FA444-3633-48EB-A8DE-F48C56311FB3}"/>
    <cellStyle name="Normal 4 6 8 4" xfId="10634" xr:uid="{F458264D-39FF-4942-8330-9D0C908BB927}"/>
    <cellStyle name="Normal 4 6 9" xfId="2551" xr:uid="{00000000-0005-0000-0000-00009E160000}"/>
    <cellStyle name="Normal 4 6 9 2" xfId="6836" xr:uid="{00000000-0005-0000-0000-00009F160000}"/>
    <cellStyle name="Normal 4 6 9 2 2" xfId="15265" xr:uid="{F5AB8D30-AEDA-470A-9BDA-B692E327E2F6}"/>
    <cellStyle name="Normal 4 6 9 3" xfId="11047" xr:uid="{6349D8FE-F812-404B-8D9D-17BA9E26BA0B}"/>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2 2 2" xfId="15767" xr:uid="{FA2E93BB-502F-4F17-9AAD-6DF47C7924BD}"/>
    <cellStyle name="Normal 4 7 2 2 2 3" xfId="11549" xr:uid="{2583EBE5-C695-411E-94A1-456CA2203DF0}"/>
    <cellStyle name="Normal 4 7 2 2 3" xfId="5193" xr:uid="{00000000-0005-0000-0000-0000A5160000}"/>
    <cellStyle name="Normal 4 7 2 2 3 2" xfId="13622" xr:uid="{E8AD54BD-9B0A-44EA-ADF7-16CDC98567F1}"/>
    <cellStyle name="Normal 4 7 2 2 4" xfId="9404" xr:uid="{9CE44231-9173-4B2B-BE03-3844C2D31528}"/>
    <cellStyle name="Normal 4 7 2 3" xfId="1297" xr:uid="{00000000-0005-0000-0000-0000A6160000}"/>
    <cellStyle name="Normal 4 7 2 3 2" xfId="3527" xr:uid="{00000000-0005-0000-0000-0000A7160000}"/>
    <cellStyle name="Normal 4 7 2 3 2 2" xfId="7751" xr:uid="{00000000-0005-0000-0000-0000A8160000}"/>
    <cellStyle name="Normal 4 7 2 3 2 2 2" xfId="16180" xr:uid="{4D2EA84F-C344-465E-97DC-92750222A9EC}"/>
    <cellStyle name="Normal 4 7 2 3 2 3" xfId="11962" xr:uid="{F222DB07-ABBE-4487-B67A-C7C194B819FF}"/>
    <cellStyle name="Normal 4 7 2 3 3" xfId="5606" xr:uid="{00000000-0005-0000-0000-0000A9160000}"/>
    <cellStyle name="Normal 4 7 2 3 3 2" xfId="14035" xr:uid="{38126661-C360-4C3C-9A9E-61E6F67D47E2}"/>
    <cellStyle name="Normal 4 7 2 3 4" xfId="9817" xr:uid="{337C1405-99F3-4BAF-977F-B693A81366D8}"/>
    <cellStyle name="Normal 4 7 2 4" xfId="1710" xr:uid="{00000000-0005-0000-0000-0000AA160000}"/>
    <cellStyle name="Normal 4 7 2 4 2" xfId="3940" xr:uid="{00000000-0005-0000-0000-0000AB160000}"/>
    <cellStyle name="Normal 4 7 2 4 2 2" xfId="8164" xr:uid="{00000000-0005-0000-0000-0000AC160000}"/>
    <cellStyle name="Normal 4 7 2 4 2 2 2" xfId="16593" xr:uid="{CB966220-1CA3-413B-A35F-C4A32D1AB6DA}"/>
    <cellStyle name="Normal 4 7 2 4 2 3" xfId="12375" xr:uid="{5142E39E-01A6-42D8-9251-278FC5ADCE85}"/>
    <cellStyle name="Normal 4 7 2 4 3" xfId="6019" xr:uid="{00000000-0005-0000-0000-0000AD160000}"/>
    <cellStyle name="Normal 4 7 2 4 3 2" xfId="14448" xr:uid="{17DEE4B6-0DA5-475A-A4EB-77F5FB4127A3}"/>
    <cellStyle name="Normal 4 7 2 4 4" xfId="10230" xr:uid="{EC7926EE-7F2C-45A0-90FA-0B730A9A1572}"/>
    <cellStyle name="Normal 4 7 2 5" xfId="2124" xr:uid="{00000000-0005-0000-0000-0000AE160000}"/>
    <cellStyle name="Normal 4 7 2 5 2" xfId="4353" xr:uid="{00000000-0005-0000-0000-0000AF160000}"/>
    <cellStyle name="Normal 4 7 2 5 2 2" xfId="8577" xr:uid="{00000000-0005-0000-0000-0000B0160000}"/>
    <cellStyle name="Normal 4 7 2 5 2 2 2" xfId="17006" xr:uid="{A8803800-AB91-41F9-836A-80E7E64F6C8B}"/>
    <cellStyle name="Normal 4 7 2 5 2 3" xfId="12788" xr:uid="{39AD4505-4548-42EB-B4BA-7BF0A2A18B48}"/>
    <cellStyle name="Normal 4 7 2 5 3" xfId="6432" xr:uid="{00000000-0005-0000-0000-0000B1160000}"/>
    <cellStyle name="Normal 4 7 2 5 3 2" xfId="14861" xr:uid="{CB4237BA-5E3C-4303-94D0-BD97223AEE49}"/>
    <cellStyle name="Normal 4 7 2 5 4" xfId="10643" xr:uid="{2A3C7811-169C-4998-A352-05416565635A}"/>
    <cellStyle name="Normal 4 7 2 6" xfId="2560" xr:uid="{00000000-0005-0000-0000-0000B2160000}"/>
    <cellStyle name="Normal 4 7 2 6 2" xfId="6845" xr:uid="{00000000-0005-0000-0000-0000B3160000}"/>
    <cellStyle name="Normal 4 7 2 6 2 2" xfId="15274" xr:uid="{10DD3F84-B693-42D1-87DB-6E6574360A18}"/>
    <cellStyle name="Normal 4 7 2 6 3" xfId="11056" xr:uid="{BF5918A3-2766-4704-85E1-DB1750E2B3F1}"/>
    <cellStyle name="Normal 4 7 2 7" xfId="4780" xr:uid="{00000000-0005-0000-0000-0000B4160000}"/>
    <cellStyle name="Normal 4 7 2 7 2" xfId="13209" xr:uid="{45ACD641-DCBA-4CB6-9176-2F3AC76FB6EF}"/>
    <cellStyle name="Normal 4 7 2 8" xfId="8991" xr:uid="{00BE9AEE-77CF-4478-9D11-05BCB46E2B4C}"/>
    <cellStyle name="Normal 4 7 3" xfId="878" xr:uid="{00000000-0005-0000-0000-0000B5160000}"/>
    <cellStyle name="Normal 4 7 3 2" xfId="3113" xr:uid="{00000000-0005-0000-0000-0000B6160000}"/>
    <cellStyle name="Normal 4 7 3 2 2" xfId="7337" xr:uid="{00000000-0005-0000-0000-0000B7160000}"/>
    <cellStyle name="Normal 4 7 3 2 2 2" xfId="15766" xr:uid="{86CF99D5-997C-4A15-ACED-D8467329B7C5}"/>
    <cellStyle name="Normal 4 7 3 2 3" xfId="11548" xr:uid="{B6F325CD-B968-4998-8712-62F4D034D731}"/>
    <cellStyle name="Normal 4 7 3 3" xfId="5192" xr:uid="{00000000-0005-0000-0000-0000B8160000}"/>
    <cellStyle name="Normal 4 7 3 3 2" xfId="13621" xr:uid="{9862BCE5-B816-4C7B-9809-BBE60C714A65}"/>
    <cellStyle name="Normal 4 7 3 4" xfId="9403" xr:uid="{E5858D25-3419-4E7E-B12E-1CF918C8C384}"/>
    <cellStyle name="Normal 4 7 4" xfId="1296" xr:uid="{00000000-0005-0000-0000-0000B9160000}"/>
    <cellStyle name="Normal 4 7 4 2" xfId="3526" xr:uid="{00000000-0005-0000-0000-0000BA160000}"/>
    <cellStyle name="Normal 4 7 4 2 2" xfId="7750" xr:uid="{00000000-0005-0000-0000-0000BB160000}"/>
    <cellStyle name="Normal 4 7 4 2 2 2" xfId="16179" xr:uid="{6BC2E99C-7BE0-4482-ABBD-98FF486E4C90}"/>
    <cellStyle name="Normal 4 7 4 2 3" xfId="11961" xr:uid="{6BE66EA9-DDB2-41C9-88B2-65621800A83E}"/>
    <cellStyle name="Normal 4 7 4 3" xfId="5605" xr:uid="{00000000-0005-0000-0000-0000BC160000}"/>
    <cellStyle name="Normal 4 7 4 3 2" xfId="14034" xr:uid="{25CDCF1B-96DB-4CA5-8DAC-35AC1E87BBDF}"/>
    <cellStyle name="Normal 4 7 4 4" xfId="9816" xr:uid="{07E4AF8F-2333-42D6-8515-8444B0121F24}"/>
    <cellStyle name="Normal 4 7 5" xfId="1709" xr:uid="{00000000-0005-0000-0000-0000BD160000}"/>
    <cellStyle name="Normal 4 7 5 2" xfId="3939" xr:uid="{00000000-0005-0000-0000-0000BE160000}"/>
    <cellStyle name="Normal 4 7 5 2 2" xfId="8163" xr:uid="{00000000-0005-0000-0000-0000BF160000}"/>
    <cellStyle name="Normal 4 7 5 2 2 2" xfId="16592" xr:uid="{C163811E-2D89-47D6-8D43-24F9531A3440}"/>
    <cellStyle name="Normal 4 7 5 2 3" xfId="12374" xr:uid="{A47A856B-83BA-498E-A6E6-B9CA4A18875E}"/>
    <cellStyle name="Normal 4 7 5 3" xfId="6018" xr:uid="{00000000-0005-0000-0000-0000C0160000}"/>
    <cellStyle name="Normal 4 7 5 3 2" xfId="14447" xr:uid="{0F15D8A3-177A-449F-8796-402B3AFFE622}"/>
    <cellStyle name="Normal 4 7 5 4" xfId="10229" xr:uid="{5DE2F9F9-9BF3-41F1-B327-6865CB725271}"/>
    <cellStyle name="Normal 4 7 6" xfId="2123" xr:uid="{00000000-0005-0000-0000-0000C1160000}"/>
    <cellStyle name="Normal 4 7 6 2" xfId="4352" xr:uid="{00000000-0005-0000-0000-0000C2160000}"/>
    <cellStyle name="Normal 4 7 6 2 2" xfId="8576" xr:uid="{00000000-0005-0000-0000-0000C3160000}"/>
    <cellStyle name="Normal 4 7 6 2 2 2" xfId="17005" xr:uid="{F3035B38-4FF3-4B71-B35C-78B8AF362A65}"/>
    <cellStyle name="Normal 4 7 6 2 3" xfId="12787" xr:uid="{75D9BCC2-B0B6-4CD4-A9AD-0D9646419EC6}"/>
    <cellStyle name="Normal 4 7 6 3" xfId="6431" xr:uid="{00000000-0005-0000-0000-0000C4160000}"/>
    <cellStyle name="Normal 4 7 6 3 2" xfId="14860" xr:uid="{E1F95A30-81ED-4A3E-BA50-385947535576}"/>
    <cellStyle name="Normal 4 7 6 4" xfId="10642" xr:uid="{DEF112C6-D70E-49E6-8345-C43346AD465C}"/>
    <cellStyle name="Normal 4 7 7" xfId="2559" xr:uid="{00000000-0005-0000-0000-0000C5160000}"/>
    <cellStyle name="Normal 4 7 7 2" xfId="6844" xr:uid="{00000000-0005-0000-0000-0000C6160000}"/>
    <cellStyle name="Normal 4 7 7 2 2" xfId="15273" xr:uid="{671288DB-4721-425E-B016-E257853E30ED}"/>
    <cellStyle name="Normal 4 7 7 3" xfId="11055" xr:uid="{A6340142-24DA-47A3-B9E4-B7B01A8A8D77}"/>
    <cellStyle name="Normal 4 7 8" xfId="4779" xr:uid="{00000000-0005-0000-0000-0000C7160000}"/>
    <cellStyle name="Normal 4 7 8 2" xfId="13208" xr:uid="{9C9A3BF2-458D-44BE-82CD-B37E8CB9E7EA}"/>
    <cellStyle name="Normal 4 7 9" xfId="8990" xr:uid="{B5EDE3AC-FDB3-4E91-93E7-CA0EF6A07FDA}"/>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2 2 2" xfId="15768" xr:uid="{BB5C4549-3E8B-40B5-8EDE-4FAEABF97D0E}"/>
    <cellStyle name="Normal 4 8 2 2 3" xfId="11550" xr:uid="{7ABF16C1-E820-4AB2-939A-0468A48A0CDF}"/>
    <cellStyle name="Normal 4 8 2 3" xfId="5194" xr:uid="{00000000-0005-0000-0000-0000CC160000}"/>
    <cellStyle name="Normal 4 8 2 3 2" xfId="13623" xr:uid="{AFAB9C97-D0CC-4EA6-AC51-39D12A4A90C7}"/>
    <cellStyle name="Normal 4 8 2 4" xfId="9405" xr:uid="{9027BE7B-4DAA-4205-91AC-FA3660B70D73}"/>
    <cellStyle name="Normal 4 8 3" xfId="1298" xr:uid="{00000000-0005-0000-0000-0000CD160000}"/>
    <cellStyle name="Normal 4 8 3 2" xfId="3528" xr:uid="{00000000-0005-0000-0000-0000CE160000}"/>
    <cellStyle name="Normal 4 8 3 2 2" xfId="7752" xr:uid="{00000000-0005-0000-0000-0000CF160000}"/>
    <cellStyle name="Normal 4 8 3 2 2 2" xfId="16181" xr:uid="{19C0EA5B-8018-4617-AEC3-F19AFCC63D65}"/>
    <cellStyle name="Normal 4 8 3 2 3" xfId="11963" xr:uid="{93628DCF-AA77-4EFD-BDF3-96F5BD87185F}"/>
    <cellStyle name="Normal 4 8 3 3" xfId="5607" xr:uid="{00000000-0005-0000-0000-0000D0160000}"/>
    <cellStyle name="Normal 4 8 3 3 2" xfId="14036" xr:uid="{8F01DB30-1BB7-4893-A738-42E309080D6E}"/>
    <cellStyle name="Normal 4 8 3 4" xfId="9818" xr:uid="{A71E0636-75FB-4B5C-B71E-55296BC82830}"/>
    <cellStyle name="Normal 4 8 4" xfId="1711" xr:uid="{00000000-0005-0000-0000-0000D1160000}"/>
    <cellStyle name="Normal 4 8 4 2" xfId="3941" xr:uid="{00000000-0005-0000-0000-0000D2160000}"/>
    <cellStyle name="Normal 4 8 4 2 2" xfId="8165" xr:uid="{00000000-0005-0000-0000-0000D3160000}"/>
    <cellStyle name="Normal 4 8 4 2 2 2" xfId="16594" xr:uid="{BA144C63-C662-48BF-90A3-2A9A29148195}"/>
    <cellStyle name="Normal 4 8 4 2 3" xfId="12376" xr:uid="{9D9FDAE2-52D5-47A9-86DC-94E99EE069A8}"/>
    <cellStyle name="Normal 4 8 4 3" xfId="6020" xr:uid="{00000000-0005-0000-0000-0000D4160000}"/>
    <cellStyle name="Normal 4 8 4 3 2" xfId="14449" xr:uid="{65CBE4FF-4B9C-4228-8171-647AFABCF185}"/>
    <cellStyle name="Normal 4 8 4 4" xfId="10231" xr:uid="{D4453586-1A0F-49D1-A8A0-12F184FA6642}"/>
    <cellStyle name="Normal 4 8 5" xfId="2125" xr:uid="{00000000-0005-0000-0000-0000D5160000}"/>
    <cellStyle name="Normal 4 8 5 2" xfId="4354" xr:uid="{00000000-0005-0000-0000-0000D6160000}"/>
    <cellStyle name="Normal 4 8 5 2 2" xfId="8578" xr:uid="{00000000-0005-0000-0000-0000D7160000}"/>
    <cellStyle name="Normal 4 8 5 2 2 2" xfId="17007" xr:uid="{56C72A53-048E-4B7F-A5C0-4590D3C6CE9B}"/>
    <cellStyle name="Normal 4 8 5 2 3" xfId="12789" xr:uid="{3C55A576-9D9E-43B8-92BA-7EBAD686D5F5}"/>
    <cellStyle name="Normal 4 8 5 3" xfId="6433" xr:uid="{00000000-0005-0000-0000-0000D8160000}"/>
    <cellStyle name="Normal 4 8 5 3 2" xfId="14862" xr:uid="{3AD07C56-3014-4471-8903-5F58E236F752}"/>
    <cellStyle name="Normal 4 8 5 4" xfId="10644" xr:uid="{C4283BC8-A97E-4D25-873A-FB45A3F39BF3}"/>
    <cellStyle name="Normal 4 8 6" xfId="2561" xr:uid="{00000000-0005-0000-0000-0000D9160000}"/>
    <cellStyle name="Normal 4 8 6 2" xfId="6846" xr:uid="{00000000-0005-0000-0000-0000DA160000}"/>
    <cellStyle name="Normal 4 8 6 2 2" xfId="15275" xr:uid="{C1D0C5FB-DF89-4AFE-A340-AE1973502C9F}"/>
    <cellStyle name="Normal 4 8 6 3" xfId="11057" xr:uid="{598120F5-956D-4E26-BBEF-ED25789DD5E2}"/>
    <cellStyle name="Normal 4 8 7" xfId="4781" xr:uid="{00000000-0005-0000-0000-0000DB160000}"/>
    <cellStyle name="Normal 4 8 7 2" xfId="13210" xr:uid="{89E3094C-7344-4CB8-A94D-AF9D62C73A75}"/>
    <cellStyle name="Normal 4 8 8" xfId="8992" xr:uid="{30CCF167-5B5F-411A-8F46-49142482655C}"/>
    <cellStyle name="Normal 4 9" xfId="4718" xr:uid="{00000000-0005-0000-0000-0000DC160000}"/>
    <cellStyle name="Normal 4 9 2" xfId="13147" xr:uid="{7F3570D8-4B24-4591-AD44-C93A652568B7}"/>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2 2 2" xfId="16595" xr:uid="{3CA22665-68E7-4404-9CEF-AD959661783C}"/>
    <cellStyle name="Normal 5 10 2 3" xfId="12377" xr:uid="{119355D2-A08F-4767-95DC-2B3F3BCA8B40}"/>
    <cellStyle name="Normal 5 10 3" xfId="6021" xr:uid="{00000000-0005-0000-0000-0000E1160000}"/>
    <cellStyle name="Normal 5 10 3 2" xfId="14450" xr:uid="{3DB3783E-6491-4A3A-AF7E-05F8203EAA61}"/>
    <cellStyle name="Normal 5 10 4" xfId="10232" xr:uid="{C35B3664-840F-4DAD-9631-BF6EF65E265A}"/>
    <cellStyle name="Normal 5 11" xfId="2126" xr:uid="{00000000-0005-0000-0000-0000E2160000}"/>
    <cellStyle name="Normal 5 11 2" xfId="4355" xr:uid="{00000000-0005-0000-0000-0000E3160000}"/>
    <cellStyle name="Normal 5 11 2 2" xfId="8579" xr:uid="{00000000-0005-0000-0000-0000E4160000}"/>
    <cellStyle name="Normal 5 11 2 2 2" xfId="17008" xr:uid="{DC4FEB08-2CF4-42F5-A43E-DC32BEA1009D}"/>
    <cellStyle name="Normal 5 11 2 3" xfId="12790" xr:uid="{13CF2DFD-9659-4C0D-9EDA-74977E2EB5E7}"/>
    <cellStyle name="Normal 5 11 3" xfId="6434" xr:uid="{00000000-0005-0000-0000-0000E5160000}"/>
    <cellStyle name="Normal 5 11 3 2" xfId="14863" xr:uid="{93C31E11-534F-4F89-ABBC-1C29F4DA4DEA}"/>
    <cellStyle name="Normal 5 11 4" xfId="10645" xr:uid="{FD64B968-69B1-4962-9197-63DFAA9AB685}"/>
    <cellStyle name="Normal 5 12" xfId="2562" xr:uid="{00000000-0005-0000-0000-0000E6160000}"/>
    <cellStyle name="Normal 5 12 2" xfId="6847" xr:uid="{00000000-0005-0000-0000-0000E7160000}"/>
    <cellStyle name="Normal 5 12 2 2" xfId="15276" xr:uid="{CF898A77-DB98-4733-B410-75EDFCE62A53}"/>
    <cellStyle name="Normal 5 12 3" xfId="11058" xr:uid="{CE4D7AF4-3C94-4DE4-8071-99F1681A7F25}"/>
    <cellStyle name="Normal 5 13" xfId="4782" xr:uid="{00000000-0005-0000-0000-0000E8160000}"/>
    <cellStyle name="Normal 5 13 2" xfId="13211" xr:uid="{67BD5909-0032-4A05-AA69-C739B0C0475D}"/>
    <cellStyle name="Normal 5 14" xfId="8993" xr:uid="{998E55BC-A14E-4975-96F9-EF2FEE52F12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2 2 2" xfId="17009" xr:uid="{D8A6BE15-C8A9-4DB9-9124-99E17CCCF1E8}"/>
    <cellStyle name="Normal 5 2 10 2 3" xfId="12791" xr:uid="{BC7EF138-A2E9-4541-AD94-6A6FE535D31A}"/>
    <cellStyle name="Normal 5 2 10 3" xfId="6435" xr:uid="{00000000-0005-0000-0000-0000ED160000}"/>
    <cellStyle name="Normal 5 2 10 3 2" xfId="14864" xr:uid="{DF14F80B-C456-46AE-8A50-BDA4F06B0556}"/>
    <cellStyle name="Normal 5 2 10 4" xfId="10646" xr:uid="{B358DC1F-2A55-438D-8909-DD732AE89709}"/>
    <cellStyle name="Normal 5 2 11" xfId="2563" xr:uid="{00000000-0005-0000-0000-0000EE160000}"/>
    <cellStyle name="Normal 5 2 11 2" xfId="6848" xr:uid="{00000000-0005-0000-0000-0000EF160000}"/>
    <cellStyle name="Normal 5 2 11 2 2" xfId="15277" xr:uid="{9896988C-5482-4AF5-8826-9EEC11535BE7}"/>
    <cellStyle name="Normal 5 2 11 3" xfId="11059" xr:uid="{951A2D01-19B3-4985-9A00-37C6FE747663}"/>
    <cellStyle name="Normal 5 2 12" xfId="4783" xr:uid="{00000000-0005-0000-0000-0000F0160000}"/>
    <cellStyle name="Normal 5 2 12 2" xfId="13212" xr:uid="{EDE3ECDF-FDCA-4E04-A1DF-22B2D63B1D3C}"/>
    <cellStyle name="Normal 5 2 13" xfId="8994" xr:uid="{38D46DD2-474A-4053-B7C4-EABBA1ECC779}"/>
    <cellStyle name="Normal 5 2 2" xfId="408" xr:uid="{00000000-0005-0000-0000-0000F1160000}"/>
    <cellStyle name="Normal 5 2 2 10" xfId="2564" xr:uid="{00000000-0005-0000-0000-0000F2160000}"/>
    <cellStyle name="Normal 5 2 2 10 2" xfId="6849" xr:uid="{00000000-0005-0000-0000-0000F3160000}"/>
    <cellStyle name="Normal 5 2 2 10 2 2" xfId="15278" xr:uid="{9200481D-2FE4-4183-A755-C31D38BD0E23}"/>
    <cellStyle name="Normal 5 2 2 10 3" xfId="11060" xr:uid="{528BCCD2-1CB0-4C71-9F19-5D5EC7837BDA}"/>
    <cellStyle name="Normal 5 2 2 11" xfId="4784" xr:uid="{00000000-0005-0000-0000-0000F4160000}"/>
    <cellStyle name="Normal 5 2 2 11 2" xfId="13213" xr:uid="{010A401F-04CD-4817-BDD5-AD54E54A6D64}"/>
    <cellStyle name="Normal 5 2 2 12" xfId="8995" xr:uid="{FA29DDAE-7690-4C57-BA88-4B23A7FB7A91}"/>
    <cellStyle name="Normal 5 2 2 2" xfId="409" xr:uid="{00000000-0005-0000-0000-0000F5160000}"/>
    <cellStyle name="Normal 5 2 2 2 10" xfId="4785" xr:uid="{00000000-0005-0000-0000-0000F6160000}"/>
    <cellStyle name="Normal 5 2 2 2 10 2" xfId="13214" xr:uid="{AA44CA14-DBEE-4376-8D14-B7DFB0A139AC}"/>
    <cellStyle name="Normal 5 2 2 2 11" xfId="8996" xr:uid="{01332719-39AF-4AF8-81BA-065ADA5425CD}"/>
    <cellStyle name="Normal 5 2 2 2 2" xfId="410" xr:uid="{00000000-0005-0000-0000-0000F7160000}"/>
    <cellStyle name="Normal 5 2 2 2 2 10" xfId="8997" xr:uid="{11F2C6F8-6E3A-4A7F-B6B6-075905E337FD}"/>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2 2 2" xfId="15775" xr:uid="{E1B2954C-733E-4EA5-9B2F-78BE2692EA28}"/>
    <cellStyle name="Normal 5 2 2 2 2 2 2 2 2 3" xfId="11557" xr:uid="{C0C324D4-D142-4325-A47B-BF8FC930B015}"/>
    <cellStyle name="Normal 5 2 2 2 2 2 2 2 3" xfId="5201" xr:uid="{00000000-0005-0000-0000-0000FD160000}"/>
    <cellStyle name="Normal 5 2 2 2 2 2 2 2 3 2" xfId="13630" xr:uid="{B70E92A1-5987-4A4F-B400-90DE2696A866}"/>
    <cellStyle name="Normal 5 2 2 2 2 2 2 2 4" xfId="9412" xr:uid="{27B401A7-E52E-4BB5-B8CF-9CDB98F78A9F}"/>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2 2 2" xfId="16188" xr:uid="{4F2D1826-719A-4EF8-A7B1-BF238E574773}"/>
    <cellStyle name="Normal 5 2 2 2 2 2 2 3 2 3" xfId="11970" xr:uid="{F14337BD-E86F-467C-91B8-0F4AF870266C}"/>
    <cellStyle name="Normal 5 2 2 2 2 2 2 3 3" xfId="5614" xr:uid="{00000000-0005-0000-0000-000001170000}"/>
    <cellStyle name="Normal 5 2 2 2 2 2 2 3 3 2" xfId="14043" xr:uid="{70485275-460E-490F-AA0C-FD3D20398A34}"/>
    <cellStyle name="Normal 5 2 2 2 2 2 2 3 4" xfId="9825" xr:uid="{C63E67BA-6EFD-43B5-8BB8-803E694C8BFB}"/>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2 2 2" xfId="16601" xr:uid="{CE5463F8-228F-46CF-B8C6-2FF07DB128C4}"/>
    <cellStyle name="Normal 5 2 2 2 2 2 2 4 2 3" xfId="12383" xr:uid="{26FCFF5D-3177-4EF1-848E-D81BE5E80BEA}"/>
    <cellStyle name="Normal 5 2 2 2 2 2 2 4 3" xfId="6027" xr:uid="{00000000-0005-0000-0000-000005170000}"/>
    <cellStyle name="Normal 5 2 2 2 2 2 2 4 3 2" xfId="14456" xr:uid="{D2A4AE6D-383D-49E9-9E19-0F6903902EEA}"/>
    <cellStyle name="Normal 5 2 2 2 2 2 2 4 4" xfId="10238" xr:uid="{4B67D092-1D2E-41C3-9AB6-552EF2E322E2}"/>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2 2 2" xfId="17014" xr:uid="{036B4DCA-B055-42C8-8BEA-4273C1AE5AE2}"/>
    <cellStyle name="Normal 5 2 2 2 2 2 2 5 2 3" xfId="12796" xr:uid="{A5080BA5-95F9-40CB-B68C-6E7E540E55A1}"/>
    <cellStyle name="Normal 5 2 2 2 2 2 2 5 3" xfId="6440" xr:uid="{00000000-0005-0000-0000-000009170000}"/>
    <cellStyle name="Normal 5 2 2 2 2 2 2 5 3 2" xfId="14869" xr:uid="{04DFD4CB-758C-49D0-B6FF-322BEBBC6FF7}"/>
    <cellStyle name="Normal 5 2 2 2 2 2 2 5 4" xfId="10651" xr:uid="{C194753C-A018-44C5-89AD-72CDDC74FA6F}"/>
    <cellStyle name="Normal 5 2 2 2 2 2 2 6" xfId="2568" xr:uid="{00000000-0005-0000-0000-00000A170000}"/>
    <cellStyle name="Normal 5 2 2 2 2 2 2 6 2" xfId="6853" xr:uid="{00000000-0005-0000-0000-00000B170000}"/>
    <cellStyle name="Normal 5 2 2 2 2 2 2 6 2 2" xfId="15282" xr:uid="{8102D22F-8CC5-485B-AC68-0ECFFB2715AF}"/>
    <cellStyle name="Normal 5 2 2 2 2 2 2 6 3" xfId="11064" xr:uid="{DEE42D2B-7CA9-4706-93A9-0E75C25E300B}"/>
    <cellStyle name="Normal 5 2 2 2 2 2 2 7" xfId="4788" xr:uid="{00000000-0005-0000-0000-00000C170000}"/>
    <cellStyle name="Normal 5 2 2 2 2 2 2 7 2" xfId="13217" xr:uid="{50134B07-8219-41FE-9FA0-AE5F72D63B24}"/>
    <cellStyle name="Normal 5 2 2 2 2 2 2 8" xfId="8999" xr:uid="{B3069A32-8E1C-4B31-90FD-33EC9F1F6F3F}"/>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2 2 2" xfId="15774" xr:uid="{3B57F3D0-ACAC-4852-BCC4-7EFBF950D2F8}"/>
    <cellStyle name="Normal 5 2 2 2 2 2 3 2 3" xfId="11556" xr:uid="{A4E925C7-5148-4FFF-91E7-FE42502D3656}"/>
    <cellStyle name="Normal 5 2 2 2 2 2 3 3" xfId="5200" xr:uid="{00000000-0005-0000-0000-000010170000}"/>
    <cellStyle name="Normal 5 2 2 2 2 2 3 3 2" xfId="13629" xr:uid="{AA5D70D1-14C2-40CE-B9BE-58582B4E8600}"/>
    <cellStyle name="Normal 5 2 2 2 2 2 3 4" xfId="9411" xr:uid="{B594F90E-07D3-466C-950B-97588BC5AC78}"/>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2 2 2" xfId="16187" xr:uid="{BC6148EA-8E6D-4FCB-9FA1-4B764536515D}"/>
    <cellStyle name="Normal 5 2 2 2 2 2 4 2 3" xfId="11969" xr:uid="{A4442C75-A6B1-4007-AD25-1F1BB4E4BA81}"/>
    <cellStyle name="Normal 5 2 2 2 2 2 4 3" xfId="5613" xr:uid="{00000000-0005-0000-0000-000014170000}"/>
    <cellStyle name="Normal 5 2 2 2 2 2 4 3 2" xfId="14042" xr:uid="{2AD4EE42-0916-4326-9B49-B508E65F2D9B}"/>
    <cellStyle name="Normal 5 2 2 2 2 2 4 4" xfId="9824" xr:uid="{9A61B0B5-59C0-4258-859F-78FEE048E261}"/>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2 2 2" xfId="16600" xr:uid="{78475D72-9319-4201-AC79-38635D82E0E1}"/>
    <cellStyle name="Normal 5 2 2 2 2 2 5 2 3" xfId="12382" xr:uid="{E6071BD8-D65F-4DE0-91AD-10585DE9C418}"/>
    <cellStyle name="Normal 5 2 2 2 2 2 5 3" xfId="6026" xr:uid="{00000000-0005-0000-0000-000018170000}"/>
    <cellStyle name="Normal 5 2 2 2 2 2 5 3 2" xfId="14455" xr:uid="{30DB1E86-606F-469F-98A5-3D500A16883D}"/>
    <cellStyle name="Normal 5 2 2 2 2 2 5 4" xfId="10237" xr:uid="{028A8B49-2C90-4DD6-893E-93EE9CEC6FF3}"/>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2 2 2" xfId="17013" xr:uid="{78F81590-3240-4069-A220-A0599C18C65F}"/>
    <cellStyle name="Normal 5 2 2 2 2 2 6 2 3" xfId="12795" xr:uid="{64B743E4-2B47-4FF0-AE09-4190CA8EA837}"/>
    <cellStyle name="Normal 5 2 2 2 2 2 6 3" xfId="6439" xr:uid="{00000000-0005-0000-0000-00001C170000}"/>
    <cellStyle name="Normal 5 2 2 2 2 2 6 3 2" xfId="14868" xr:uid="{67BA253A-D927-4CB0-BCCC-24914388A095}"/>
    <cellStyle name="Normal 5 2 2 2 2 2 6 4" xfId="10650" xr:uid="{9725749B-7B9C-4D10-92E8-A52D99493C17}"/>
    <cellStyle name="Normal 5 2 2 2 2 2 7" xfId="2567" xr:uid="{00000000-0005-0000-0000-00001D170000}"/>
    <cellStyle name="Normal 5 2 2 2 2 2 7 2" xfId="6852" xr:uid="{00000000-0005-0000-0000-00001E170000}"/>
    <cellStyle name="Normal 5 2 2 2 2 2 7 2 2" xfId="15281" xr:uid="{D666B2B7-8690-473E-A928-167FE796C0D9}"/>
    <cellStyle name="Normal 5 2 2 2 2 2 7 3" xfId="11063" xr:uid="{7A513BF4-CD9F-4512-B0FA-07C1CC137106}"/>
    <cellStyle name="Normal 5 2 2 2 2 2 8" xfId="4787" xr:uid="{00000000-0005-0000-0000-00001F170000}"/>
    <cellStyle name="Normal 5 2 2 2 2 2 8 2" xfId="13216" xr:uid="{71DD0E89-60D6-4197-BA99-95842674A7A2}"/>
    <cellStyle name="Normal 5 2 2 2 2 2 9" xfId="8998" xr:uid="{E069F66B-D43E-43F9-B10C-F258A7D60672}"/>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2 2 2" xfId="15776" xr:uid="{57F48462-933D-4B95-858B-FDB0B789A680}"/>
    <cellStyle name="Normal 5 2 2 2 2 3 2 2 3" xfId="11558" xr:uid="{7D31627F-FEFD-4D74-AA08-198A021D4E27}"/>
    <cellStyle name="Normal 5 2 2 2 2 3 2 3" xfId="5202" xr:uid="{00000000-0005-0000-0000-000024170000}"/>
    <cellStyle name="Normal 5 2 2 2 2 3 2 3 2" xfId="13631" xr:uid="{52C8AB7B-52BE-43A5-A572-CCE8DCE5BCB7}"/>
    <cellStyle name="Normal 5 2 2 2 2 3 2 4" xfId="9413" xr:uid="{61B4526F-E8CD-4010-B4CA-C20F38359FDA}"/>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2 2 2" xfId="16189" xr:uid="{39287713-6719-4024-BEDE-E6E08CD6CDA7}"/>
    <cellStyle name="Normal 5 2 2 2 2 3 3 2 3" xfId="11971" xr:uid="{EA7C3AF4-BF03-4AD1-931A-3E6DE1B10D72}"/>
    <cellStyle name="Normal 5 2 2 2 2 3 3 3" xfId="5615" xr:uid="{00000000-0005-0000-0000-000028170000}"/>
    <cellStyle name="Normal 5 2 2 2 2 3 3 3 2" xfId="14044" xr:uid="{374EF190-E110-4AC0-B837-BF89163346E4}"/>
    <cellStyle name="Normal 5 2 2 2 2 3 3 4" xfId="9826" xr:uid="{AF8A721B-732C-44E4-96E3-018FE345E402}"/>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2 2 2" xfId="16602" xr:uid="{62A3EB47-6D25-4514-8CC7-08C13C955E2B}"/>
    <cellStyle name="Normal 5 2 2 2 2 3 4 2 3" xfId="12384" xr:uid="{056B08EA-A017-4929-97BA-A48AF1CE4C20}"/>
    <cellStyle name="Normal 5 2 2 2 2 3 4 3" xfId="6028" xr:uid="{00000000-0005-0000-0000-00002C170000}"/>
    <cellStyle name="Normal 5 2 2 2 2 3 4 3 2" xfId="14457" xr:uid="{7987B1AE-BB99-4B09-B134-5223AF31EBA7}"/>
    <cellStyle name="Normal 5 2 2 2 2 3 4 4" xfId="10239" xr:uid="{5544FFC4-ACA2-4169-ACB5-EAECD270C4B7}"/>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2 2 2" xfId="17015" xr:uid="{5D285264-D0D0-4E15-B452-FEAC7AD45AB6}"/>
    <cellStyle name="Normal 5 2 2 2 2 3 5 2 3" xfId="12797" xr:uid="{6CEED907-07B0-41BF-A5FC-70A55A4A45DA}"/>
    <cellStyle name="Normal 5 2 2 2 2 3 5 3" xfId="6441" xr:uid="{00000000-0005-0000-0000-000030170000}"/>
    <cellStyle name="Normal 5 2 2 2 2 3 5 3 2" xfId="14870" xr:uid="{5AB6D8FB-517D-4E4C-BA99-C47FA15FDFF3}"/>
    <cellStyle name="Normal 5 2 2 2 2 3 5 4" xfId="10652" xr:uid="{864BE770-3F50-4D52-A355-882182459EA4}"/>
    <cellStyle name="Normal 5 2 2 2 2 3 6" xfId="2569" xr:uid="{00000000-0005-0000-0000-000031170000}"/>
    <cellStyle name="Normal 5 2 2 2 2 3 6 2" xfId="6854" xr:uid="{00000000-0005-0000-0000-000032170000}"/>
    <cellStyle name="Normal 5 2 2 2 2 3 6 2 2" xfId="15283" xr:uid="{15356656-5349-42C7-ADDF-6254793533B7}"/>
    <cellStyle name="Normal 5 2 2 2 2 3 6 3" xfId="11065" xr:uid="{CECBA8D4-9720-4482-9206-0DF50DA7AFF5}"/>
    <cellStyle name="Normal 5 2 2 2 2 3 7" xfId="4789" xr:uid="{00000000-0005-0000-0000-000033170000}"/>
    <cellStyle name="Normal 5 2 2 2 2 3 7 2" xfId="13218" xr:uid="{D493FE8C-5587-4A22-B5EF-EA9E423A6F71}"/>
    <cellStyle name="Normal 5 2 2 2 2 3 8" xfId="9000" xr:uid="{E38C5339-CBDC-4295-84C1-3E9CDB4BAE93}"/>
    <cellStyle name="Normal 5 2 2 2 2 4" xfId="885" xr:uid="{00000000-0005-0000-0000-000034170000}"/>
    <cellStyle name="Normal 5 2 2 2 2 4 2" xfId="3120" xr:uid="{00000000-0005-0000-0000-000035170000}"/>
    <cellStyle name="Normal 5 2 2 2 2 4 2 2" xfId="7344" xr:uid="{00000000-0005-0000-0000-000036170000}"/>
    <cellStyle name="Normal 5 2 2 2 2 4 2 2 2" xfId="15773" xr:uid="{5BBD504F-FA84-4AED-8353-0DEF8A0DEB40}"/>
    <cellStyle name="Normal 5 2 2 2 2 4 2 3" xfId="11555" xr:uid="{FAE28FA1-EAEB-4496-A5EB-17D189790FDB}"/>
    <cellStyle name="Normal 5 2 2 2 2 4 3" xfId="5199" xr:uid="{00000000-0005-0000-0000-000037170000}"/>
    <cellStyle name="Normal 5 2 2 2 2 4 3 2" xfId="13628" xr:uid="{38982BE2-25A7-465A-998B-11B954C1714B}"/>
    <cellStyle name="Normal 5 2 2 2 2 4 4" xfId="9410" xr:uid="{C89E98DF-0D49-457E-9C84-6206D3300257}"/>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2 2 2" xfId="16186" xr:uid="{17443E78-E1F6-4D05-8D4C-D5F942C33781}"/>
    <cellStyle name="Normal 5 2 2 2 2 5 2 3" xfId="11968" xr:uid="{9E30A31A-85F0-4503-8313-918DC698B918}"/>
    <cellStyle name="Normal 5 2 2 2 2 5 3" xfId="5612" xr:uid="{00000000-0005-0000-0000-00003B170000}"/>
    <cellStyle name="Normal 5 2 2 2 2 5 3 2" xfId="14041" xr:uid="{191C981D-2A59-4ECA-BADE-B510AF95F3EC}"/>
    <cellStyle name="Normal 5 2 2 2 2 5 4" xfId="9823" xr:uid="{39845F09-F6BA-45E4-BF55-881CBC0B8F18}"/>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2 2 2" xfId="16599" xr:uid="{03043998-D125-4FBC-A556-6C5017CA4E88}"/>
    <cellStyle name="Normal 5 2 2 2 2 6 2 3" xfId="12381" xr:uid="{46FCCEDA-154C-4995-ABEF-732ED6D8106E}"/>
    <cellStyle name="Normal 5 2 2 2 2 6 3" xfId="6025" xr:uid="{00000000-0005-0000-0000-00003F170000}"/>
    <cellStyle name="Normal 5 2 2 2 2 6 3 2" xfId="14454" xr:uid="{E6F66F99-3EA8-4172-B731-BD36F95935AF}"/>
    <cellStyle name="Normal 5 2 2 2 2 6 4" xfId="10236" xr:uid="{3D02EFA4-08C7-4395-84D9-7F2D8B7FDD1F}"/>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2 2 2" xfId="17012" xr:uid="{553BAF00-675E-4D47-B2F8-C19CB97822EC}"/>
    <cellStyle name="Normal 5 2 2 2 2 7 2 3" xfId="12794" xr:uid="{016950FE-E161-42BD-A972-5DA8C78653EC}"/>
    <cellStyle name="Normal 5 2 2 2 2 7 3" xfId="6438" xr:uid="{00000000-0005-0000-0000-000043170000}"/>
    <cellStyle name="Normal 5 2 2 2 2 7 3 2" xfId="14867" xr:uid="{8E62BF04-A390-45F6-A21D-2EE5288B70F4}"/>
    <cellStyle name="Normal 5 2 2 2 2 7 4" xfId="10649" xr:uid="{39E954D1-0AC5-4AFE-88A2-CBACE42F03E8}"/>
    <cellStyle name="Normal 5 2 2 2 2 8" xfId="2566" xr:uid="{00000000-0005-0000-0000-000044170000}"/>
    <cellStyle name="Normal 5 2 2 2 2 8 2" xfId="6851" xr:uid="{00000000-0005-0000-0000-000045170000}"/>
    <cellStyle name="Normal 5 2 2 2 2 8 2 2" xfId="15280" xr:uid="{3940C6A3-CEF4-4A9B-8FD9-BF233368454C}"/>
    <cellStyle name="Normal 5 2 2 2 2 8 3" xfId="11062" xr:uid="{CD37B9F0-BC6A-41FA-AE6C-F1A79F90184D}"/>
    <cellStyle name="Normal 5 2 2 2 2 9" xfId="4786" xr:uid="{00000000-0005-0000-0000-000046170000}"/>
    <cellStyle name="Normal 5 2 2 2 2 9 2" xfId="13215" xr:uid="{5E32907E-33A3-4285-A8F1-DF4BB218E391}"/>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2 2 2" xfId="15778" xr:uid="{A6AE7555-A6A8-4A4D-A7CC-0EEBF9A247F2}"/>
    <cellStyle name="Normal 5 2 2 2 3 2 2 2 3" xfId="11560" xr:uid="{EF7B2B9C-7BB0-4D78-9957-DE4979E30429}"/>
    <cellStyle name="Normal 5 2 2 2 3 2 2 3" xfId="5204" xr:uid="{00000000-0005-0000-0000-00004C170000}"/>
    <cellStyle name="Normal 5 2 2 2 3 2 2 3 2" xfId="13633" xr:uid="{C09D0C08-0758-4EED-A7F5-6490953FE44D}"/>
    <cellStyle name="Normal 5 2 2 2 3 2 2 4" xfId="9415" xr:uid="{A5261144-949B-4428-925B-A15CA6418AC5}"/>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2 2 2" xfId="16191" xr:uid="{1C14239A-B4F3-4E84-9EEA-D058261B4DBB}"/>
    <cellStyle name="Normal 5 2 2 2 3 2 3 2 3" xfId="11973" xr:uid="{FBB291BF-2669-40A6-B7EA-BC5BFF5F517C}"/>
    <cellStyle name="Normal 5 2 2 2 3 2 3 3" xfId="5617" xr:uid="{00000000-0005-0000-0000-000050170000}"/>
    <cellStyle name="Normal 5 2 2 2 3 2 3 3 2" xfId="14046" xr:uid="{2EBCE83B-D7FB-4C96-BA0C-FE4E9C4E5203}"/>
    <cellStyle name="Normal 5 2 2 2 3 2 3 4" xfId="9828" xr:uid="{46F2E5AA-E63A-48E8-A394-8CBE3B138259}"/>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2 2 2" xfId="16604" xr:uid="{C9C98610-EA09-41FB-B4DF-92F2BF6950A9}"/>
    <cellStyle name="Normal 5 2 2 2 3 2 4 2 3" xfId="12386" xr:uid="{801768BB-0934-4D3B-A557-7B4FD7814C4A}"/>
    <cellStyle name="Normal 5 2 2 2 3 2 4 3" xfId="6030" xr:uid="{00000000-0005-0000-0000-000054170000}"/>
    <cellStyle name="Normal 5 2 2 2 3 2 4 3 2" xfId="14459" xr:uid="{70129BDB-F72B-46DB-873E-8EA70AA580F4}"/>
    <cellStyle name="Normal 5 2 2 2 3 2 4 4" xfId="10241" xr:uid="{ADCF1897-0383-46AB-ADF4-009D432C9E08}"/>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2 2 2" xfId="17017" xr:uid="{5DBA220F-1B8F-4D66-BE5E-40D30F4B34EF}"/>
    <cellStyle name="Normal 5 2 2 2 3 2 5 2 3" xfId="12799" xr:uid="{7744C732-D4D3-4E29-90F5-A5DE99A45102}"/>
    <cellStyle name="Normal 5 2 2 2 3 2 5 3" xfId="6443" xr:uid="{00000000-0005-0000-0000-000058170000}"/>
    <cellStyle name="Normal 5 2 2 2 3 2 5 3 2" xfId="14872" xr:uid="{2ACFDB45-7F14-44B6-BD90-1DA24E64E2AF}"/>
    <cellStyle name="Normal 5 2 2 2 3 2 5 4" xfId="10654" xr:uid="{3686304C-3C2D-4D4A-B673-D9154E8340D0}"/>
    <cellStyle name="Normal 5 2 2 2 3 2 6" xfId="2571" xr:uid="{00000000-0005-0000-0000-000059170000}"/>
    <cellStyle name="Normal 5 2 2 2 3 2 6 2" xfId="6856" xr:uid="{00000000-0005-0000-0000-00005A170000}"/>
    <cellStyle name="Normal 5 2 2 2 3 2 6 2 2" xfId="15285" xr:uid="{59E0F018-CA6B-40C5-BACD-C40F474CCDFC}"/>
    <cellStyle name="Normal 5 2 2 2 3 2 6 3" xfId="11067" xr:uid="{F318E425-AC0B-47A5-8176-0084CBF2E96C}"/>
    <cellStyle name="Normal 5 2 2 2 3 2 7" xfId="4791" xr:uid="{00000000-0005-0000-0000-00005B170000}"/>
    <cellStyle name="Normal 5 2 2 2 3 2 7 2" xfId="13220" xr:uid="{D8CC8DA2-DC11-4BA9-AE7C-83B10810AEB4}"/>
    <cellStyle name="Normal 5 2 2 2 3 2 8" xfId="9002" xr:uid="{6981A0C8-1D53-4C31-BBE8-8E60EB9B8814}"/>
    <cellStyle name="Normal 5 2 2 2 3 3" xfId="889" xr:uid="{00000000-0005-0000-0000-00005C170000}"/>
    <cellStyle name="Normal 5 2 2 2 3 3 2" xfId="3124" xr:uid="{00000000-0005-0000-0000-00005D170000}"/>
    <cellStyle name="Normal 5 2 2 2 3 3 2 2" xfId="7348" xr:uid="{00000000-0005-0000-0000-00005E170000}"/>
    <cellStyle name="Normal 5 2 2 2 3 3 2 2 2" xfId="15777" xr:uid="{79D22E23-D187-4001-BA6F-D557D6DB5920}"/>
    <cellStyle name="Normal 5 2 2 2 3 3 2 3" xfId="11559" xr:uid="{FE2FC4DD-FA78-4719-936D-CA73304FB118}"/>
    <cellStyle name="Normal 5 2 2 2 3 3 3" xfId="5203" xr:uid="{00000000-0005-0000-0000-00005F170000}"/>
    <cellStyle name="Normal 5 2 2 2 3 3 3 2" xfId="13632" xr:uid="{B8D77730-1D9F-43D9-9F24-073D51C36225}"/>
    <cellStyle name="Normal 5 2 2 2 3 3 4" xfId="9414" xr:uid="{DD74F0B8-C87F-41E4-9B9C-31E07BFFE83C}"/>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2 2 2" xfId="16190" xr:uid="{FC1E60F9-F124-4F86-A99A-ED253A0BA137}"/>
    <cellStyle name="Normal 5 2 2 2 3 4 2 3" xfId="11972" xr:uid="{88930ACA-1E4D-44F7-8479-3214417E7B63}"/>
    <cellStyle name="Normal 5 2 2 2 3 4 3" xfId="5616" xr:uid="{00000000-0005-0000-0000-000063170000}"/>
    <cellStyle name="Normal 5 2 2 2 3 4 3 2" xfId="14045" xr:uid="{2A8E7C6A-112B-4333-89E1-A3720C0DA641}"/>
    <cellStyle name="Normal 5 2 2 2 3 4 4" xfId="9827" xr:uid="{F1C3162F-2A39-4857-A862-F6190BD31E02}"/>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2 2 2" xfId="16603" xr:uid="{F733AC71-11F9-4F38-B14A-E3D164AA2F90}"/>
    <cellStyle name="Normal 5 2 2 2 3 5 2 3" xfId="12385" xr:uid="{166FC1CC-CA0E-4FFE-B4E8-7579777E88B0}"/>
    <cellStyle name="Normal 5 2 2 2 3 5 3" xfId="6029" xr:uid="{00000000-0005-0000-0000-000067170000}"/>
    <cellStyle name="Normal 5 2 2 2 3 5 3 2" xfId="14458" xr:uid="{6B078E4D-9602-436E-9BC6-2AA43EE8D404}"/>
    <cellStyle name="Normal 5 2 2 2 3 5 4" xfId="10240" xr:uid="{E311E7CC-9336-4C9D-9BD0-9DFD33FB0F7A}"/>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2 2 2" xfId="17016" xr:uid="{2F93812A-338D-4E0A-B7D1-E5C417A423C2}"/>
    <cellStyle name="Normal 5 2 2 2 3 6 2 3" xfId="12798" xr:uid="{3D741C0B-96C0-4FD4-AC88-AD5403660DFA}"/>
    <cellStyle name="Normal 5 2 2 2 3 6 3" xfId="6442" xr:uid="{00000000-0005-0000-0000-00006B170000}"/>
    <cellStyle name="Normal 5 2 2 2 3 6 3 2" xfId="14871" xr:uid="{D717F746-0B9A-422F-9D95-2AF7ED7D10DD}"/>
    <cellStyle name="Normal 5 2 2 2 3 6 4" xfId="10653" xr:uid="{17F003BF-0699-44A7-B1A9-20B40F0C3C39}"/>
    <cellStyle name="Normal 5 2 2 2 3 7" xfId="2570" xr:uid="{00000000-0005-0000-0000-00006C170000}"/>
    <cellStyle name="Normal 5 2 2 2 3 7 2" xfId="6855" xr:uid="{00000000-0005-0000-0000-00006D170000}"/>
    <cellStyle name="Normal 5 2 2 2 3 7 2 2" xfId="15284" xr:uid="{405D5A97-644B-4FC7-8F7E-A8142DE08F3C}"/>
    <cellStyle name="Normal 5 2 2 2 3 7 3" xfId="11066" xr:uid="{A1BD68B6-7523-4A28-9E6B-E060D6B14A30}"/>
    <cellStyle name="Normal 5 2 2 2 3 8" xfId="4790" xr:uid="{00000000-0005-0000-0000-00006E170000}"/>
    <cellStyle name="Normal 5 2 2 2 3 8 2" xfId="13219" xr:uid="{3D627782-D7AA-4DB9-A54C-8E8982E7EEE8}"/>
    <cellStyle name="Normal 5 2 2 2 3 9" xfId="9001" xr:uid="{CEB97302-254E-424F-A103-80A1C6F6936D}"/>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2 2 2" xfId="15779" xr:uid="{F3F272A3-B714-4256-B8F9-3055EFDD41EC}"/>
    <cellStyle name="Normal 5 2 2 2 4 2 2 3" xfId="11561" xr:uid="{2CF44699-5DF8-4E7F-833C-DA68D5B8365D}"/>
    <cellStyle name="Normal 5 2 2 2 4 2 3" xfId="5205" xr:uid="{00000000-0005-0000-0000-000073170000}"/>
    <cellStyle name="Normal 5 2 2 2 4 2 3 2" xfId="13634" xr:uid="{324CB050-50F6-4251-B5FE-6E51C71DCE76}"/>
    <cellStyle name="Normal 5 2 2 2 4 2 4" xfId="9416" xr:uid="{C0ABA7B2-1388-4DD0-9182-DA2ED5526863}"/>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2 2 2" xfId="16192" xr:uid="{18634EF5-B4F7-4C4B-A08D-FB588C61ED1D}"/>
    <cellStyle name="Normal 5 2 2 2 4 3 2 3" xfId="11974" xr:uid="{B644C307-70D4-4A61-851A-6D29D931BA6E}"/>
    <cellStyle name="Normal 5 2 2 2 4 3 3" xfId="5618" xr:uid="{00000000-0005-0000-0000-000077170000}"/>
    <cellStyle name="Normal 5 2 2 2 4 3 3 2" xfId="14047" xr:uid="{E1217D33-8929-4158-90E1-7E31206A70C6}"/>
    <cellStyle name="Normal 5 2 2 2 4 3 4" xfId="9829" xr:uid="{674F1A24-F088-4AD5-88CB-230808CC784D}"/>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2 2 2" xfId="16605" xr:uid="{B4D85148-D31D-4971-B76A-00016A93E3A2}"/>
    <cellStyle name="Normal 5 2 2 2 4 4 2 3" xfId="12387" xr:uid="{C429C4A9-FD79-4222-A7B5-9FF7D94871EC}"/>
    <cellStyle name="Normal 5 2 2 2 4 4 3" xfId="6031" xr:uid="{00000000-0005-0000-0000-00007B170000}"/>
    <cellStyle name="Normal 5 2 2 2 4 4 3 2" xfId="14460" xr:uid="{2DEE4F18-BFA7-4B6C-B0FE-02D89885DDB7}"/>
    <cellStyle name="Normal 5 2 2 2 4 4 4" xfId="10242" xr:uid="{FA236B15-C5E3-4BAD-9A6B-2A5C30889844}"/>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2 2 2" xfId="17018" xr:uid="{DEEDDC46-A2EC-4121-AD97-4F90426CE2A1}"/>
    <cellStyle name="Normal 5 2 2 2 4 5 2 3" xfId="12800" xr:uid="{359DF7A1-C72A-4177-AD76-10454C30A40A}"/>
    <cellStyle name="Normal 5 2 2 2 4 5 3" xfId="6444" xr:uid="{00000000-0005-0000-0000-00007F170000}"/>
    <cellStyle name="Normal 5 2 2 2 4 5 3 2" xfId="14873" xr:uid="{8AE4F11B-3778-4D7E-9E48-2E2F5D1D2267}"/>
    <cellStyle name="Normal 5 2 2 2 4 5 4" xfId="10655" xr:uid="{1C58F437-2737-4532-9696-75F5DBE39642}"/>
    <cellStyle name="Normal 5 2 2 2 4 6" xfId="2572" xr:uid="{00000000-0005-0000-0000-000080170000}"/>
    <cellStyle name="Normal 5 2 2 2 4 6 2" xfId="6857" xr:uid="{00000000-0005-0000-0000-000081170000}"/>
    <cellStyle name="Normal 5 2 2 2 4 6 2 2" xfId="15286" xr:uid="{CDE45A9C-ABE0-4124-B903-A950BEA0A50F}"/>
    <cellStyle name="Normal 5 2 2 2 4 6 3" xfId="11068" xr:uid="{7EAE4DFD-C8B1-476D-98D9-1BF51096745E}"/>
    <cellStyle name="Normal 5 2 2 2 4 7" xfId="4792" xr:uid="{00000000-0005-0000-0000-000082170000}"/>
    <cellStyle name="Normal 5 2 2 2 4 7 2" xfId="13221" xr:uid="{590AD348-AB12-4BFE-8E15-4AE33203416B}"/>
    <cellStyle name="Normal 5 2 2 2 4 8" xfId="9003" xr:uid="{9B0885AA-C9D0-4DAC-B555-60595D5A39ED}"/>
    <cellStyle name="Normal 5 2 2 2 5" xfId="884" xr:uid="{00000000-0005-0000-0000-000083170000}"/>
    <cellStyle name="Normal 5 2 2 2 5 2" xfId="3119" xr:uid="{00000000-0005-0000-0000-000084170000}"/>
    <cellStyle name="Normal 5 2 2 2 5 2 2" xfId="7343" xr:uid="{00000000-0005-0000-0000-000085170000}"/>
    <cellStyle name="Normal 5 2 2 2 5 2 2 2" xfId="15772" xr:uid="{F5B6E749-F2A1-499B-A63E-3E0ED791D6B3}"/>
    <cellStyle name="Normal 5 2 2 2 5 2 3" xfId="11554" xr:uid="{5C5E31AF-DB75-4221-A09E-62F935E71937}"/>
    <cellStyle name="Normal 5 2 2 2 5 3" xfId="5198" xr:uid="{00000000-0005-0000-0000-000086170000}"/>
    <cellStyle name="Normal 5 2 2 2 5 3 2" xfId="13627" xr:uid="{5D13F9F5-FCB4-45D6-8597-6E1223C1CB8C}"/>
    <cellStyle name="Normal 5 2 2 2 5 4" xfId="9409" xr:uid="{E0D11F4A-4C17-4620-9834-0A35601BBEA1}"/>
    <cellStyle name="Normal 5 2 2 2 6" xfId="1302" xr:uid="{00000000-0005-0000-0000-000087170000}"/>
    <cellStyle name="Normal 5 2 2 2 6 2" xfId="3532" xr:uid="{00000000-0005-0000-0000-000088170000}"/>
    <cellStyle name="Normal 5 2 2 2 6 2 2" xfId="7756" xr:uid="{00000000-0005-0000-0000-000089170000}"/>
    <cellStyle name="Normal 5 2 2 2 6 2 2 2" xfId="16185" xr:uid="{26463689-6D2C-4E1D-9FBB-D0A6A4A286A6}"/>
    <cellStyle name="Normal 5 2 2 2 6 2 3" xfId="11967" xr:uid="{9ADBCF4B-C58D-404C-8854-61DA81C596C6}"/>
    <cellStyle name="Normal 5 2 2 2 6 3" xfId="5611" xr:uid="{00000000-0005-0000-0000-00008A170000}"/>
    <cellStyle name="Normal 5 2 2 2 6 3 2" xfId="14040" xr:uid="{C2D30B78-1BC4-4D02-9AA3-B0DCA0A8E741}"/>
    <cellStyle name="Normal 5 2 2 2 6 4" xfId="9822" xr:uid="{45EAF8ED-0DC9-4E28-8F4A-003E3182DB76}"/>
    <cellStyle name="Normal 5 2 2 2 7" xfId="1715" xr:uid="{00000000-0005-0000-0000-00008B170000}"/>
    <cellStyle name="Normal 5 2 2 2 7 2" xfId="3945" xr:uid="{00000000-0005-0000-0000-00008C170000}"/>
    <cellStyle name="Normal 5 2 2 2 7 2 2" xfId="8169" xr:uid="{00000000-0005-0000-0000-00008D170000}"/>
    <cellStyle name="Normal 5 2 2 2 7 2 2 2" xfId="16598" xr:uid="{2CC1B6C2-F164-494D-84C2-0D649CB90503}"/>
    <cellStyle name="Normal 5 2 2 2 7 2 3" xfId="12380" xr:uid="{03B7B49A-5907-4B6E-A549-555EC2DA6B40}"/>
    <cellStyle name="Normal 5 2 2 2 7 3" xfId="6024" xr:uid="{00000000-0005-0000-0000-00008E170000}"/>
    <cellStyle name="Normal 5 2 2 2 7 3 2" xfId="14453" xr:uid="{AF1E201A-707D-4C13-AAF5-F21BBE738D18}"/>
    <cellStyle name="Normal 5 2 2 2 7 4" xfId="10235" xr:uid="{E33A4D4E-CE76-4479-824C-842EF0DD3EFA}"/>
    <cellStyle name="Normal 5 2 2 2 8" xfId="2129" xr:uid="{00000000-0005-0000-0000-00008F170000}"/>
    <cellStyle name="Normal 5 2 2 2 8 2" xfId="4358" xr:uid="{00000000-0005-0000-0000-000090170000}"/>
    <cellStyle name="Normal 5 2 2 2 8 2 2" xfId="8582" xr:uid="{00000000-0005-0000-0000-000091170000}"/>
    <cellStyle name="Normal 5 2 2 2 8 2 2 2" xfId="17011" xr:uid="{61CF5673-1710-41F6-8755-D56EE3013F94}"/>
    <cellStyle name="Normal 5 2 2 2 8 2 3" xfId="12793" xr:uid="{DE2E8DC3-94F3-4D7D-8E97-871C4279C417}"/>
    <cellStyle name="Normal 5 2 2 2 8 3" xfId="6437" xr:uid="{00000000-0005-0000-0000-000092170000}"/>
    <cellStyle name="Normal 5 2 2 2 8 3 2" xfId="14866" xr:uid="{572EDA31-6F2A-47CC-87FA-C9682C8712CD}"/>
    <cellStyle name="Normal 5 2 2 2 8 4" xfId="10648" xr:uid="{BE27BC62-9B4E-4F09-B7DB-5DB9286B6442}"/>
    <cellStyle name="Normal 5 2 2 2 9" xfId="2565" xr:uid="{00000000-0005-0000-0000-000093170000}"/>
    <cellStyle name="Normal 5 2 2 2 9 2" xfId="6850" xr:uid="{00000000-0005-0000-0000-000094170000}"/>
    <cellStyle name="Normal 5 2 2 2 9 2 2" xfId="15279" xr:uid="{FAA0EE8D-40F8-4EA0-915C-98A92D573E52}"/>
    <cellStyle name="Normal 5 2 2 2 9 3" xfId="11061" xr:uid="{F479920A-FCAD-4BA2-AF34-DAC11BC67515}"/>
    <cellStyle name="Normal 5 2 2 3" xfId="417" xr:uid="{00000000-0005-0000-0000-000095170000}"/>
    <cellStyle name="Normal 5 2 2 3 10" xfId="9004" xr:uid="{705FD9AA-DFB1-4D45-8BB4-EC3CF2A1DE0C}"/>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2 2 2" xfId="15782" xr:uid="{5F106E35-4B3E-44A5-BC3F-7B1217FBA126}"/>
    <cellStyle name="Normal 5 2 2 3 2 2 2 2 3" xfId="11564" xr:uid="{9A6A0481-93A7-4B37-BBC9-BD9553D3C41E}"/>
    <cellStyle name="Normal 5 2 2 3 2 2 2 3" xfId="5208" xr:uid="{00000000-0005-0000-0000-00009B170000}"/>
    <cellStyle name="Normal 5 2 2 3 2 2 2 3 2" xfId="13637" xr:uid="{64368470-B745-4378-9101-D55AAF5B74EC}"/>
    <cellStyle name="Normal 5 2 2 3 2 2 2 4" xfId="9419" xr:uid="{3EB03076-000C-4D97-A63D-76D540F25749}"/>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2 2 2" xfId="16195" xr:uid="{DE3FA809-E386-491C-B5D5-F3198BA1FAA5}"/>
    <cellStyle name="Normal 5 2 2 3 2 2 3 2 3" xfId="11977" xr:uid="{B6CA694A-C1DB-4B11-82A6-A90DB4EB186D}"/>
    <cellStyle name="Normal 5 2 2 3 2 2 3 3" xfId="5621" xr:uid="{00000000-0005-0000-0000-00009F170000}"/>
    <cellStyle name="Normal 5 2 2 3 2 2 3 3 2" xfId="14050" xr:uid="{7D6C056B-F17C-4CAA-9DAD-ED2308DBDF98}"/>
    <cellStyle name="Normal 5 2 2 3 2 2 3 4" xfId="9832" xr:uid="{1E24D857-8B10-464A-A97C-334066E25FC7}"/>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2 2 2" xfId="16608" xr:uid="{AED333B8-ABE5-4EFA-BEEB-E5031344DB2C}"/>
    <cellStyle name="Normal 5 2 2 3 2 2 4 2 3" xfId="12390" xr:uid="{AFFAF9AE-BEBC-473C-9F42-F5BE3CC22286}"/>
    <cellStyle name="Normal 5 2 2 3 2 2 4 3" xfId="6034" xr:uid="{00000000-0005-0000-0000-0000A3170000}"/>
    <cellStyle name="Normal 5 2 2 3 2 2 4 3 2" xfId="14463" xr:uid="{96A5E725-E75D-4AAD-9430-E73A3F398283}"/>
    <cellStyle name="Normal 5 2 2 3 2 2 4 4" xfId="10245" xr:uid="{B7C84427-1262-4413-AA17-7BF8798C2707}"/>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2 2 2" xfId="17021" xr:uid="{9149CF57-5BA5-4E8A-8519-FB43874A57B5}"/>
    <cellStyle name="Normal 5 2 2 3 2 2 5 2 3" xfId="12803" xr:uid="{F44FB9BB-D7DF-47CC-B0D3-57485A5BDC85}"/>
    <cellStyle name="Normal 5 2 2 3 2 2 5 3" xfId="6447" xr:uid="{00000000-0005-0000-0000-0000A7170000}"/>
    <cellStyle name="Normal 5 2 2 3 2 2 5 3 2" xfId="14876" xr:uid="{E88F8EDC-2042-4BAD-9C7E-9EA80838908D}"/>
    <cellStyle name="Normal 5 2 2 3 2 2 5 4" xfId="10658" xr:uid="{E2F3F43F-CC25-410E-82EE-14824313CB01}"/>
    <cellStyle name="Normal 5 2 2 3 2 2 6" xfId="2575" xr:uid="{00000000-0005-0000-0000-0000A8170000}"/>
    <cellStyle name="Normal 5 2 2 3 2 2 6 2" xfId="6860" xr:uid="{00000000-0005-0000-0000-0000A9170000}"/>
    <cellStyle name="Normal 5 2 2 3 2 2 6 2 2" xfId="15289" xr:uid="{64B18576-2B83-420B-9EDF-C286C15356A1}"/>
    <cellStyle name="Normal 5 2 2 3 2 2 6 3" xfId="11071" xr:uid="{B6C9CD54-202E-468C-82BC-3E0176BD3A88}"/>
    <cellStyle name="Normal 5 2 2 3 2 2 7" xfId="4795" xr:uid="{00000000-0005-0000-0000-0000AA170000}"/>
    <cellStyle name="Normal 5 2 2 3 2 2 7 2" xfId="13224" xr:uid="{E774707E-6616-496F-A7AF-87BA27F2987C}"/>
    <cellStyle name="Normal 5 2 2 3 2 2 8" xfId="9006" xr:uid="{2813AA50-B5CA-4E88-8437-A5ADC810C7F3}"/>
    <cellStyle name="Normal 5 2 2 3 2 3" xfId="893" xr:uid="{00000000-0005-0000-0000-0000AB170000}"/>
    <cellStyle name="Normal 5 2 2 3 2 3 2" xfId="3128" xr:uid="{00000000-0005-0000-0000-0000AC170000}"/>
    <cellStyle name="Normal 5 2 2 3 2 3 2 2" xfId="7352" xr:uid="{00000000-0005-0000-0000-0000AD170000}"/>
    <cellStyle name="Normal 5 2 2 3 2 3 2 2 2" xfId="15781" xr:uid="{F5C5C83D-2708-426D-AAA7-D727402825EF}"/>
    <cellStyle name="Normal 5 2 2 3 2 3 2 3" xfId="11563" xr:uid="{B0C8047D-4CC6-4352-9505-5359ABD99A25}"/>
    <cellStyle name="Normal 5 2 2 3 2 3 3" xfId="5207" xr:uid="{00000000-0005-0000-0000-0000AE170000}"/>
    <cellStyle name="Normal 5 2 2 3 2 3 3 2" xfId="13636" xr:uid="{CCBCE098-E250-4730-9457-AE9B22D48B3C}"/>
    <cellStyle name="Normal 5 2 2 3 2 3 4" xfId="9418" xr:uid="{E4C4EDDA-F100-4421-A3A4-980EEDADC44C}"/>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2 2 2" xfId="16194" xr:uid="{B06F22DA-DA16-4399-B094-E7F849048663}"/>
    <cellStyle name="Normal 5 2 2 3 2 4 2 3" xfId="11976" xr:uid="{6F9219AA-9213-4CCD-9585-0FF6CFFF018A}"/>
    <cellStyle name="Normal 5 2 2 3 2 4 3" xfId="5620" xr:uid="{00000000-0005-0000-0000-0000B2170000}"/>
    <cellStyle name="Normal 5 2 2 3 2 4 3 2" xfId="14049" xr:uid="{EFD95CC0-3ED1-4528-8CFD-2BCC7B69DEAD}"/>
    <cellStyle name="Normal 5 2 2 3 2 4 4" xfId="9831" xr:uid="{74392FE0-182C-4DE8-B78C-31580D7ECFF7}"/>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2 2 2" xfId="16607" xr:uid="{4B26F958-AD33-42E9-B794-3EC36F5799F3}"/>
    <cellStyle name="Normal 5 2 2 3 2 5 2 3" xfId="12389" xr:uid="{EDE83DE5-C51A-40EA-AECB-534EE0622E2B}"/>
    <cellStyle name="Normal 5 2 2 3 2 5 3" xfId="6033" xr:uid="{00000000-0005-0000-0000-0000B6170000}"/>
    <cellStyle name="Normal 5 2 2 3 2 5 3 2" xfId="14462" xr:uid="{174E603B-8932-44DE-AFC1-18B9EC4F6490}"/>
    <cellStyle name="Normal 5 2 2 3 2 5 4" xfId="10244" xr:uid="{C82B1A21-5CFB-456B-A241-C54EA7012C0A}"/>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2 2 2" xfId="17020" xr:uid="{2503E9B1-3DE1-472F-B75F-92D481869CE4}"/>
    <cellStyle name="Normal 5 2 2 3 2 6 2 3" xfId="12802" xr:uid="{53683FE3-6DCC-4197-AC60-FA1C3869CF57}"/>
    <cellStyle name="Normal 5 2 2 3 2 6 3" xfId="6446" xr:uid="{00000000-0005-0000-0000-0000BA170000}"/>
    <cellStyle name="Normal 5 2 2 3 2 6 3 2" xfId="14875" xr:uid="{B73A496A-DCBF-4670-A0F4-5C5C4D89FDC7}"/>
    <cellStyle name="Normal 5 2 2 3 2 6 4" xfId="10657" xr:uid="{49EDDCE2-B425-4695-84D0-D98E4D66848B}"/>
    <cellStyle name="Normal 5 2 2 3 2 7" xfId="2574" xr:uid="{00000000-0005-0000-0000-0000BB170000}"/>
    <cellStyle name="Normal 5 2 2 3 2 7 2" xfId="6859" xr:uid="{00000000-0005-0000-0000-0000BC170000}"/>
    <cellStyle name="Normal 5 2 2 3 2 7 2 2" xfId="15288" xr:uid="{02E554FE-6916-447A-8869-ABF8D5B43B3E}"/>
    <cellStyle name="Normal 5 2 2 3 2 7 3" xfId="11070" xr:uid="{9962F83E-9561-4A49-AF46-1EBCD19CF702}"/>
    <cellStyle name="Normal 5 2 2 3 2 8" xfId="4794" xr:uid="{00000000-0005-0000-0000-0000BD170000}"/>
    <cellStyle name="Normal 5 2 2 3 2 8 2" xfId="13223" xr:uid="{DB82BCE1-A028-451D-8C35-0A5A91AA2272}"/>
    <cellStyle name="Normal 5 2 2 3 2 9" xfId="9005" xr:uid="{AB03AEB1-66B2-4FA4-B36A-77DA42FC1A11}"/>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2 2 2" xfId="15783" xr:uid="{9EFAB69A-5062-4BD6-B090-D7FEAAA9674F}"/>
    <cellStyle name="Normal 5 2 2 3 3 2 2 3" xfId="11565" xr:uid="{51D320A2-4ADD-4E3B-8F74-9FA364C3EE7E}"/>
    <cellStyle name="Normal 5 2 2 3 3 2 3" xfId="5209" xr:uid="{00000000-0005-0000-0000-0000C2170000}"/>
    <cellStyle name="Normal 5 2 2 3 3 2 3 2" xfId="13638" xr:uid="{507FCA3C-D011-48FF-AAF8-A2C6986C6E35}"/>
    <cellStyle name="Normal 5 2 2 3 3 2 4" xfId="9420" xr:uid="{1642FC36-EABD-497E-BD14-347FD175FC1B}"/>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2 2 2" xfId="16196" xr:uid="{FA8C03F6-B25A-4725-A2DD-1D8142B2578E}"/>
    <cellStyle name="Normal 5 2 2 3 3 3 2 3" xfId="11978" xr:uid="{AB980A73-7136-4BE3-B92E-48CFBFA99388}"/>
    <cellStyle name="Normal 5 2 2 3 3 3 3" xfId="5622" xr:uid="{00000000-0005-0000-0000-0000C6170000}"/>
    <cellStyle name="Normal 5 2 2 3 3 3 3 2" xfId="14051" xr:uid="{9EE968C8-D854-407B-8439-DB9A70754CD9}"/>
    <cellStyle name="Normal 5 2 2 3 3 3 4" xfId="9833" xr:uid="{4A9861CB-B7E2-4D19-9A4D-646CC3A77C93}"/>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2 2 2" xfId="16609" xr:uid="{BC2A5293-8FA8-4870-9377-5B65067859D7}"/>
    <cellStyle name="Normal 5 2 2 3 3 4 2 3" xfId="12391" xr:uid="{437C4EA5-1FCB-4B90-86C5-73F9757760ED}"/>
    <cellStyle name="Normal 5 2 2 3 3 4 3" xfId="6035" xr:uid="{00000000-0005-0000-0000-0000CA170000}"/>
    <cellStyle name="Normal 5 2 2 3 3 4 3 2" xfId="14464" xr:uid="{C1F3FA89-F16A-43EB-AED6-D3440150DC23}"/>
    <cellStyle name="Normal 5 2 2 3 3 4 4" xfId="10246" xr:uid="{7048FA19-6528-4F48-BA72-3AF2FCFC48DE}"/>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2 2 2" xfId="17022" xr:uid="{79FFC205-A390-416C-92B7-BCFDE4A93338}"/>
    <cellStyle name="Normal 5 2 2 3 3 5 2 3" xfId="12804" xr:uid="{B159ED22-3DAA-4249-89BF-24230DE59BD3}"/>
    <cellStyle name="Normal 5 2 2 3 3 5 3" xfId="6448" xr:uid="{00000000-0005-0000-0000-0000CE170000}"/>
    <cellStyle name="Normal 5 2 2 3 3 5 3 2" xfId="14877" xr:uid="{8569953B-B728-41A3-80BE-E4C97AC9CD8E}"/>
    <cellStyle name="Normal 5 2 2 3 3 5 4" xfId="10659" xr:uid="{EFC27571-78E5-4D43-B050-46FC59711259}"/>
    <cellStyle name="Normal 5 2 2 3 3 6" xfId="2576" xr:uid="{00000000-0005-0000-0000-0000CF170000}"/>
    <cellStyle name="Normal 5 2 2 3 3 6 2" xfId="6861" xr:uid="{00000000-0005-0000-0000-0000D0170000}"/>
    <cellStyle name="Normal 5 2 2 3 3 6 2 2" xfId="15290" xr:uid="{525D9BE8-2A47-4C21-BA06-D3B1B2B34705}"/>
    <cellStyle name="Normal 5 2 2 3 3 6 3" xfId="11072" xr:uid="{9ECB46FE-9230-4E45-8628-85D9573FFFEC}"/>
    <cellStyle name="Normal 5 2 2 3 3 7" xfId="4796" xr:uid="{00000000-0005-0000-0000-0000D1170000}"/>
    <cellStyle name="Normal 5 2 2 3 3 7 2" xfId="13225" xr:uid="{8227D639-47C0-4102-95E0-96525FE0202C}"/>
    <cellStyle name="Normal 5 2 2 3 3 8" xfId="9007" xr:uid="{EF1AB735-C3D7-4A4D-8559-E5A3D6965A81}"/>
    <cellStyle name="Normal 5 2 2 3 4" xfId="892" xr:uid="{00000000-0005-0000-0000-0000D2170000}"/>
    <cellStyle name="Normal 5 2 2 3 4 2" xfId="3127" xr:uid="{00000000-0005-0000-0000-0000D3170000}"/>
    <cellStyle name="Normal 5 2 2 3 4 2 2" xfId="7351" xr:uid="{00000000-0005-0000-0000-0000D4170000}"/>
    <cellStyle name="Normal 5 2 2 3 4 2 2 2" xfId="15780" xr:uid="{EE5F0827-9A9F-413E-9271-4E228E3A7C6C}"/>
    <cellStyle name="Normal 5 2 2 3 4 2 3" xfId="11562" xr:uid="{7248A350-6399-43BE-8709-C7FD8CC0DCF8}"/>
    <cellStyle name="Normal 5 2 2 3 4 3" xfId="5206" xr:uid="{00000000-0005-0000-0000-0000D5170000}"/>
    <cellStyle name="Normal 5 2 2 3 4 3 2" xfId="13635" xr:uid="{7CDBA6CC-94ED-402C-8C43-30E1B97BF246}"/>
    <cellStyle name="Normal 5 2 2 3 4 4" xfId="9417" xr:uid="{93635970-0B07-483C-9E9F-78A9B5FF3985}"/>
    <cellStyle name="Normal 5 2 2 3 5" xfId="1310" xr:uid="{00000000-0005-0000-0000-0000D6170000}"/>
    <cellStyle name="Normal 5 2 2 3 5 2" xfId="3540" xr:uid="{00000000-0005-0000-0000-0000D7170000}"/>
    <cellStyle name="Normal 5 2 2 3 5 2 2" xfId="7764" xr:uid="{00000000-0005-0000-0000-0000D8170000}"/>
    <cellStyle name="Normal 5 2 2 3 5 2 2 2" xfId="16193" xr:uid="{E200E81C-91B1-435F-9AF7-D5AAAF1D8149}"/>
    <cellStyle name="Normal 5 2 2 3 5 2 3" xfId="11975" xr:uid="{535DD11B-C094-404E-A987-792C518E6EB0}"/>
    <cellStyle name="Normal 5 2 2 3 5 3" xfId="5619" xr:uid="{00000000-0005-0000-0000-0000D9170000}"/>
    <cellStyle name="Normal 5 2 2 3 5 3 2" xfId="14048" xr:uid="{8F3209CC-4FF2-480B-AEF1-7DAA3723F8C6}"/>
    <cellStyle name="Normal 5 2 2 3 5 4" xfId="9830" xr:uid="{99FD2856-A73A-4BEA-BDA3-8E9A06F83C0A}"/>
    <cellStyle name="Normal 5 2 2 3 6" xfId="1723" xr:uid="{00000000-0005-0000-0000-0000DA170000}"/>
    <cellStyle name="Normal 5 2 2 3 6 2" xfId="3953" xr:uid="{00000000-0005-0000-0000-0000DB170000}"/>
    <cellStyle name="Normal 5 2 2 3 6 2 2" xfId="8177" xr:uid="{00000000-0005-0000-0000-0000DC170000}"/>
    <cellStyle name="Normal 5 2 2 3 6 2 2 2" xfId="16606" xr:uid="{6D72193B-5B1E-4E48-870B-D7A871E28FD6}"/>
    <cellStyle name="Normal 5 2 2 3 6 2 3" xfId="12388" xr:uid="{C7BE3F3D-BB0C-45C9-84BA-94D92C321885}"/>
    <cellStyle name="Normal 5 2 2 3 6 3" xfId="6032" xr:uid="{00000000-0005-0000-0000-0000DD170000}"/>
    <cellStyle name="Normal 5 2 2 3 6 3 2" xfId="14461" xr:uid="{9CA83F2C-23B5-4443-B6E8-D96B22031191}"/>
    <cellStyle name="Normal 5 2 2 3 6 4" xfId="10243" xr:uid="{DA123FCC-3015-4975-B2CE-8E7FA9C8605A}"/>
    <cellStyle name="Normal 5 2 2 3 7" xfId="2137" xr:uid="{00000000-0005-0000-0000-0000DE170000}"/>
    <cellStyle name="Normal 5 2 2 3 7 2" xfId="4366" xr:uid="{00000000-0005-0000-0000-0000DF170000}"/>
    <cellStyle name="Normal 5 2 2 3 7 2 2" xfId="8590" xr:uid="{00000000-0005-0000-0000-0000E0170000}"/>
    <cellStyle name="Normal 5 2 2 3 7 2 2 2" xfId="17019" xr:uid="{E1F31BC6-A773-417D-A718-DBB5619ABDD2}"/>
    <cellStyle name="Normal 5 2 2 3 7 2 3" xfId="12801" xr:uid="{A62FAADC-3E6B-477A-B0BF-7291D830C084}"/>
    <cellStyle name="Normal 5 2 2 3 7 3" xfId="6445" xr:uid="{00000000-0005-0000-0000-0000E1170000}"/>
    <cellStyle name="Normal 5 2 2 3 7 3 2" xfId="14874" xr:uid="{9059CD39-9EC1-4CDD-B184-AA63C6A8F913}"/>
    <cellStyle name="Normal 5 2 2 3 7 4" xfId="10656" xr:uid="{0C6BCF53-3907-4B2D-AF16-004F21294006}"/>
    <cellStyle name="Normal 5 2 2 3 8" xfId="2573" xr:uid="{00000000-0005-0000-0000-0000E2170000}"/>
    <cellStyle name="Normal 5 2 2 3 8 2" xfId="6858" xr:uid="{00000000-0005-0000-0000-0000E3170000}"/>
    <cellStyle name="Normal 5 2 2 3 8 2 2" xfId="15287" xr:uid="{887D17F6-89DE-47C1-8F70-A81000FDC809}"/>
    <cellStyle name="Normal 5 2 2 3 8 3" xfId="11069" xr:uid="{1C36BDA2-6B55-408F-AB24-91ADA5A4F4BD}"/>
    <cellStyle name="Normal 5 2 2 3 9" xfId="4793" xr:uid="{00000000-0005-0000-0000-0000E4170000}"/>
    <cellStyle name="Normal 5 2 2 3 9 2" xfId="13222" xr:uid="{855BAF93-4185-4ADB-AE53-2E52ECA59A0C}"/>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2 2 2" xfId="15785" xr:uid="{66EEE5EB-D82A-4143-8881-E012F189C62E}"/>
    <cellStyle name="Normal 5 2 2 4 2 2 2 3" xfId="11567" xr:uid="{79048794-0356-4FB4-B7FF-15DB402B3DF6}"/>
    <cellStyle name="Normal 5 2 2 4 2 2 3" xfId="5211" xr:uid="{00000000-0005-0000-0000-0000EA170000}"/>
    <cellStyle name="Normal 5 2 2 4 2 2 3 2" xfId="13640" xr:uid="{9CC0B363-F960-4451-AAF6-E7845C2E0CE1}"/>
    <cellStyle name="Normal 5 2 2 4 2 2 4" xfId="9422" xr:uid="{F1855A3A-A90D-4CD2-9B5F-95331ACB580B}"/>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2 2 2" xfId="16198" xr:uid="{03582D6A-9FA8-4463-9AB9-DBA15BD84990}"/>
    <cellStyle name="Normal 5 2 2 4 2 3 2 3" xfId="11980" xr:uid="{4749FAA0-8F8F-414C-BA4B-3B5EDAF454ED}"/>
    <cellStyle name="Normal 5 2 2 4 2 3 3" xfId="5624" xr:uid="{00000000-0005-0000-0000-0000EE170000}"/>
    <cellStyle name="Normal 5 2 2 4 2 3 3 2" xfId="14053" xr:uid="{A75C812A-6AE3-4CB6-A3A0-F9D7B27ADCEA}"/>
    <cellStyle name="Normal 5 2 2 4 2 3 4" xfId="9835" xr:uid="{3C33C5A5-1232-49C3-96C2-AFA96604D4BA}"/>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2 2 2" xfId="16611" xr:uid="{B7F49562-E5E3-4152-A5C0-91B41B133844}"/>
    <cellStyle name="Normal 5 2 2 4 2 4 2 3" xfId="12393" xr:uid="{CB2151B7-F62F-4E24-95AB-4A02BA0100CE}"/>
    <cellStyle name="Normal 5 2 2 4 2 4 3" xfId="6037" xr:uid="{00000000-0005-0000-0000-0000F2170000}"/>
    <cellStyle name="Normal 5 2 2 4 2 4 3 2" xfId="14466" xr:uid="{A0CDD1A0-B678-4CE1-8957-1D206E9F4FBE}"/>
    <cellStyle name="Normal 5 2 2 4 2 4 4" xfId="10248" xr:uid="{09A0B6D3-D40A-44B2-B94B-AEDAE6AF5586}"/>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2 2 2" xfId="17024" xr:uid="{36DE5364-3326-4246-A575-23B770B5F99E}"/>
    <cellStyle name="Normal 5 2 2 4 2 5 2 3" xfId="12806" xr:uid="{59AA909E-FAF0-4F32-9079-D5A7123F6B4A}"/>
    <cellStyle name="Normal 5 2 2 4 2 5 3" xfId="6450" xr:uid="{00000000-0005-0000-0000-0000F6170000}"/>
    <cellStyle name="Normal 5 2 2 4 2 5 3 2" xfId="14879" xr:uid="{97888B3A-F251-46D1-8817-51CE0B93199E}"/>
    <cellStyle name="Normal 5 2 2 4 2 5 4" xfId="10661" xr:uid="{DA7FABE3-5AF4-4EF8-832C-5F061A4C6150}"/>
    <cellStyle name="Normal 5 2 2 4 2 6" xfId="2578" xr:uid="{00000000-0005-0000-0000-0000F7170000}"/>
    <cellStyle name="Normal 5 2 2 4 2 6 2" xfId="6863" xr:uid="{00000000-0005-0000-0000-0000F8170000}"/>
    <cellStyle name="Normal 5 2 2 4 2 6 2 2" xfId="15292" xr:uid="{1DF9FEEF-A5CB-4FFF-8F6D-26025283F1F8}"/>
    <cellStyle name="Normal 5 2 2 4 2 6 3" xfId="11074" xr:uid="{3D4F7691-CD3B-4276-B351-5D9F991EEDF1}"/>
    <cellStyle name="Normal 5 2 2 4 2 7" xfId="4798" xr:uid="{00000000-0005-0000-0000-0000F9170000}"/>
    <cellStyle name="Normal 5 2 2 4 2 7 2" xfId="13227" xr:uid="{22DE2310-C37C-4FFD-A7E4-38E5DEC0A9BE}"/>
    <cellStyle name="Normal 5 2 2 4 2 8" xfId="9009" xr:uid="{B0A67019-FC3C-47F0-BAE6-F82AF589B43E}"/>
    <cellStyle name="Normal 5 2 2 4 3" xfId="896" xr:uid="{00000000-0005-0000-0000-0000FA170000}"/>
    <cellStyle name="Normal 5 2 2 4 3 2" xfId="3131" xr:uid="{00000000-0005-0000-0000-0000FB170000}"/>
    <cellStyle name="Normal 5 2 2 4 3 2 2" xfId="7355" xr:uid="{00000000-0005-0000-0000-0000FC170000}"/>
    <cellStyle name="Normal 5 2 2 4 3 2 2 2" xfId="15784" xr:uid="{B9AC8145-E126-4D70-832C-9EAD53FFB0AF}"/>
    <cellStyle name="Normal 5 2 2 4 3 2 3" xfId="11566" xr:uid="{4CE22048-8702-4030-8591-789F39F8D0A6}"/>
    <cellStyle name="Normal 5 2 2 4 3 3" xfId="5210" xr:uid="{00000000-0005-0000-0000-0000FD170000}"/>
    <cellStyle name="Normal 5 2 2 4 3 3 2" xfId="13639" xr:uid="{B9CE1E34-A8A5-44DB-B438-8CB3DA856F02}"/>
    <cellStyle name="Normal 5 2 2 4 3 4" xfId="9421" xr:uid="{03EB52F4-AA0D-4700-9199-222A469F630B}"/>
    <cellStyle name="Normal 5 2 2 4 4" xfId="1314" xr:uid="{00000000-0005-0000-0000-0000FE170000}"/>
    <cellStyle name="Normal 5 2 2 4 4 2" xfId="3544" xr:uid="{00000000-0005-0000-0000-0000FF170000}"/>
    <cellStyle name="Normal 5 2 2 4 4 2 2" xfId="7768" xr:uid="{00000000-0005-0000-0000-000000180000}"/>
    <cellStyle name="Normal 5 2 2 4 4 2 2 2" xfId="16197" xr:uid="{1869B224-2B67-485A-BF33-833D6E27AC09}"/>
    <cellStyle name="Normal 5 2 2 4 4 2 3" xfId="11979" xr:uid="{3CFF4FD4-D8C7-4ED3-B2D5-DC33923F891E}"/>
    <cellStyle name="Normal 5 2 2 4 4 3" xfId="5623" xr:uid="{00000000-0005-0000-0000-000001180000}"/>
    <cellStyle name="Normal 5 2 2 4 4 3 2" xfId="14052" xr:uid="{350FD53D-97D6-4FB6-848D-1239AC45B1B5}"/>
    <cellStyle name="Normal 5 2 2 4 4 4" xfId="9834" xr:uid="{5E67845C-B0E2-4F3E-AC69-45B50D29549D}"/>
    <cellStyle name="Normal 5 2 2 4 5" xfId="1727" xr:uid="{00000000-0005-0000-0000-000002180000}"/>
    <cellStyle name="Normal 5 2 2 4 5 2" xfId="3957" xr:uid="{00000000-0005-0000-0000-000003180000}"/>
    <cellStyle name="Normal 5 2 2 4 5 2 2" xfId="8181" xr:uid="{00000000-0005-0000-0000-000004180000}"/>
    <cellStyle name="Normal 5 2 2 4 5 2 2 2" xfId="16610" xr:uid="{02568C76-3334-43ED-86D0-A426FE876EA6}"/>
    <cellStyle name="Normal 5 2 2 4 5 2 3" xfId="12392" xr:uid="{5A15A049-54EB-4DD0-8F96-A5C33C847A2B}"/>
    <cellStyle name="Normal 5 2 2 4 5 3" xfId="6036" xr:uid="{00000000-0005-0000-0000-000005180000}"/>
    <cellStyle name="Normal 5 2 2 4 5 3 2" xfId="14465" xr:uid="{2C0FF918-C93C-4511-9E82-8F8CE42FC068}"/>
    <cellStyle name="Normal 5 2 2 4 5 4" xfId="10247" xr:uid="{94B738A9-82FB-406B-B5A6-C23E5F027F34}"/>
    <cellStyle name="Normal 5 2 2 4 6" xfId="2141" xr:uid="{00000000-0005-0000-0000-000006180000}"/>
    <cellStyle name="Normal 5 2 2 4 6 2" xfId="4370" xr:uid="{00000000-0005-0000-0000-000007180000}"/>
    <cellStyle name="Normal 5 2 2 4 6 2 2" xfId="8594" xr:uid="{00000000-0005-0000-0000-000008180000}"/>
    <cellStyle name="Normal 5 2 2 4 6 2 2 2" xfId="17023" xr:uid="{EAD3672F-83FC-47F9-B266-715B219368D0}"/>
    <cellStyle name="Normal 5 2 2 4 6 2 3" xfId="12805" xr:uid="{DB549BFB-C5B3-4B92-A1F8-8CD561A5F219}"/>
    <cellStyle name="Normal 5 2 2 4 6 3" xfId="6449" xr:uid="{00000000-0005-0000-0000-000009180000}"/>
    <cellStyle name="Normal 5 2 2 4 6 3 2" xfId="14878" xr:uid="{8E2540FE-5250-4AB8-A462-3502F4F302F8}"/>
    <cellStyle name="Normal 5 2 2 4 6 4" xfId="10660" xr:uid="{C768EA5E-4DF6-4655-98DC-FB90ECA5C8DC}"/>
    <cellStyle name="Normal 5 2 2 4 7" xfId="2577" xr:uid="{00000000-0005-0000-0000-00000A180000}"/>
    <cellStyle name="Normal 5 2 2 4 7 2" xfId="6862" xr:uid="{00000000-0005-0000-0000-00000B180000}"/>
    <cellStyle name="Normal 5 2 2 4 7 2 2" xfId="15291" xr:uid="{EE3B6448-4FC1-46F0-9A0E-8BD067915202}"/>
    <cellStyle name="Normal 5 2 2 4 7 3" xfId="11073" xr:uid="{58795DAF-38B5-438A-8F8D-06969C8798CC}"/>
    <cellStyle name="Normal 5 2 2 4 8" xfId="4797" xr:uid="{00000000-0005-0000-0000-00000C180000}"/>
    <cellStyle name="Normal 5 2 2 4 8 2" xfId="13226" xr:uid="{6B317B4B-F29B-4E26-8845-AA6EC735AA8E}"/>
    <cellStyle name="Normal 5 2 2 4 9" xfId="9008" xr:uid="{CD3EA03F-1A32-4B9F-963E-B44E089AA43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2 2 2" xfId="15786" xr:uid="{229FE051-D682-4522-942F-418E21F927C6}"/>
    <cellStyle name="Normal 5 2 2 5 2 2 3" xfId="11568" xr:uid="{1432E2AD-6098-457D-AD4B-DCBC1C013E25}"/>
    <cellStyle name="Normal 5 2 2 5 2 3" xfId="5212" xr:uid="{00000000-0005-0000-0000-000011180000}"/>
    <cellStyle name="Normal 5 2 2 5 2 3 2" xfId="13641" xr:uid="{28498233-F047-46D5-9D03-A68591FDCD40}"/>
    <cellStyle name="Normal 5 2 2 5 2 4" xfId="9423" xr:uid="{87778D2F-81BB-4503-8996-E1B5B5525564}"/>
    <cellStyle name="Normal 5 2 2 5 3" xfId="1316" xr:uid="{00000000-0005-0000-0000-000012180000}"/>
    <cellStyle name="Normal 5 2 2 5 3 2" xfId="3546" xr:uid="{00000000-0005-0000-0000-000013180000}"/>
    <cellStyle name="Normal 5 2 2 5 3 2 2" xfId="7770" xr:uid="{00000000-0005-0000-0000-000014180000}"/>
    <cellStyle name="Normal 5 2 2 5 3 2 2 2" xfId="16199" xr:uid="{9E968070-E85A-4058-BF7A-8824854E2B44}"/>
    <cellStyle name="Normal 5 2 2 5 3 2 3" xfId="11981" xr:uid="{5A047FDE-500B-4145-A46F-0AFAE41D7D37}"/>
    <cellStyle name="Normal 5 2 2 5 3 3" xfId="5625" xr:uid="{00000000-0005-0000-0000-000015180000}"/>
    <cellStyle name="Normal 5 2 2 5 3 3 2" xfId="14054" xr:uid="{717429C5-97F9-48D2-AA27-09300A683D84}"/>
    <cellStyle name="Normal 5 2 2 5 3 4" xfId="9836" xr:uid="{E114172D-5D05-4D32-8AD5-D6734818F852}"/>
    <cellStyle name="Normal 5 2 2 5 4" xfId="1729" xr:uid="{00000000-0005-0000-0000-000016180000}"/>
    <cellStyle name="Normal 5 2 2 5 4 2" xfId="3959" xr:uid="{00000000-0005-0000-0000-000017180000}"/>
    <cellStyle name="Normal 5 2 2 5 4 2 2" xfId="8183" xr:uid="{00000000-0005-0000-0000-000018180000}"/>
    <cellStyle name="Normal 5 2 2 5 4 2 2 2" xfId="16612" xr:uid="{260FDF39-50B2-49A5-96A6-B4AB2620F4F1}"/>
    <cellStyle name="Normal 5 2 2 5 4 2 3" xfId="12394" xr:uid="{6D0E058E-E9BA-485C-B9C1-0C22D3DE0F7B}"/>
    <cellStyle name="Normal 5 2 2 5 4 3" xfId="6038" xr:uid="{00000000-0005-0000-0000-000019180000}"/>
    <cellStyle name="Normal 5 2 2 5 4 3 2" xfId="14467" xr:uid="{DCFA9870-F460-4460-A283-3AB0977CD368}"/>
    <cellStyle name="Normal 5 2 2 5 4 4" xfId="10249" xr:uid="{DAB6B49D-8A3F-4E40-B49B-7E4FDC8BC770}"/>
    <cellStyle name="Normal 5 2 2 5 5" xfId="2143" xr:uid="{00000000-0005-0000-0000-00001A180000}"/>
    <cellStyle name="Normal 5 2 2 5 5 2" xfId="4372" xr:uid="{00000000-0005-0000-0000-00001B180000}"/>
    <cellStyle name="Normal 5 2 2 5 5 2 2" xfId="8596" xr:uid="{00000000-0005-0000-0000-00001C180000}"/>
    <cellStyle name="Normal 5 2 2 5 5 2 2 2" xfId="17025" xr:uid="{76BEE6CC-2643-416C-9C4F-359E72273A8D}"/>
    <cellStyle name="Normal 5 2 2 5 5 2 3" xfId="12807" xr:uid="{E8CDFC2C-5F59-4079-892B-AFC98443134A}"/>
    <cellStyle name="Normal 5 2 2 5 5 3" xfId="6451" xr:uid="{00000000-0005-0000-0000-00001D180000}"/>
    <cellStyle name="Normal 5 2 2 5 5 3 2" xfId="14880" xr:uid="{01B0BD81-009E-4980-80C0-0CA41FC77DFE}"/>
    <cellStyle name="Normal 5 2 2 5 5 4" xfId="10662" xr:uid="{C40F324A-2DF9-40F0-9ACB-00C31E5055EE}"/>
    <cellStyle name="Normal 5 2 2 5 6" xfId="2579" xr:uid="{00000000-0005-0000-0000-00001E180000}"/>
    <cellStyle name="Normal 5 2 2 5 6 2" xfId="6864" xr:uid="{00000000-0005-0000-0000-00001F180000}"/>
    <cellStyle name="Normal 5 2 2 5 6 2 2" xfId="15293" xr:uid="{796A1191-AA74-4F51-9DD8-94E61C338090}"/>
    <cellStyle name="Normal 5 2 2 5 6 3" xfId="11075" xr:uid="{AC05AA86-41EC-44D3-8519-9890D94C41D6}"/>
    <cellStyle name="Normal 5 2 2 5 7" xfId="4799" xr:uid="{00000000-0005-0000-0000-000020180000}"/>
    <cellStyle name="Normal 5 2 2 5 7 2" xfId="13228" xr:uid="{B40E1297-ABDC-4859-A7F3-49D466F04A15}"/>
    <cellStyle name="Normal 5 2 2 5 8" xfId="9010" xr:uid="{947F6C1A-C6F2-478E-850C-EB24BEB1407C}"/>
    <cellStyle name="Normal 5 2 2 6" xfId="883" xr:uid="{00000000-0005-0000-0000-000021180000}"/>
    <cellStyle name="Normal 5 2 2 6 2" xfId="3118" xr:uid="{00000000-0005-0000-0000-000022180000}"/>
    <cellStyle name="Normal 5 2 2 6 2 2" xfId="7342" xr:uid="{00000000-0005-0000-0000-000023180000}"/>
    <cellStyle name="Normal 5 2 2 6 2 2 2" xfId="15771" xr:uid="{A858F7BC-0689-4B0B-B913-AFA7D5BC42DB}"/>
    <cellStyle name="Normal 5 2 2 6 2 3" xfId="11553" xr:uid="{A3452539-19AC-49FF-B7FE-728AD769C0C3}"/>
    <cellStyle name="Normal 5 2 2 6 3" xfId="5197" xr:uid="{00000000-0005-0000-0000-000024180000}"/>
    <cellStyle name="Normal 5 2 2 6 3 2" xfId="13626" xr:uid="{7CDE8D51-1C7A-42CB-B43D-C64124A36E31}"/>
    <cellStyle name="Normal 5 2 2 6 4" xfId="9408" xr:uid="{694FEE0B-B1E0-4A04-BEE7-0F8E7FA45A5D}"/>
    <cellStyle name="Normal 5 2 2 7" xfId="1301" xr:uid="{00000000-0005-0000-0000-000025180000}"/>
    <cellStyle name="Normal 5 2 2 7 2" xfId="3531" xr:uid="{00000000-0005-0000-0000-000026180000}"/>
    <cellStyle name="Normal 5 2 2 7 2 2" xfId="7755" xr:uid="{00000000-0005-0000-0000-000027180000}"/>
    <cellStyle name="Normal 5 2 2 7 2 2 2" xfId="16184" xr:uid="{F5AFE5EA-50EF-4538-8952-2D06BBB7EC61}"/>
    <cellStyle name="Normal 5 2 2 7 2 3" xfId="11966" xr:uid="{C2F7EC8C-A7A1-44F2-8F86-432FC30B4E71}"/>
    <cellStyle name="Normal 5 2 2 7 3" xfId="5610" xr:uid="{00000000-0005-0000-0000-000028180000}"/>
    <cellStyle name="Normal 5 2 2 7 3 2" xfId="14039" xr:uid="{F2B59A8A-B07A-49BE-A0FE-C618F49E1179}"/>
    <cellStyle name="Normal 5 2 2 7 4" xfId="9821" xr:uid="{B3AF0259-5F82-43A4-8008-A4827C6ADCB0}"/>
    <cellStyle name="Normal 5 2 2 8" xfId="1714" xr:uid="{00000000-0005-0000-0000-000029180000}"/>
    <cellStyle name="Normal 5 2 2 8 2" xfId="3944" xr:uid="{00000000-0005-0000-0000-00002A180000}"/>
    <cellStyle name="Normal 5 2 2 8 2 2" xfId="8168" xr:uid="{00000000-0005-0000-0000-00002B180000}"/>
    <cellStyle name="Normal 5 2 2 8 2 2 2" xfId="16597" xr:uid="{91705AB7-7431-4086-B88E-58B4BD831729}"/>
    <cellStyle name="Normal 5 2 2 8 2 3" xfId="12379" xr:uid="{E6A123C6-2A56-4A53-A632-C5DCBFA3B88D}"/>
    <cellStyle name="Normal 5 2 2 8 3" xfId="6023" xr:uid="{00000000-0005-0000-0000-00002C180000}"/>
    <cellStyle name="Normal 5 2 2 8 3 2" xfId="14452" xr:uid="{C93AAF46-05CE-4DC5-AB47-C1684CBF0549}"/>
    <cellStyle name="Normal 5 2 2 8 4" xfId="10234" xr:uid="{DFEEF02F-F0B9-4F40-B1BC-C13778DBF258}"/>
    <cellStyle name="Normal 5 2 2 9" xfId="2128" xr:uid="{00000000-0005-0000-0000-00002D180000}"/>
    <cellStyle name="Normal 5 2 2 9 2" xfId="4357" xr:uid="{00000000-0005-0000-0000-00002E180000}"/>
    <cellStyle name="Normal 5 2 2 9 2 2" xfId="8581" xr:uid="{00000000-0005-0000-0000-00002F180000}"/>
    <cellStyle name="Normal 5 2 2 9 2 2 2" xfId="17010" xr:uid="{C88DD0F1-09D4-422B-9275-637163FE2D8E}"/>
    <cellStyle name="Normal 5 2 2 9 2 3" xfId="12792" xr:uid="{02F8245C-6870-4D9E-993E-9D97347C9A4C}"/>
    <cellStyle name="Normal 5 2 2 9 3" xfId="6436" xr:uid="{00000000-0005-0000-0000-000030180000}"/>
    <cellStyle name="Normal 5 2 2 9 3 2" xfId="14865" xr:uid="{0B5B36A7-A52F-440E-8CFC-5641CEFFCD3C}"/>
    <cellStyle name="Normal 5 2 2 9 4" xfId="10647" xr:uid="{AF9BFC6B-8024-44C1-B544-34AEC1D67EA1}"/>
    <cellStyle name="Normal 5 2 3" xfId="424" xr:uid="{00000000-0005-0000-0000-000031180000}"/>
    <cellStyle name="Normal 5 2 3 10" xfId="4800" xr:uid="{00000000-0005-0000-0000-000032180000}"/>
    <cellStyle name="Normal 5 2 3 10 2" xfId="13229" xr:uid="{7A0EB55A-119D-457E-B962-5233FC4BEFEE}"/>
    <cellStyle name="Normal 5 2 3 11" xfId="9011" xr:uid="{5FEA476D-EF02-41AC-B4D6-612927FF02CA}"/>
    <cellStyle name="Normal 5 2 3 2" xfId="425" xr:uid="{00000000-0005-0000-0000-000033180000}"/>
    <cellStyle name="Normal 5 2 3 2 10" xfId="9012" xr:uid="{40293443-239B-4D14-9672-C0385CA21E7E}"/>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2 2 2" xfId="15790" xr:uid="{92F74537-CEDF-45E8-9030-585AA9551833}"/>
    <cellStyle name="Normal 5 2 3 2 2 2 2 2 3" xfId="11572" xr:uid="{4BD8CBCA-6AC6-45B7-A373-6DA047036F17}"/>
    <cellStyle name="Normal 5 2 3 2 2 2 2 3" xfId="5216" xr:uid="{00000000-0005-0000-0000-000039180000}"/>
    <cellStyle name="Normal 5 2 3 2 2 2 2 3 2" xfId="13645" xr:uid="{56F7091F-CC45-42EB-9D43-9D513CAA0E85}"/>
    <cellStyle name="Normal 5 2 3 2 2 2 2 4" xfId="9427" xr:uid="{FBC623FA-8171-4CB3-A061-379311DC1152}"/>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2 2 2" xfId="16203" xr:uid="{CA75F57C-EF93-47A3-BCF0-2FEEBE0C3161}"/>
    <cellStyle name="Normal 5 2 3 2 2 2 3 2 3" xfId="11985" xr:uid="{8A05CD19-A402-49A1-814F-509E521420BA}"/>
    <cellStyle name="Normal 5 2 3 2 2 2 3 3" xfId="5629" xr:uid="{00000000-0005-0000-0000-00003D180000}"/>
    <cellStyle name="Normal 5 2 3 2 2 2 3 3 2" xfId="14058" xr:uid="{5A8DA48F-9ACD-4EA1-B460-999D6949DCF1}"/>
    <cellStyle name="Normal 5 2 3 2 2 2 3 4" xfId="9840" xr:uid="{C13CADA9-AED2-4681-95E8-6448520ED06A}"/>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2 2 2" xfId="16616" xr:uid="{A5E437C6-B14A-403E-AF17-94C46ECA1445}"/>
    <cellStyle name="Normal 5 2 3 2 2 2 4 2 3" xfId="12398" xr:uid="{7C133305-8F3A-406F-8F09-4DD962B00BF5}"/>
    <cellStyle name="Normal 5 2 3 2 2 2 4 3" xfId="6042" xr:uid="{00000000-0005-0000-0000-000041180000}"/>
    <cellStyle name="Normal 5 2 3 2 2 2 4 3 2" xfId="14471" xr:uid="{4AD3FE09-94C1-4CEA-A6AD-8FCF43DC5EE1}"/>
    <cellStyle name="Normal 5 2 3 2 2 2 4 4" xfId="10253" xr:uid="{47C5DD87-D360-431B-8FCB-8E3D675B20C1}"/>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2 2 2" xfId="17029" xr:uid="{94437C94-42E1-48A2-8A16-3379F8C5495E}"/>
    <cellStyle name="Normal 5 2 3 2 2 2 5 2 3" xfId="12811" xr:uid="{36BA5B2E-1803-41A7-9F16-CD92F1BBF5A8}"/>
    <cellStyle name="Normal 5 2 3 2 2 2 5 3" xfId="6455" xr:uid="{00000000-0005-0000-0000-000045180000}"/>
    <cellStyle name="Normal 5 2 3 2 2 2 5 3 2" xfId="14884" xr:uid="{4677FDFA-C1D9-42BB-8F8A-1C9730BC42D3}"/>
    <cellStyle name="Normal 5 2 3 2 2 2 5 4" xfId="10666" xr:uid="{9ED8C16D-8538-4DFC-837F-AA523A2920B6}"/>
    <cellStyle name="Normal 5 2 3 2 2 2 6" xfId="2583" xr:uid="{00000000-0005-0000-0000-000046180000}"/>
    <cellStyle name="Normal 5 2 3 2 2 2 6 2" xfId="6868" xr:uid="{00000000-0005-0000-0000-000047180000}"/>
    <cellStyle name="Normal 5 2 3 2 2 2 6 2 2" xfId="15297" xr:uid="{95F2AB56-ABF2-4768-8D14-C9FB4FD11E5D}"/>
    <cellStyle name="Normal 5 2 3 2 2 2 6 3" xfId="11079" xr:uid="{77BBFE75-E097-483A-8BA6-350891F0436C}"/>
    <cellStyle name="Normal 5 2 3 2 2 2 7" xfId="4803" xr:uid="{00000000-0005-0000-0000-000048180000}"/>
    <cellStyle name="Normal 5 2 3 2 2 2 7 2" xfId="13232" xr:uid="{5518150C-4FD8-44F5-A807-C355DBB95661}"/>
    <cellStyle name="Normal 5 2 3 2 2 2 8" xfId="9014" xr:uid="{EFF7893E-D65A-43CD-9A08-255426744B2B}"/>
    <cellStyle name="Normal 5 2 3 2 2 3" xfId="901" xr:uid="{00000000-0005-0000-0000-000049180000}"/>
    <cellStyle name="Normal 5 2 3 2 2 3 2" xfId="3136" xr:uid="{00000000-0005-0000-0000-00004A180000}"/>
    <cellStyle name="Normal 5 2 3 2 2 3 2 2" xfId="7360" xr:uid="{00000000-0005-0000-0000-00004B180000}"/>
    <cellStyle name="Normal 5 2 3 2 2 3 2 2 2" xfId="15789" xr:uid="{DAC50B88-1458-489F-BFDB-61F4CD9B637B}"/>
    <cellStyle name="Normal 5 2 3 2 2 3 2 3" xfId="11571" xr:uid="{8CF60B8C-3341-4E48-8DBA-4745696E1163}"/>
    <cellStyle name="Normal 5 2 3 2 2 3 3" xfId="5215" xr:uid="{00000000-0005-0000-0000-00004C180000}"/>
    <cellStyle name="Normal 5 2 3 2 2 3 3 2" xfId="13644" xr:uid="{83C33E4F-16A2-4244-AB7B-5ACE459BC7C3}"/>
    <cellStyle name="Normal 5 2 3 2 2 3 4" xfId="9426" xr:uid="{007B7E7E-7066-4BBA-8985-D658281ABB61}"/>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2 2 2" xfId="16202" xr:uid="{228BDEF2-65E1-4352-A701-D4E27D711BF2}"/>
    <cellStyle name="Normal 5 2 3 2 2 4 2 3" xfId="11984" xr:uid="{D32FE846-9E0E-4D8F-8D2C-D6B7D5E0CE38}"/>
    <cellStyle name="Normal 5 2 3 2 2 4 3" xfId="5628" xr:uid="{00000000-0005-0000-0000-000050180000}"/>
    <cellStyle name="Normal 5 2 3 2 2 4 3 2" xfId="14057" xr:uid="{7F07DDF3-702E-4A21-AE5A-29648A6487E7}"/>
    <cellStyle name="Normal 5 2 3 2 2 4 4" xfId="9839" xr:uid="{C96A61FC-45B5-4639-AB17-7823031C64D8}"/>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2 2 2" xfId="16615" xr:uid="{5C7F9659-2083-495D-A4D4-23091758D05A}"/>
    <cellStyle name="Normal 5 2 3 2 2 5 2 3" xfId="12397" xr:uid="{B388F49A-C42C-4DF9-8DCA-C93B0E84BFC3}"/>
    <cellStyle name="Normal 5 2 3 2 2 5 3" xfId="6041" xr:uid="{00000000-0005-0000-0000-000054180000}"/>
    <cellStyle name="Normal 5 2 3 2 2 5 3 2" xfId="14470" xr:uid="{C187FF35-143A-45E7-A100-DDB6594E68AA}"/>
    <cellStyle name="Normal 5 2 3 2 2 5 4" xfId="10252" xr:uid="{67D2D506-B0F1-41E2-A402-780927F0CF3A}"/>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2 2 2" xfId="17028" xr:uid="{3219A646-F592-48AF-8995-5E1BA23B9D69}"/>
    <cellStyle name="Normal 5 2 3 2 2 6 2 3" xfId="12810" xr:uid="{5B5B3B76-71FE-4419-A967-059A8A3DE779}"/>
    <cellStyle name="Normal 5 2 3 2 2 6 3" xfId="6454" xr:uid="{00000000-0005-0000-0000-000058180000}"/>
    <cellStyle name="Normal 5 2 3 2 2 6 3 2" xfId="14883" xr:uid="{300E833D-8A07-413F-B4A5-2BE7C46AC869}"/>
    <cellStyle name="Normal 5 2 3 2 2 6 4" xfId="10665" xr:uid="{AAD68CC5-234C-428D-97D6-9FF1B0F58773}"/>
    <cellStyle name="Normal 5 2 3 2 2 7" xfId="2582" xr:uid="{00000000-0005-0000-0000-000059180000}"/>
    <cellStyle name="Normal 5 2 3 2 2 7 2" xfId="6867" xr:uid="{00000000-0005-0000-0000-00005A180000}"/>
    <cellStyle name="Normal 5 2 3 2 2 7 2 2" xfId="15296" xr:uid="{4F8128DF-5BAE-4F28-BBBD-88D41E1EECAE}"/>
    <cellStyle name="Normal 5 2 3 2 2 7 3" xfId="11078" xr:uid="{10106521-BC00-421E-B8AC-E8361B4C7500}"/>
    <cellStyle name="Normal 5 2 3 2 2 8" xfId="4802" xr:uid="{00000000-0005-0000-0000-00005B180000}"/>
    <cellStyle name="Normal 5 2 3 2 2 8 2" xfId="13231" xr:uid="{D009353D-36FD-4334-8FA5-37D66A453E64}"/>
    <cellStyle name="Normal 5 2 3 2 2 9" xfId="9013" xr:uid="{27A82100-B5F6-4B2B-8147-41F754186FEA}"/>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2 2 2" xfId="15791" xr:uid="{56560847-58B0-4F2F-BB14-901187FA439B}"/>
    <cellStyle name="Normal 5 2 3 2 3 2 2 3" xfId="11573" xr:uid="{46D4DC22-8C4E-4DCB-95E3-CDBFCB5D206E}"/>
    <cellStyle name="Normal 5 2 3 2 3 2 3" xfId="5217" xr:uid="{00000000-0005-0000-0000-000060180000}"/>
    <cellStyle name="Normal 5 2 3 2 3 2 3 2" xfId="13646" xr:uid="{543DD0C6-00DA-4412-913F-6F136C4400C7}"/>
    <cellStyle name="Normal 5 2 3 2 3 2 4" xfId="9428" xr:uid="{C15FBB2C-A007-4042-B67B-16AF08E67128}"/>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2 2 2" xfId="16204" xr:uid="{3D9B969C-4F80-41AD-BC01-9EF89EE53728}"/>
    <cellStyle name="Normal 5 2 3 2 3 3 2 3" xfId="11986" xr:uid="{453A9BE8-7033-4B9F-B968-05A215078D55}"/>
    <cellStyle name="Normal 5 2 3 2 3 3 3" xfId="5630" xr:uid="{00000000-0005-0000-0000-000064180000}"/>
    <cellStyle name="Normal 5 2 3 2 3 3 3 2" xfId="14059" xr:uid="{3BBD9F9F-F4EE-45D2-B828-506753AAFCEA}"/>
    <cellStyle name="Normal 5 2 3 2 3 3 4" xfId="9841" xr:uid="{AC60680A-47ED-43D5-9B8C-4FF6BEFD2138}"/>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2 2 2" xfId="16617" xr:uid="{9CD10B81-FAE6-4A31-83FE-C8880B617D8B}"/>
    <cellStyle name="Normal 5 2 3 2 3 4 2 3" xfId="12399" xr:uid="{7D4DCC60-0A0F-4D28-BA14-324A894C2BE0}"/>
    <cellStyle name="Normal 5 2 3 2 3 4 3" xfId="6043" xr:uid="{00000000-0005-0000-0000-000068180000}"/>
    <cellStyle name="Normal 5 2 3 2 3 4 3 2" xfId="14472" xr:uid="{E0990DBF-5AB0-4610-9265-E82F1E16FBD1}"/>
    <cellStyle name="Normal 5 2 3 2 3 4 4" xfId="10254" xr:uid="{08A77610-4770-4AFF-9CA9-F849F257AA98}"/>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2 2 2" xfId="17030" xr:uid="{190FD0EF-20B2-4084-88DB-E5AAC1E67A4B}"/>
    <cellStyle name="Normal 5 2 3 2 3 5 2 3" xfId="12812" xr:uid="{74A6F868-95E4-4693-A3E6-80AF1C3F8B85}"/>
    <cellStyle name="Normal 5 2 3 2 3 5 3" xfId="6456" xr:uid="{00000000-0005-0000-0000-00006C180000}"/>
    <cellStyle name="Normal 5 2 3 2 3 5 3 2" xfId="14885" xr:uid="{FBFA285D-6431-4655-A6E0-6C9A413160ED}"/>
    <cellStyle name="Normal 5 2 3 2 3 5 4" xfId="10667" xr:uid="{7713549E-5868-422E-8739-EC97575C68D8}"/>
    <cellStyle name="Normal 5 2 3 2 3 6" xfId="2584" xr:uid="{00000000-0005-0000-0000-00006D180000}"/>
    <cellStyle name="Normal 5 2 3 2 3 6 2" xfId="6869" xr:uid="{00000000-0005-0000-0000-00006E180000}"/>
    <cellStyle name="Normal 5 2 3 2 3 6 2 2" xfId="15298" xr:uid="{5136D141-149A-4D75-9A2B-D0BE2EBEFA66}"/>
    <cellStyle name="Normal 5 2 3 2 3 6 3" xfId="11080" xr:uid="{4A3A84EE-258B-4804-B50C-7A2B67A4D9F5}"/>
    <cellStyle name="Normal 5 2 3 2 3 7" xfId="4804" xr:uid="{00000000-0005-0000-0000-00006F180000}"/>
    <cellStyle name="Normal 5 2 3 2 3 7 2" xfId="13233" xr:uid="{873A2120-A347-4F81-98D1-C7E77C974761}"/>
    <cellStyle name="Normal 5 2 3 2 3 8" xfId="9015" xr:uid="{BE8DAB72-B76C-4082-A856-1B4C6059A6D9}"/>
    <cellStyle name="Normal 5 2 3 2 4" xfId="900" xr:uid="{00000000-0005-0000-0000-000070180000}"/>
    <cellStyle name="Normal 5 2 3 2 4 2" xfId="3135" xr:uid="{00000000-0005-0000-0000-000071180000}"/>
    <cellStyle name="Normal 5 2 3 2 4 2 2" xfId="7359" xr:uid="{00000000-0005-0000-0000-000072180000}"/>
    <cellStyle name="Normal 5 2 3 2 4 2 2 2" xfId="15788" xr:uid="{894B0809-707B-452F-AB69-44EF0377A12F}"/>
    <cellStyle name="Normal 5 2 3 2 4 2 3" xfId="11570" xr:uid="{C2ADBCC8-8DCC-491B-9808-226CC3A8F04F}"/>
    <cellStyle name="Normal 5 2 3 2 4 3" xfId="5214" xr:uid="{00000000-0005-0000-0000-000073180000}"/>
    <cellStyle name="Normal 5 2 3 2 4 3 2" xfId="13643" xr:uid="{614EE2CE-7135-4202-80EA-4804C80ECC95}"/>
    <cellStyle name="Normal 5 2 3 2 4 4" xfId="9425" xr:uid="{1489CFBB-086D-4E6C-87B2-3C0103EEB49E}"/>
    <cellStyle name="Normal 5 2 3 2 5" xfId="1318" xr:uid="{00000000-0005-0000-0000-000074180000}"/>
    <cellStyle name="Normal 5 2 3 2 5 2" xfId="3548" xr:uid="{00000000-0005-0000-0000-000075180000}"/>
    <cellStyle name="Normal 5 2 3 2 5 2 2" xfId="7772" xr:uid="{00000000-0005-0000-0000-000076180000}"/>
    <cellStyle name="Normal 5 2 3 2 5 2 2 2" xfId="16201" xr:uid="{B76DA04E-2662-46A1-8D8D-204925B6AA96}"/>
    <cellStyle name="Normal 5 2 3 2 5 2 3" xfId="11983" xr:uid="{982C3DCD-82A5-4FCC-BDBB-E84FEB4333D1}"/>
    <cellStyle name="Normal 5 2 3 2 5 3" xfId="5627" xr:uid="{00000000-0005-0000-0000-000077180000}"/>
    <cellStyle name="Normal 5 2 3 2 5 3 2" xfId="14056" xr:uid="{AA493F88-AA6D-4C65-B61A-B466B0353EC7}"/>
    <cellStyle name="Normal 5 2 3 2 5 4" xfId="9838" xr:uid="{0BC9208C-B628-4D4D-AEBA-A6170053E5EB}"/>
    <cellStyle name="Normal 5 2 3 2 6" xfId="1731" xr:uid="{00000000-0005-0000-0000-000078180000}"/>
    <cellStyle name="Normal 5 2 3 2 6 2" xfId="3961" xr:uid="{00000000-0005-0000-0000-000079180000}"/>
    <cellStyle name="Normal 5 2 3 2 6 2 2" xfId="8185" xr:uid="{00000000-0005-0000-0000-00007A180000}"/>
    <cellStyle name="Normal 5 2 3 2 6 2 2 2" xfId="16614" xr:uid="{F69F5B7A-2BA9-4C9A-BF20-A583BD972B1E}"/>
    <cellStyle name="Normal 5 2 3 2 6 2 3" xfId="12396" xr:uid="{B36188C5-A2DC-4F8B-82A2-59D6F3EE64AF}"/>
    <cellStyle name="Normal 5 2 3 2 6 3" xfId="6040" xr:uid="{00000000-0005-0000-0000-00007B180000}"/>
    <cellStyle name="Normal 5 2 3 2 6 3 2" xfId="14469" xr:uid="{7C512ED5-4820-4F6F-8AA2-C9B599D55781}"/>
    <cellStyle name="Normal 5 2 3 2 6 4" xfId="10251" xr:uid="{11BC0304-5F89-4399-97DA-2FB2F0911D1E}"/>
    <cellStyle name="Normal 5 2 3 2 7" xfId="2145" xr:uid="{00000000-0005-0000-0000-00007C180000}"/>
    <cellStyle name="Normal 5 2 3 2 7 2" xfId="4374" xr:uid="{00000000-0005-0000-0000-00007D180000}"/>
    <cellStyle name="Normal 5 2 3 2 7 2 2" xfId="8598" xr:uid="{00000000-0005-0000-0000-00007E180000}"/>
    <cellStyle name="Normal 5 2 3 2 7 2 2 2" xfId="17027" xr:uid="{90220C90-8273-4481-B905-DA8DC117D198}"/>
    <cellStyle name="Normal 5 2 3 2 7 2 3" xfId="12809" xr:uid="{86438417-17DD-4434-8837-08B8AD1B4299}"/>
    <cellStyle name="Normal 5 2 3 2 7 3" xfId="6453" xr:uid="{00000000-0005-0000-0000-00007F180000}"/>
    <cellStyle name="Normal 5 2 3 2 7 3 2" xfId="14882" xr:uid="{4DD9A79A-055E-42F8-906E-2F35B537D394}"/>
    <cellStyle name="Normal 5 2 3 2 7 4" xfId="10664" xr:uid="{4783BC68-997E-4D00-B4BF-721A219E0684}"/>
    <cellStyle name="Normal 5 2 3 2 8" xfId="2581" xr:uid="{00000000-0005-0000-0000-000080180000}"/>
    <cellStyle name="Normal 5 2 3 2 8 2" xfId="6866" xr:uid="{00000000-0005-0000-0000-000081180000}"/>
    <cellStyle name="Normal 5 2 3 2 8 2 2" xfId="15295" xr:uid="{6A392D87-8C6D-418F-82E2-73F9DA4917D7}"/>
    <cellStyle name="Normal 5 2 3 2 8 3" xfId="11077" xr:uid="{86FC00AF-52AB-4FFD-A349-DCACA654172D}"/>
    <cellStyle name="Normal 5 2 3 2 9" xfId="4801" xr:uid="{00000000-0005-0000-0000-000082180000}"/>
    <cellStyle name="Normal 5 2 3 2 9 2" xfId="13230" xr:uid="{8FD277BC-FF96-4A22-9A97-50BCFEB8A335}"/>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2 2 2" xfId="15793" xr:uid="{381BA74F-89C5-48FF-8B1F-EAF21D312341}"/>
    <cellStyle name="Normal 5 2 3 3 2 2 2 3" xfId="11575" xr:uid="{CAF9DAFE-8EC2-486C-B258-BAA96FC357E0}"/>
    <cellStyle name="Normal 5 2 3 3 2 2 3" xfId="5219" xr:uid="{00000000-0005-0000-0000-000088180000}"/>
    <cellStyle name="Normal 5 2 3 3 2 2 3 2" xfId="13648" xr:uid="{A410C289-99AF-40E8-ACF2-351FD098EE45}"/>
    <cellStyle name="Normal 5 2 3 3 2 2 4" xfId="9430" xr:uid="{9C64A9D8-F4F2-482A-88DD-F2022E3AB936}"/>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2 2 2" xfId="16206" xr:uid="{A467B194-FD80-4C8A-9C49-8C3FE44E5007}"/>
    <cellStyle name="Normal 5 2 3 3 2 3 2 3" xfId="11988" xr:uid="{90970A79-20B1-4425-86E7-9AAE902C2A4D}"/>
    <cellStyle name="Normal 5 2 3 3 2 3 3" xfId="5632" xr:uid="{00000000-0005-0000-0000-00008C180000}"/>
    <cellStyle name="Normal 5 2 3 3 2 3 3 2" xfId="14061" xr:uid="{433EC8E4-1A87-406F-8405-BB7FDEA5D768}"/>
    <cellStyle name="Normal 5 2 3 3 2 3 4" xfId="9843" xr:uid="{5851F2A5-56BC-43ED-BDA7-86993C746B13}"/>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2 2 2" xfId="16619" xr:uid="{98667530-B562-478B-A47D-0382E78F1BEE}"/>
    <cellStyle name="Normal 5 2 3 3 2 4 2 3" xfId="12401" xr:uid="{A110637C-D3F1-4C74-BFC0-FC0E1537B2C9}"/>
    <cellStyle name="Normal 5 2 3 3 2 4 3" xfId="6045" xr:uid="{00000000-0005-0000-0000-000090180000}"/>
    <cellStyle name="Normal 5 2 3 3 2 4 3 2" xfId="14474" xr:uid="{46FAA481-501D-409D-9F2B-53351132F651}"/>
    <cellStyle name="Normal 5 2 3 3 2 4 4" xfId="10256" xr:uid="{B036785A-279B-48D8-BA09-C2B7A4AD4266}"/>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2 2 2" xfId="17032" xr:uid="{7B939BE4-C0FF-4698-9218-C485F5910C57}"/>
    <cellStyle name="Normal 5 2 3 3 2 5 2 3" xfId="12814" xr:uid="{848B1A5D-66C3-41C3-8B1B-C772ADC2A282}"/>
    <cellStyle name="Normal 5 2 3 3 2 5 3" xfId="6458" xr:uid="{00000000-0005-0000-0000-000094180000}"/>
    <cellStyle name="Normal 5 2 3 3 2 5 3 2" xfId="14887" xr:uid="{3E7F18BA-E378-401E-AA82-627FC6496EB6}"/>
    <cellStyle name="Normal 5 2 3 3 2 5 4" xfId="10669" xr:uid="{FB8873DD-FF1E-4216-A122-4DDB026B56C5}"/>
    <cellStyle name="Normal 5 2 3 3 2 6" xfId="2586" xr:uid="{00000000-0005-0000-0000-000095180000}"/>
    <cellStyle name="Normal 5 2 3 3 2 6 2" xfId="6871" xr:uid="{00000000-0005-0000-0000-000096180000}"/>
    <cellStyle name="Normal 5 2 3 3 2 6 2 2" xfId="15300" xr:uid="{8DF20B40-6D3F-4069-A546-71F1D0F52C06}"/>
    <cellStyle name="Normal 5 2 3 3 2 6 3" xfId="11082" xr:uid="{A5647ABB-ADBA-4311-A9CF-10AE261030B5}"/>
    <cellStyle name="Normal 5 2 3 3 2 7" xfId="4806" xr:uid="{00000000-0005-0000-0000-000097180000}"/>
    <cellStyle name="Normal 5 2 3 3 2 7 2" xfId="13235" xr:uid="{51770733-824D-49B5-AF04-1A4058001963}"/>
    <cellStyle name="Normal 5 2 3 3 2 8" xfId="9017" xr:uid="{8153DE43-E11B-4A0C-8BFF-C91FCC93D957}"/>
    <cellStyle name="Normal 5 2 3 3 3" xfId="904" xr:uid="{00000000-0005-0000-0000-000098180000}"/>
    <cellStyle name="Normal 5 2 3 3 3 2" xfId="3139" xr:uid="{00000000-0005-0000-0000-000099180000}"/>
    <cellStyle name="Normal 5 2 3 3 3 2 2" xfId="7363" xr:uid="{00000000-0005-0000-0000-00009A180000}"/>
    <cellStyle name="Normal 5 2 3 3 3 2 2 2" xfId="15792" xr:uid="{D13A730C-6B71-4A01-B8EB-46FE4078E4F9}"/>
    <cellStyle name="Normal 5 2 3 3 3 2 3" xfId="11574" xr:uid="{729DF6E9-88DE-4C4B-9985-62989959345E}"/>
    <cellStyle name="Normal 5 2 3 3 3 3" xfId="5218" xr:uid="{00000000-0005-0000-0000-00009B180000}"/>
    <cellStyle name="Normal 5 2 3 3 3 3 2" xfId="13647" xr:uid="{766F1402-CFFA-4FAC-ACE0-48CA37CC3949}"/>
    <cellStyle name="Normal 5 2 3 3 3 4" xfId="9429" xr:uid="{16C21C10-804C-43D0-99A1-28EB4CB92C4B}"/>
    <cellStyle name="Normal 5 2 3 3 4" xfId="1322" xr:uid="{00000000-0005-0000-0000-00009C180000}"/>
    <cellStyle name="Normal 5 2 3 3 4 2" xfId="3552" xr:uid="{00000000-0005-0000-0000-00009D180000}"/>
    <cellStyle name="Normal 5 2 3 3 4 2 2" xfId="7776" xr:uid="{00000000-0005-0000-0000-00009E180000}"/>
    <cellStyle name="Normal 5 2 3 3 4 2 2 2" xfId="16205" xr:uid="{73369AE0-1F59-469B-A3CA-5F946D55D549}"/>
    <cellStyle name="Normal 5 2 3 3 4 2 3" xfId="11987" xr:uid="{C06CCC31-A560-45CB-B47A-69FAAAB07CD1}"/>
    <cellStyle name="Normal 5 2 3 3 4 3" xfId="5631" xr:uid="{00000000-0005-0000-0000-00009F180000}"/>
    <cellStyle name="Normal 5 2 3 3 4 3 2" xfId="14060" xr:uid="{C6EC198E-2E7F-43CE-B0E6-87C4FB0F9AFF}"/>
    <cellStyle name="Normal 5 2 3 3 4 4" xfId="9842" xr:uid="{274ADA30-A350-4C81-80EF-2DF0CBD8C37E}"/>
    <cellStyle name="Normal 5 2 3 3 5" xfId="1735" xr:uid="{00000000-0005-0000-0000-0000A0180000}"/>
    <cellStyle name="Normal 5 2 3 3 5 2" xfId="3965" xr:uid="{00000000-0005-0000-0000-0000A1180000}"/>
    <cellStyle name="Normal 5 2 3 3 5 2 2" xfId="8189" xr:uid="{00000000-0005-0000-0000-0000A2180000}"/>
    <cellStyle name="Normal 5 2 3 3 5 2 2 2" xfId="16618" xr:uid="{36ACE47E-FEB9-4F7E-BB5C-02E91AD380FA}"/>
    <cellStyle name="Normal 5 2 3 3 5 2 3" xfId="12400" xr:uid="{D78EB1E7-E292-4601-BA32-4E8DA9B47335}"/>
    <cellStyle name="Normal 5 2 3 3 5 3" xfId="6044" xr:uid="{00000000-0005-0000-0000-0000A3180000}"/>
    <cellStyle name="Normal 5 2 3 3 5 3 2" xfId="14473" xr:uid="{02FF9EB8-A2F7-41E4-A1D9-CE1CB6F69A42}"/>
    <cellStyle name="Normal 5 2 3 3 5 4" xfId="10255" xr:uid="{B90001BF-8453-4B6C-A6EA-C23487C41B4F}"/>
    <cellStyle name="Normal 5 2 3 3 6" xfId="2149" xr:uid="{00000000-0005-0000-0000-0000A4180000}"/>
    <cellStyle name="Normal 5 2 3 3 6 2" xfId="4378" xr:uid="{00000000-0005-0000-0000-0000A5180000}"/>
    <cellStyle name="Normal 5 2 3 3 6 2 2" xfId="8602" xr:uid="{00000000-0005-0000-0000-0000A6180000}"/>
    <cellStyle name="Normal 5 2 3 3 6 2 2 2" xfId="17031" xr:uid="{BC8EDD48-366B-4046-BCE5-DAD809A417FB}"/>
    <cellStyle name="Normal 5 2 3 3 6 2 3" xfId="12813" xr:uid="{3313A73C-C073-45F2-80EA-E470AA62BC68}"/>
    <cellStyle name="Normal 5 2 3 3 6 3" xfId="6457" xr:uid="{00000000-0005-0000-0000-0000A7180000}"/>
    <cellStyle name="Normal 5 2 3 3 6 3 2" xfId="14886" xr:uid="{00F0DEFA-8F71-4AD2-83DD-0DBB4DD28E98}"/>
    <cellStyle name="Normal 5 2 3 3 6 4" xfId="10668" xr:uid="{40E13676-09A3-4B1E-85C3-2C9135458F17}"/>
    <cellStyle name="Normal 5 2 3 3 7" xfId="2585" xr:uid="{00000000-0005-0000-0000-0000A8180000}"/>
    <cellStyle name="Normal 5 2 3 3 7 2" xfId="6870" xr:uid="{00000000-0005-0000-0000-0000A9180000}"/>
    <cellStyle name="Normal 5 2 3 3 7 2 2" xfId="15299" xr:uid="{66711B18-B42A-4A5D-97DF-CC55AF5337B5}"/>
    <cellStyle name="Normal 5 2 3 3 7 3" xfId="11081" xr:uid="{92682775-FE43-46C1-BEA3-310672A7AAFD}"/>
    <cellStyle name="Normal 5 2 3 3 8" xfId="4805" xr:uid="{00000000-0005-0000-0000-0000AA180000}"/>
    <cellStyle name="Normal 5 2 3 3 8 2" xfId="13234" xr:uid="{0BDAA333-570D-494B-A08F-7A3774467C52}"/>
    <cellStyle name="Normal 5 2 3 3 9" xfId="9016" xr:uid="{31AC0C13-7C60-40D3-91C1-9C019C8C8E2D}"/>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2 2 2" xfId="15794" xr:uid="{8ABC8A06-81C6-4E5A-A5AE-7F6F19568B27}"/>
    <cellStyle name="Normal 5 2 3 4 2 2 3" xfId="11576" xr:uid="{353DFC18-1CAA-4D57-9885-23D30055F1F8}"/>
    <cellStyle name="Normal 5 2 3 4 2 3" xfId="5220" xr:uid="{00000000-0005-0000-0000-0000AF180000}"/>
    <cellStyle name="Normal 5 2 3 4 2 3 2" xfId="13649" xr:uid="{60B91468-2707-489A-971A-42D4DF378DE6}"/>
    <cellStyle name="Normal 5 2 3 4 2 4" xfId="9431" xr:uid="{780C2D90-F76F-4851-A1B9-0A928B6782C1}"/>
    <cellStyle name="Normal 5 2 3 4 3" xfId="1324" xr:uid="{00000000-0005-0000-0000-0000B0180000}"/>
    <cellStyle name="Normal 5 2 3 4 3 2" xfId="3554" xr:uid="{00000000-0005-0000-0000-0000B1180000}"/>
    <cellStyle name="Normal 5 2 3 4 3 2 2" xfId="7778" xr:uid="{00000000-0005-0000-0000-0000B2180000}"/>
    <cellStyle name="Normal 5 2 3 4 3 2 2 2" xfId="16207" xr:uid="{D4F6979E-0CC5-4357-9BFD-0ECFAF56A3E8}"/>
    <cellStyle name="Normal 5 2 3 4 3 2 3" xfId="11989" xr:uid="{5643C006-7DB1-46BC-B05C-2D8350C16B28}"/>
    <cellStyle name="Normal 5 2 3 4 3 3" xfId="5633" xr:uid="{00000000-0005-0000-0000-0000B3180000}"/>
    <cellStyle name="Normal 5 2 3 4 3 3 2" xfId="14062" xr:uid="{9B27325C-538D-494A-BE39-EE1A21763ED6}"/>
    <cellStyle name="Normal 5 2 3 4 3 4" xfId="9844" xr:uid="{514FC52B-17B8-4E93-9D00-C618B7D2E6FD}"/>
    <cellStyle name="Normal 5 2 3 4 4" xfId="1737" xr:uid="{00000000-0005-0000-0000-0000B4180000}"/>
    <cellStyle name="Normal 5 2 3 4 4 2" xfId="3967" xr:uid="{00000000-0005-0000-0000-0000B5180000}"/>
    <cellStyle name="Normal 5 2 3 4 4 2 2" xfId="8191" xr:uid="{00000000-0005-0000-0000-0000B6180000}"/>
    <cellStyle name="Normal 5 2 3 4 4 2 2 2" xfId="16620" xr:uid="{6F915E70-74B4-4440-8122-FC726AD92D92}"/>
    <cellStyle name="Normal 5 2 3 4 4 2 3" xfId="12402" xr:uid="{2C77C2F3-742E-4EB3-AE02-DC202F861044}"/>
    <cellStyle name="Normal 5 2 3 4 4 3" xfId="6046" xr:uid="{00000000-0005-0000-0000-0000B7180000}"/>
    <cellStyle name="Normal 5 2 3 4 4 3 2" xfId="14475" xr:uid="{ECF9D489-3BF4-4CC5-810B-72FD0F52B6C7}"/>
    <cellStyle name="Normal 5 2 3 4 4 4" xfId="10257" xr:uid="{338F6803-020B-4B24-BE67-ACE89E8D486E}"/>
    <cellStyle name="Normal 5 2 3 4 5" xfId="2151" xr:uid="{00000000-0005-0000-0000-0000B8180000}"/>
    <cellStyle name="Normal 5 2 3 4 5 2" xfId="4380" xr:uid="{00000000-0005-0000-0000-0000B9180000}"/>
    <cellStyle name="Normal 5 2 3 4 5 2 2" xfId="8604" xr:uid="{00000000-0005-0000-0000-0000BA180000}"/>
    <cellStyle name="Normal 5 2 3 4 5 2 2 2" xfId="17033" xr:uid="{CB32DCA7-5056-4695-A9E5-02BF5FE288C5}"/>
    <cellStyle name="Normal 5 2 3 4 5 2 3" xfId="12815" xr:uid="{FF153977-C04A-4325-830F-4B645615BAA4}"/>
    <cellStyle name="Normal 5 2 3 4 5 3" xfId="6459" xr:uid="{00000000-0005-0000-0000-0000BB180000}"/>
    <cellStyle name="Normal 5 2 3 4 5 3 2" xfId="14888" xr:uid="{AF40A42B-114B-49C7-8DB0-F95FE58620C6}"/>
    <cellStyle name="Normal 5 2 3 4 5 4" xfId="10670" xr:uid="{7B23A78D-3967-453E-B613-EA7FCC8A44DA}"/>
    <cellStyle name="Normal 5 2 3 4 6" xfId="2587" xr:uid="{00000000-0005-0000-0000-0000BC180000}"/>
    <cellStyle name="Normal 5 2 3 4 6 2" xfId="6872" xr:uid="{00000000-0005-0000-0000-0000BD180000}"/>
    <cellStyle name="Normal 5 2 3 4 6 2 2" xfId="15301" xr:uid="{E3034BA7-2285-4211-8F26-D4E044A51FA9}"/>
    <cellStyle name="Normal 5 2 3 4 6 3" xfId="11083" xr:uid="{D1DCE536-BCB1-4F38-82BD-386343D52500}"/>
    <cellStyle name="Normal 5 2 3 4 7" xfId="4807" xr:uid="{00000000-0005-0000-0000-0000BE180000}"/>
    <cellStyle name="Normal 5 2 3 4 7 2" xfId="13236" xr:uid="{D1889102-BF39-4AFB-83CF-5207C4184931}"/>
    <cellStyle name="Normal 5 2 3 4 8" xfId="9018" xr:uid="{E8644D21-CC21-4FD3-B297-6128541B6795}"/>
    <cellStyle name="Normal 5 2 3 5" xfId="899" xr:uid="{00000000-0005-0000-0000-0000BF180000}"/>
    <cellStyle name="Normal 5 2 3 5 2" xfId="3134" xr:uid="{00000000-0005-0000-0000-0000C0180000}"/>
    <cellStyle name="Normal 5 2 3 5 2 2" xfId="7358" xr:uid="{00000000-0005-0000-0000-0000C1180000}"/>
    <cellStyle name="Normal 5 2 3 5 2 2 2" xfId="15787" xr:uid="{6D464CEC-2ABE-4639-AB42-BCC1C8F92C09}"/>
    <cellStyle name="Normal 5 2 3 5 2 3" xfId="11569" xr:uid="{B113DEE7-F670-4643-93AB-A95A020AB5EB}"/>
    <cellStyle name="Normal 5 2 3 5 3" xfId="5213" xr:uid="{00000000-0005-0000-0000-0000C2180000}"/>
    <cellStyle name="Normal 5 2 3 5 3 2" xfId="13642" xr:uid="{63365652-D1D2-4505-9F50-368C98A06113}"/>
    <cellStyle name="Normal 5 2 3 5 4" xfId="9424" xr:uid="{37E7AC12-6318-4D42-9580-6C8C7AECF6E3}"/>
    <cellStyle name="Normal 5 2 3 6" xfId="1317" xr:uid="{00000000-0005-0000-0000-0000C3180000}"/>
    <cellStyle name="Normal 5 2 3 6 2" xfId="3547" xr:uid="{00000000-0005-0000-0000-0000C4180000}"/>
    <cellStyle name="Normal 5 2 3 6 2 2" xfId="7771" xr:uid="{00000000-0005-0000-0000-0000C5180000}"/>
    <cellStyle name="Normal 5 2 3 6 2 2 2" xfId="16200" xr:uid="{9A23DECA-B220-4FBF-A49A-65F09E388B5B}"/>
    <cellStyle name="Normal 5 2 3 6 2 3" xfId="11982" xr:uid="{99EF3C51-D47A-4B56-BFE3-89CD79CCE473}"/>
    <cellStyle name="Normal 5 2 3 6 3" xfId="5626" xr:uid="{00000000-0005-0000-0000-0000C6180000}"/>
    <cellStyle name="Normal 5 2 3 6 3 2" xfId="14055" xr:uid="{E399F072-346F-4412-8B52-6CC3C714E47A}"/>
    <cellStyle name="Normal 5 2 3 6 4" xfId="9837" xr:uid="{55A8FE01-7F2B-4F98-A859-B0C05CF566D9}"/>
    <cellStyle name="Normal 5 2 3 7" xfId="1730" xr:uid="{00000000-0005-0000-0000-0000C7180000}"/>
    <cellStyle name="Normal 5 2 3 7 2" xfId="3960" xr:uid="{00000000-0005-0000-0000-0000C8180000}"/>
    <cellStyle name="Normal 5 2 3 7 2 2" xfId="8184" xr:uid="{00000000-0005-0000-0000-0000C9180000}"/>
    <cellStyle name="Normal 5 2 3 7 2 2 2" xfId="16613" xr:uid="{7AAD8890-B1AA-4B63-AAD7-C739DC0B1D2E}"/>
    <cellStyle name="Normal 5 2 3 7 2 3" xfId="12395" xr:uid="{8BB61C0B-BC79-427B-B3F3-98BD59E8A1B7}"/>
    <cellStyle name="Normal 5 2 3 7 3" xfId="6039" xr:uid="{00000000-0005-0000-0000-0000CA180000}"/>
    <cellStyle name="Normal 5 2 3 7 3 2" xfId="14468" xr:uid="{C42D2884-AF9C-4166-A1C3-735F070B07B1}"/>
    <cellStyle name="Normal 5 2 3 7 4" xfId="10250" xr:uid="{401FDB30-ADC1-471B-BD4A-EEB91F58E3E3}"/>
    <cellStyle name="Normal 5 2 3 8" xfId="2144" xr:uid="{00000000-0005-0000-0000-0000CB180000}"/>
    <cellStyle name="Normal 5 2 3 8 2" xfId="4373" xr:uid="{00000000-0005-0000-0000-0000CC180000}"/>
    <cellStyle name="Normal 5 2 3 8 2 2" xfId="8597" xr:uid="{00000000-0005-0000-0000-0000CD180000}"/>
    <cellStyle name="Normal 5 2 3 8 2 2 2" xfId="17026" xr:uid="{98126A46-E732-4464-8688-B0A1617CB2B7}"/>
    <cellStyle name="Normal 5 2 3 8 2 3" xfId="12808" xr:uid="{6F62F74B-4A43-4932-95AB-AEFFED0B23B4}"/>
    <cellStyle name="Normal 5 2 3 8 3" xfId="6452" xr:uid="{00000000-0005-0000-0000-0000CE180000}"/>
    <cellStyle name="Normal 5 2 3 8 3 2" xfId="14881" xr:uid="{185D1FCE-A54D-40C8-B52E-66B0064DDD4A}"/>
    <cellStyle name="Normal 5 2 3 8 4" xfId="10663" xr:uid="{D30DEFF5-97CB-446C-8A71-8D2C4CC43BC5}"/>
    <cellStyle name="Normal 5 2 3 9" xfId="2580" xr:uid="{00000000-0005-0000-0000-0000CF180000}"/>
    <cellStyle name="Normal 5 2 3 9 2" xfId="6865" xr:uid="{00000000-0005-0000-0000-0000D0180000}"/>
    <cellStyle name="Normal 5 2 3 9 2 2" xfId="15294" xr:uid="{4676CD44-0C3F-4FCA-9DF4-AF616C284297}"/>
    <cellStyle name="Normal 5 2 3 9 3" xfId="11076" xr:uid="{3862AFE4-878B-4D9E-A08B-1E2FB40607C6}"/>
    <cellStyle name="Normal 5 2 4" xfId="432" xr:uid="{00000000-0005-0000-0000-0000D1180000}"/>
    <cellStyle name="Normal 5 2 4 10" xfId="9019" xr:uid="{BB7025E6-9158-45C0-9795-98EA966B66F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2 2 2" xfId="15797" xr:uid="{30875749-98DD-4B59-906D-656C4627F787}"/>
    <cellStyle name="Normal 5 2 4 2 2 2 2 3" xfId="11579" xr:uid="{69CF205C-1CB3-4EED-B8AE-44649DC4F650}"/>
    <cellStyle name="Normal 5 2 4 2 2 2 3" xfId="5223" xr:uid="{00000000-0005-0000-0000-0000D7180000}"/>
    <cellStyle name="Normal 5 2 4 2 2 2 3 2" xfId="13652" xr:uid="{8C3790FD-A39D-456E-B3B2-AD481A116E54}"/>
    <cellStyle name="Normal 5 2 4 2 2 2 4" xfId="9434" xr:uid="{2B464DEE-0627-45B6-8A45-FBF026A72297}"/>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2 2 2" xfId="16210" xr:uid="{844DF826-95ED-42B8-B526-DC481D98B82A}"/>
    <cellStyle name="Normal 5 2 4 2 2 3 2 3" xfId="11992" xr:uid="{6445712C-337E-4754-86D8-0376B4B86C48}"/>
    <cellStyle name="Normal 5 2 4 2 2 3 3" xfId="5636" xr:uid="{00000000-0005-0000-0000-0000DB180000}"/>
    <cellStyle name="Normal 5 2 4 2 2 3 3 2" xfId="14065" xr:uid="{CBF6FCFB-21B9-4AE8-A433-A0BCFDD0B210}"/>
    <cellStyle name="Normal 5 2 4 2 2 3 4" xfId="9847" xr:uid="{12BD6C79-B524-4837-82C1-A42C5F957108}"/>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2 2 2" xfId="16623" xr:uid="{FDA304E6-53B8-4B3E-A648-572CB094D9E7}"/>
    <cellStyle name="Normal 5 2 4 2 2 4 2 3" xfId="12405" xr:uid="{1DB763EB-F1EA-4960-AFC4-516046B03DF2}"/>
    <cellStyle name="Normal 5 2 4 2 2 4 3" xfId="6049" xr:uid="{00000000-0005-0000-0000-0000DF180000}"/>
    <cellStyle name="Normal 5 2 4 2 2 4 3 2" xfId="14478" xr:uid="{F0055900-D186-4B55-9622-E6AFDDB38A82}"/>
    <cellStyle name="Normal 5 2 4 2 2 4 4" xfId="10260" xr:uid="{EC8D0EBF-A7F0-4E98-84C5-7C3AA86113E9}"/>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2 2 2" xfId="17036" xr:uid="{6B44B166-CEAB-4E3D-840F-C09D186A178E}"/>
    <cellStyle name="Normal 5 2 4 2 2 5 2 3" xfId="12818" xr:uid="{39F5C14A-4D35-4BA3-BFA1-E85680CF6000}"/>
    <cellStyle name="Normal 5 2 4 2 2 5 3" xfId="6462" xr:uid="{00000000-0005-0000-0000-0000E3180000}"/>
    <cellStyle name="Normal 5 2 4 2 2 5 3 2" xfId="14891" xr:uid="{2175451C-AC9F-4497-A87F-45FDD450CC0F}"/>
    <cellStyle name="Normal 5 2 4 2 2 5 4" xfId="10673" xr:uid="{85D63F31-DA9E-4383-AC5F-89A80AB31FFA}"/>
    <cellStyle name="Normal 5 2 4 2 2 6" xfId="2590" xr:uid="{00000000-0005-0000-0000-0000E4180000}"/>
    <cellStyle name="Normal 5 2 4 2 2 6 2" xfId="6875" xr:uid="{00000000-0005-0000-0000-0000E5180000}"/>
    <cellStyle name="Normal 5 2 4 2 2 6 2 2" xfId="15304" xr:uid="{3F16F580-A0AC-4BE7-92B3-071EA500D86A}"/>
    <cellStyle name="Normal 5 2 4 2 2 6 3" xfId="11086" xr:uid="{DA000041-A6A4-4411-BE68-EE73EDA2F9C4}"/>
    <cellStyle name="Normal 5 2 4 2 2 7" xfId="4810" xr:uid="{00000000-0005-0000-0000-0000E6180000}"/>
    <cellStyle name="Normal 5 2 4 2 2 7 2" xfId="13239" xr:uid="{9B9A7079-E54F-4E0C-A63B-69DAEEE44D9E}"/>
    <cellStyle name="Normal 5 2 4 2 2 8" xfId="9021" xr:uid="{C16FA084-DDDD-4881-986F-8C85B9063FAC}"/>
    <cellStyle name="Normal 5 2 4 2 3" xfId="908" xr:uid="{00000000-0005-0000-0000-0000E7180000}"/>
    <cellStyle name="Normal 5 2 4 2 3 2" xfId="3143" xr:uid="{00000000-0005-0000-0000-0000E8180000}"/>
    <cellStyle name="Normal 5 2 4 2 3 2 2" xfId="7367" xr:uid="{00000000-0005-0000-0000-0000E9180000}"/>
    <cellStyle name="Normal 5 2 4 2 3 2 2 2" xfId="15796" xr:uid="{30677022-7A92-4508-85B4-F2E8C5B00D0A}"/>
    <cellStyle name="Normal 5 2 4 2 3 2 3" xfId="11578" xr:uid="{F0F984F8-D919-424A-8AA3-61AF38BCCCFB}"/>
    <cellStyle name="Normal 5 2 4 2 3 3" xfId="5222" xr:uid="{00000000-0005-0000-0000-0000EA180000}"/>
    <cellStyle name="Normal 5 2 4 2 3 3 2" xfId="13651" xr:uid="{36756279-D9F7-4A12-821C-7137C0E5E9B2}"/>
    <cellStyle name="Normal 5 2 4 2 3 4" xfId="9433" xr:uid="{D1220172-5F86-49CD-93EF-F1C572360154}"/>
    <cellStyle name="Normal 5 2 4 2 4" xfId="1326" xr:uid="{00000000-0005-0000-0000-0000EB180000}"/>
    <cellStyle name="Normal 5 2 4 2 4 2" xfId="3556" xr:uid="{00000000-0005-0000-0000-0000EC180000}"/>
    <cellStyle name="Normal 5 2 4 2 4 2 2" xfId="7780" xr:uid="{00000000-0005-0000-0000-0000ED180000}"/>
    <cellStyle name="Normal 5 2 4 2 4 2 2 2" xfId="16209" xr:uid="{DF92282C-C956-4AEB-988A-4E77FCF243D2}"/>
    <cellStyle name="Normal 5 2 4 2 4 2 3" xfId="11991" xr:uid="{10DF78D8-A880-40DE-A34E-F814F4646819}"/>
    <cellStyle name="Normal 5 2 4 2 4 3" xfId="5635" xr:uid="{00000000-0005-0000-0000-0000EE180000}"/>
    <cellStyle name="Normal 5 2 4 2 4 3 2" xfId="14064" xr:uid="{FD13CB5F-5DEE-4673-A430-5670452FA84F}"/>
    <cellStyle name="Normal 5 2 4 2 4 4" xfId="9846" xr:uid="{B1ACD544-7BD7-4DBA-BB8E-986B0B516787}"/>
    <cellStyle name="Normal 5 2 4 2 5" xfId="1739" xr:uid="{00000000-0005-0000-0000-0000EF180000}"/>
    <cellStyle name="Normal 5 2 4 2 5 2" xfId="3969" xr:uid="{00000000-0005-0000-0000-0000F0180000}"/>
    <cellStyle name="Normal 5 2 4 2 5 2 2" xfId="8193" xr:uid="{00000000-0005-0000-0000-0000F1180000}"/>
    <cellStyle name="Normal 5 2 4 2 5 2 2 2" xfId="16622" xr:uid="{75DEC15F-54F6-46C2-A41E-51325688CA00}"/>
    <cellStyle name="Normal 5 2 4 2 5 2 3" xfId="12404" xr:uid="{E43CF11D-766B-4FBD-9A99-03C8772D4BA2}"/>
    <cellStyle name="Normal 5 2 4 2 5 3" xfId="6048" xr:uid="{00000000-0005-0000-0000-0000F2180000}"/>
    <cellStyle name="Normal 5 2 4 2 5 3 2" xfId="14477" xr:uid="{6C3087B8-D5DB-4F37-9584-71D5466FE9FB}"/>
    <cellStyle name="Normal 5 2 4 2 5 4" xfId="10259" xr:uid="{EF5BE86C-C832-4247-9086-8F139DB4967F}"/>
    <cellStyle name="Normal 5 2 4 2 6" xfId="2153" xr:uid="{00000000-0005-0000-0000-0000F3180000}"/>
    <cellStyle name="Normal 5 2 4 2 6 2" xfId="4382" xr:uid="{00000000-0005-0000-0000-0000F4180000}"/>
    <cellStyle name="Normal 5 2 4 2 6 2 2" xfId="8606" xr:uid="{00000000-0005-0000-0000-0000F5180000}"/>
    <cellStyle name="Normal 5 2 4 2 6 2 2 2" xfId="17035" xr:uid="{C0F19C97-6E2D-48F4-A83B-F4A7AA998A8C}"/>
    <cellStyle name="Normal 5 2 4 2 6 2 3" xfId="12817" xr:uid="{830CD258-3B38-4001-9902-649B234C15D9}"/>
    <cellStyle name="Normal 5 2 4 2 6 3" xfId="6461" xr:uid="{00000000-0005-0000-0000-0000F6180000}"/>
    <cellStyle name="Normal 5 2 4 2 6 3 2" xfId="14890" xr:uid="{99CBC5A3-5DF9-4475-B9E8-0EF7272B77C2}"/>
    <cellStyle name="Normal 5 2 4 2 6 4" xfId="10672" xr:uid="{1121F83C-231C-48DB-AE51-3A959C90F6BE}"/>
    <cellStyle name="Normal 5 2 4 2 7" xfId="2589" xr:uid="{00000000-0005-0000-0000-0000F7180000}"/>
    <cellStyle name="Normal 5 2 4 2 7 2" xfId="6874" xr:uid="{00000000-0005-0000-0000-0000F8180000}"/>
    <cellStyle name="Normal 5 2 4 2 7 2 2" xfId="15303" xr:uid="{32A66978-D514-4C48-A59A-8143DFDD8DB3}"/>
    <cellStyle name="Normal 5 2 4 2 7 3" xfId="11085" xr:uid="{A91BF342-2A1C-4645-9E76-A41132F98859}"/>
    <cellStyle name="Normal 5 2 4 2 8" xfId="4809" xr:uid="{00000000-0005-0000-0000-0000F9180000}"/>
    <cellStyle name="Normal 5 2 4 2 8 2" xfId="13238" xr:uid="{CA306A61-145C-4816-8EC8-A4A4461446A4}"/>
    <cellStyle name="Normal 5 2 4 2 9" xfId="9020" xr:uid="{E9B09F46-2395-462D-963C-349C5E479B81}"/>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2 2 2" xfId="15798" xr:uid="{F22C9F44-2BC4-424D-9615-98DD29876034}"/>
    <cellStyle name="Normal 5 2 4 3 2 2 3" xfId="11580" xr:uid="{523E27CF-9C3A-488A-A9EC-3BC3CC13AA43}"/>
    <cellStyle name="Normal 5 2 4 3 2 3" xfId="5224" xr:uid="{00000000-0005-0000-0000-0000FE180000}"/>
    <cellStyle name="Normal 5 2 4 3 2 3 2" xfId="13653" xr:uid="{B2312B8B-7591-45D8-BF5D-CD7B737BBFEF}"/>
    <cellStyle name="Normal 5 2 4 3 2 4" xfId="9435" xr:uid="{09DF107E-1D80-447F-B8EA-2AAA0A0B9542}"/>
    <cellStyle name="Normal 5 2 4 3 3" xfId="1328" xr:uid="{00000000-0005-0000-0000-0000FF180000}"/>
    <cellStyle name="Normal 5 2 4 3 3 2" xfId="3558" xr:uid="{00000000-0005-0000-0000-000000190000}"/>
    <cellStyle name="Normal 5 2 4 3 3 2 2" xfId="7782" xr:uid="{00000000-0005-0000-0000-000001190000}"/>
    <cellStyle name="Normal 5 2 4 3 3 2 2 2" xfId="16211" xr:uid="{7D51C764-F8B0-48FA-877C-101C4502F038}"/>
    <cellStyle name="Normal 5 2 4 3 3 2 3" xfId="11993" xr:uid="{6C546804-76F3-4EE5-B0DF-57C7FAACA011}"/>
    <cellStyle name="Normal 5 2 4 3 3 3" xfId="5637" xr:uid="{00000000-0005-0000-0000-000002190000}"/>
    <cellStyle name="Normal 5 2 4 3 3 3 2" xfId="14066" xr:uid="{65643EEE-10A7-42C8-BCAE-7CA356C95FC1}"/>
    <cellStyle name="Normal 5 2 4 3 3 4" xfId="9848" xr:uid="{040147EE-C1A4-49EB-8007-7C49808C617E}"/>
    <cellStyle name="Normal 5 2 4 3 4" xfId="1741" xr:uid="{00000000-0005-0000-0000-000003190000}"/>
    <cellStyle name="Normal 5 2 4 3 4 2" xfId="3971" xr:uid="{00000000-0005-0000-0000-000004190000}"/>
    <cellStyle name="Normal 5 2 4 3 4 2 2" xfId="8195" xr:uid="{00000000-0005-0000-0000-000005190000}"/>
    <cellStyle name="Normal 5 2 4 3 4 2 2 2" xfId="16624" xr:uid="{5FCC7CEE-ECCB-4980-8D7A-ED6294FB5874}"/>
    <cellStyle name="Normal 5 2 4 3 4 2 3" xfId="12406" xr:uid="{408375A8-EC4D-455E-B8E6-693E97EC6E1F}"/>
    <cellStyle name="Normal 5 2 4 3 4 3" xfId="6050" xr:uid="{00000000-0005-0000-0000-000006190000}"/>
    <cellStyle name="Normal 5 2 4 3 4 3 2" xfId="14479" xr:uid="{B55820F9-3B99-4B2B-992C-8B6628DCB27B}"/>
    <cellStyle name="Normal 5 2 4 3 4 4" xfId="10261" xr:uid="{96B77F85-810B-4396-ACE3-CCF079C7E7E3}"/>
    <cellStyle name="Normal 5 2 4 3 5" xfId="2155" xr:uid="{00000000-0005-0000-0000-000007190000}"/>
    <cellStyle name="Normal 5 2 4 3 5 2" xfId="4384" xr:uid="{00000000-0005-0000-0000-000008190000}"/>
    <cellStyle name="Normal 5 2 4 3 5 2 2" xfId="8608" xr:uid="{00000000-0005-0000-0000-000009190000}"/>
    <cellStyle name="Normal 5 2 4 3 5 2 2 2" xfId="17037" xr:uid="{78C2E20E-25F8-48CE-9DB7-D48F45727B90}"/>
    <cellStyle name="Normal 5 2 4 3 5 2 3" xfId="12819" xr:uid="{1E0236F0-8350-4DBD-B178-C061159234A7}"/>
    <cellStyle name="Normal 5 2 4 3 5 3" xfId="6463" xr:uid="{00000000-0005-0000-0000-00000A190000}"/>
    <cellStyle name="Normal 5 2 4 3 5 3 2" xfId="14892" xr:uid="{F5F72E2B-F979-4FF1-9CC0-20C5A9B2D860}"/>
    <cellStyle name="Normal 5 2 4 3 5 4" xfId="10674" xr:uid="{A7169193-9935-4486-AE7E-37204597C81C}"/>
    <cellStyle name="Normal 5 2 4 3 6" xfId="2591" xr:uid="{00000000-0005-0000-0000-00000B190000}"/>
    <cellStyle name="Normal 5 2 4 3 6 2" xfId="6876" xr:uid="{00000000-0005-0000-0000-00000C190000}"/>
    <cellStyle name="Normal 5 2 4 3 6 2 2" xfId="15305" xr:uid="{5D3F8D7B-832E-43CF-A8FF-8CF7A676DBC5}"/>
    <cellStyle name="Normal 5 2 4 3 6 3" xfId="11087" xr:uid="{FFD50199-49E7-48AD-8E91-E9F7D8DDDBE3}"/>
    <cellStyle name="Normal 5 2 4 3 7" xfId="4811" xr:uid="{00000000-0005-0000-0000-00000D190000}"/>
    <cellStyle name="Normal 5 2 4 3 7 2" xfId="13240" xr:uid="{59D4FB3D-C696-4CBF-AA0C-218A32AFF017}"/>
    <cellStyle name="Normal 5 2 4 3 8" xfId="9022" xr:uid="{EB03B92B-FEF7-497C-BCDA-1B4C63E087C5}"/>
    <cellStyle name="Normal 5 2 4 4" xfId="907" xr:uid="{00000000-0005-0000-0000-00000E190000}"/>
    <cellStyle name="Normal 5 2 4 4 2" xfId="3142" xr:uid="{00000000-0005-0000-0000-00000F190000}"/>
    <cellStyle name="Normal 5 2 4 4 2 2" xfId="7366" xr:uid="{00000000-0005-0000-0000-000010190000}"/>
    <cellStyle name="Normal 5 2 4 4 2 2 2" xfId="15795" xr:uid="{3ACB8A2B-D800-4571-8CB7-1455484DE8AE}"/>
    <cellStyle name="Normal 5 2 4 4 2 3" xfId="11577" xr:uid="{3D590100-5904-4E62-A84E-E61B0312AF1D}"/>
    <cellStyle name="Normal 5 2 4 4 3" xfId="5221" xr:uid="{00000000-0005-0000-0000-000011190000}"/>
    <cellStyle name="Normal 5 2 4 4 3 2" xfId="13650" xr:uid="{79322606-6D49-4376-AF2C-621CACF4AD3A}"/>
    <cellStyle name="Normal 5 2 4 4 4" xfId="9432" xr:uid="{D1DE47A4-ADC5-4700-8159-5ACA4420C034}"/>
    <cellStyle name="Normal 5 2 4 5" xfId="1325" xr:uid="{00000000-0005-0000-0000-000012190000}"/>
    <cellStyle name="Normal 5 2 4 5 2" xfId="3555" xr:uid="{00000000-0005-0000-0000-000013190000}"/>
    <cellStyle name="Normal 5 2 4 5 2 2" xfId="7779" xr:uid="{00000000-0005-0000-0000-000014190000}"/>
    <cellStyle name="Normal 5 2 4 5 2 2 2" xfId="16208" xr:uid="{E9C21780-B3D3-4F6F-AE2E-D1656DE80649}"/>
    <cellStyle name="Normal 5 2 4 5 2 3" xfId="11990" xr:uid="{668509DF-2C3E-401B-88DD-C2E64EBA2661}"/>
    <cellStyle name="Normal 5 2 4 5 3" xfId="5634" xr:uid="{00000000-0005-0000-0000-000015190000}"/>
    <cellStyle name="Normal 5 2 4 5 3 2" xfId="14063" xr:uid="{B8086CDE-C346-4E95-98CC-381F08CCC0BC}"/>
    <cellStyle name="Normal 5 2 4 5 4" xfId="9845" xr:uid="{25B2C966-CE8E-4C0C-B185-3B99620FE3C3}"/>
    <cellStyle name="Normal 5 2 4 6" xfId="1738" xr:uid="{00000000-0005-0000-0000-000016190000}"/>
    <cellStyle name="Normal 5 2 4 6 2" xfId="3968" xr:uid="{00000000-0005-0000-0000-000017190000}"/>
    <cellStyle name="Normal 5 2 4 6 2 2" xfId="8192" xr:uid="{00000000-0005-0000-0000-000018190000}"/>
    <cellStyle name="Normal 5 2 4 6 2 2 2" xfId="16621" xr:uid="{F2C5A5CA-2A8C-49D7-A889-DFB147431D74}"/>
    <cellStyle name="Normal 5 2 4 6 2 3" xfId="12403" xr:uid="{1482FB57-5B7D-45EB-9CD8-71BDFE8ECD8E}"/>
    <cellStyle name="Normal 5 2 4 6 3" xfId="6047" xr:uid="{00000000-0005-0000-0000-000019190000}"/>
    <cellStyle name="Normal 5 2 4 6 3 2" xfId="14476" xr:uid="{AEA3AF10-350B-4490-8A99-F16987AA9AE8}"/>
    <cellStyle name="Normal 5 2 4 6 4" xfId="10258" xr:uid="{82EB7AF1-E45D-4F95-B3DB-AE9A9EB3C40A}"/>
    <cellStyle name="Normal 5 2 4 7" xfId="2152" xr:uid="{00000000-0005-0000-0000-00001A190000}"/>
    <cellStyle name="Normal 5 2 4 7 2" xfId="4381" xr:uid="{00000000-0005-0000-0000-00001B190000}"/>
    <cellStyle name="Normal 5 2 4 7 2 2" xfId="8605" xr:uid="{00000000-0005-0000-0000-00001C190000}"/>
    <cellStyle name="Normal 5 2 4 7 2 2 2" xfId="17034" xr:uid="{32800D58-1DAB-4482-859A-B07DA815AEF5}"/>
    <cellStyle name="Normal 5 2 4 7 2 3" xfId="12816" xr:uid="{32FD97D2-BBF9-4731-8DBA-ED0DE954D038}"/>
    <cellStyle name="Normal 5 2 4 7 3" xfId="6460" xr:uid="{00000000-0005-0000-0000-00001D190000}"/>
    <cellStyle name="Normal 5 2 4 7 3 2" xfId="14889" xr:uid="{ECBAF064-EFEE-4073-A1E0-CDBB1B33AACB}"/>
    <cellStyle name="Normal 5 2 4 7 4" xfId="10671" xr:uid="{7D11A857-CFBB-46B5-A396-E1D682C70AF9}"/>
    <cellStyle name="Normal 5 2 4 8" xfId="2588" xr:uid="{00000000-0005-0000-0000-00001E190000}"/>
    <cellStyle name="Normal 5 2 4 8 2" xfId="6873" xr:uid="{00000000-0005-0000-0000-00001F190000}"/>
    <cellStyle name="Normal 5 2 4 8 2 2" xfId="15302" xr:uid="{B5F8251C-1825-4D21-94DB-7431E2AA42C7}"/>
    <cellStyle name="Normal 5 2 4 8 3" xfId="11084" xr:uid="{6ED05D51-F84B-412C-9C67-4C68131E3E51}"/>
    <cellStyle name="Normal 5 2 4 9" xfId="4808" xr:uid="{00000000-0005-0000-0000-000020190000}"/>
    <cellStyle name="Normal 5 2 4 9 2" xfId="13237" xr:uid="{8D718DD9-C081-482D-A0AE-4DCF5E407804}"/>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2 2 2" xfId="15800" xr:uid="{DD0E617C-CE8D-4B12-9A05-57327093C676}"/>
    <cellStyle name="Normal 5 2 5 2 2 2 3" xfId="11582" xr:uid="{A36549E7-C997-4A0A-87C6-0B1E40D81804}"/>
    <cellStyle name="Normal 5 2 5 2 2 3" xfId="5226" xr:uid="{00000000-0005-0000-0000-000026190000}"/>
    <cellStyle name="Normal 5 2 5 2 2 3 2" xfId="13655" xr:uid="{FBCE2089-4F30-4ABE-94F2-DCC5E48308F7}"/>
    <cellStyle name="Normal 5 2 5 2 2 4" xfId="9437" xr:uid="{47AD605A-D743-45CB-8E19-05DB7CA0E4DF}"/>
    <cellStyle name="Normal 5 2 5 2 3" xfId="1330" xr:uid="{00000000-0005-0000-0000-000027190000}"/>
    <cellStyle name="Normal 5 2 5 2 3 2" xfId="3560" xr:uid="{00000000-0005-0000-0000-000028190000}"/>
    <cellStyle name="Normal 5 2 5 2 3 2 2" xfId="7784" xr:uid="{00000000-0005-0000-0000-000029190000}"/>
    <cellStyle name="Normal 5 2 5 2 3 2 2 2" xfId="16213" xr:uid="{0094AFCB-8082-4446-A698-59A9FAA544AC}"/>
    <cellStyle name="Normal 5 2 5 2 3 2 3" xfId="11995" xr:uid="{7186584B-BBF6-4851-8B3D-BD621FEC8746}"/>
    <cellStyle name="Normal 5 2 5 2 3 3" xfId="5639" xr:uid="{00000000-0005-0000-0000-00002A190000}"/>
    <cellStyle name="Normal 5 2 5 2 3 3 2" xfId="14068" xr:uid="{7464C80D-F0E8-4202-85FF-5C98CFEB5827}"/>
    <cellStyle name="Normal 5 2 5 2 3 4" xfId="9850" xr:uid="{C18D80DF-A776-4E8B-ACC8-54739D4EEDC9}"/>
    <cellStyle name="Normal 5 2 5 2 4" xfId="1743" xr:uid="{00000000-0005-0000-0000-00002B190000}"/>
    <cellStyle name="Normal 5 2 5 2 4 2" xfId="3973" xr:uid="{00000000-0005-0000-0000-00002C190000}"/>
    <cellStyle name="Normal 5 2 5 2 4 2 2" xfId="8197" xr:uid="{00000000-0005-0000-0000-00002D190000}"/>
    <cellStyle name="Normal 5 2 5 2 4 2 2 2" xfId="16626" xr:uid="{1682243F-88F3-44D7-8DCB-0372D73DF1C2}"/>
    <cellStyle name="Normal 5 2 5 2 4 2 3" xfId="12408" xr:uid="{A3A394CB-5412-422F-972C-229C5869EC88}"/>
    <cellStyle name="Normal 5 2 5 2 4 3" xfId="6052" xr:uid="{00000000-0005-0000-0000-00002E190000}"/>
    <cellStyle name="Normal 5 2 5 2 4 3 2" xfId="14481" xr:uid="{6FB89B25-945E-4286-8783-FAC5F6B0707F}"/>
    <cellStyle name="Normal 5 2 5 2 4 4" xfId="10263" xr:uid="{1DD450F8-B3CE-4880-9619-0A52EC316479}"/>
    <cellStyle name="Normal 5 2 5 2 5" xfId="2157" xr:uid="{00000000-0005-0000-0000-00002F190000}"/>
    <cellStyle name="Normal 5 2 5 2 5 2" xfId="4386" xr:uid="{00000000-0005-0000-0000-000030190000}"/>
    <cellStyle name="Normal 5 2 5 2 5 2 2" xfId="8610" xr:uid="{00000000-0005-0000-0000-000031190000}"/>
    <cellStyle name="Normal 5 2 5 2 5 2 2 2" xfId="17039" xr:uid="{6C5E86ED-E0B8-466A-BD8D-7AC27BEF7D5A}"/>
    <cellStyle name="Normal 5 2 5 2 5 2 3" xfId="12821" xr:uid="{D49B2BE1-8DC3-4CAC-A622-004DA6952567}"/>
    <cellStyle name="Normal 5 2 5 2 5 3" xfId="6465" xr:uid="{00000000-0005-0000-0000-000032190000}"/>
    <cellStyle name="Normal 5 2 5 2 5 3 2" xfId="14894" xr:uid="{4841EAD9-03FB-48B7-BC72-21309303F782}"/>
    <cellStyle name="Normal 5 2 5 2 5 4" xfId="10676" xr:uid="{8B782540-412A-49D7-9B42-5DB1836E6F3F}"/>
    <cellStyle name="Normal 5 2 5 2 6" xfId="2593" xr:uid="{00000000-0005-0000-0000-000033190000}"/>
    <cellStyle name="Normal 5 2 5 2 6 2" xfId="6878" xr:uid="{00000000-0005-0000-0000-000034190000}"/>
    <cellStyle name="Normal 5 2 5 2 6 2 2" xfId="15307" xr:uid="{BC719EA1-04E7-41EC-AB95-2670F39F91CE}"/>
    <cellStyle name="Normal 5 2 5 2 6 3" xfId="11089" xr:uid="{74AA1E73-A3DE-40E4-9625-F23D7CC300A4}"/>
    <cellStyle name="Normal 5 2 5 2 7" xfId="4813" xr:uid="{00000000-0005-0000-0000-000035190000}"/>
    <cellStyle name="Normal 5 2 5 2 7 2" xfId="13242" xr:uid="{6D4F25B6-CFD3-48B2-8190-7330053A4FF5}"/>
    <cellStyle name="Normal 5 2 5 2 8" xfId="9024" xr:uid="{FF2EFBBB-69C7-4263-8D26-B1E4F91856FD}"/>
    <cellStyle name="Normal 5 2 5 3" xfId="911" xr:uid="{00000000-0005-0000-0000-000036190000}"/>
    <cellStyle name="Normal 5 2 5 3 2" xfId="3146" xr:uid="{00000000-0005-0000-0000-000037190000}"/>
    <cellStyle name="Normal 5 2 5 3 2 2" xfId="7370" xr:uid="{00000000-0005-0000-0000-000038190000}"/>
    <cellStyle name="Normal 5 2 5 3 2 2 2" xfId="15799" xr:uid="{45235B21-1DFC-4F60-8D67-89FC448FC7CE}"/>
    <cellStyle name="Normal 5 2 5 3 2 3" xfId="11581" xr:uid="{D7C2D9FD-89F6-4A60-AE08-EEBDBBAC01EF}"/>
    <cellStyle name="Normal 5 2 5 3 3" xfId="5225" xr:uid="{00000000-0005-0000-0000-000039190000}"/>
    <cellStyle name="Normal 5 2 5 3 3 2" xfId="13654" xr:uid="{C9B8E6EA-90D4-47A5-811E-9B44BE7A158E}"/>
    <cellStyle name="Normal 5 2 5 3 4" xfId="9436" xr:uid="{09E7C4EF-6B6B-40AC-B0C5-989907B7C88F}"/>
    <cellStyle name="Normal 5 2 5 4" xfId="1329" xr:uid="{00000000-0005-0000-0000-00003A190000}"/>
    <cellStyle name="Normal 5 2 5 4 2" xfId="3559" xr:uid="{00000000-0005-0000-0000-00003B190000}"/>
    <cellStyle name="Normal 5 2 5 4 2 2" xfId="7783" xr:uid="{00000000-0005-0000-0000-00003C190000}"/>
    <cellStyle name="Normal 5 2 5 4 2 2 2" xfId="16212" xr:uid="{15CBE951-0363-49F8-89EC-2DBD24D70ECB}"/>
    <cellStyle name="Normal 5 2 5 4 2 3" xfId="11994" xr:uid="{8C7F2B89-38A3-4B3D-ABE9-4AB1F5871E7D}"/>
    <cellStyle name="Normal 5 2 5 4 3" xfId="5638" xr:uid="{00000000-0005-0000-0000-00003D190000}"/>
    <cellStyle name="Normal 5 2 5 4 3 2" xfId="14067" xr:uid="{54987CA6-05D0-4054-80E1-CF406F77DA7D}"/>
    <cellStyle name="Normal 5 2 5 4 4" xfId="9849" xr:uid="{1A7E1C74-9979-4F3A-BA88-3011948122D7}"/>
    <cellStyle name="Normal 5 2 5 5" xfId="1742" xr:uid="{00000000-0005-0000-0000-00003E190000}"/>
    <cellStyle name="Normal 5 2 5 5 2" xfId="3972" xr:uid="{00000000-0005-0000-0000-00003F190000}"/>
    <cellStyle name="Normal 5 2 5 5 2 2" xfId="8196" xr:uid="{00000000-0005-0000-0000-000040190000}"/>
    <cellStyle name="Normal 5 2 5 5 2 2 2" xfId="16625" xr:uid="{DC9034D0-7C54-40FF-A2A7-AC85FD2F43CC}"/>
    <cellStyle name="Normal 5 2 5 5 2 3" xfId="12407" xr:uid="{20A72C24-35CC-480F-9971-FF64A2A6FF00}"/>
    <cellStyle name="Normal 5 2 5 5 3" xfId="6051" xr:uid="{00000000-0005-0000-0000-000041190000}"/>
    <cellStyle name="Normal 5 2 5 5 3 2" xfId="14480" xr:uid="{9EF28825-ED70-407F-BC36-538AD188C3B6}"/>
    <cellStyle name="Normal 5 2 5 5 4" xfId="10262" xr:uid="{642F5581-2253-4204-91CA-F8FFB52B1364}"/>
    <cellStyle name="Normal 5 2 5 6" xfId="2156" xr:uid="{00000000-0005-0000-0000-000042190000}"/>
    <cellStyle name="Normal 5 2 5 6 2" xfId="4385" xr:uid="{00000000-0005-0000-0000-000043190000}"/>
    <cellStyle name="Normal 5 2 5 6 2 2" xfId="8609" xr:uid="{00000000-0005-0000-0000-000044190000}"/>
    <cellStyle name="Normal 5 2 5 6 2 2 2" xfId="17038" xr:uid="{88E2A33E-9BE8-4C7A-BB75-68B370E8E13D}"/>
    <cellStyle name="Normal 5 2 5 6 2 3" xfId="12820" xr:uid="{8A2C7A19-30E1-44FD-B5BC-6F35E0428466}"/>
    <cellStyle name="Normal 5 2 5 6 3" xfId="6464" xr:uid="{00000000-0005-0000-0000-000045190000}"/>
    <cellStyle name="Normal 5 2 5 6 3 2" xfId="14893" xr:uid="{B8E35641-E5B1-4314-8A29-A42902251470}"/>
    <cellStyle name="Normal 5 2 5 6 4" xfId="10675" xr:uid="{749043DC-466A-4D95-BD13-AC54775D7AA1}"/>
    <cellStyle name="Normal 5 2 5 7" xfId="2592" xr:uid="{00000000-0005-0000-0000-000046190000}"/>
    <cellStyle name="Normal 5 2 5 7 2" xfId="6877" xr:uid="{00000000-0005-0000-0000-000047190000}"/>
    <cellStyle name="Normal 5 2 5 7 2 2" xfId="15306" xr:uid="{7EB5E8C8-D32B-44F0-886A-E0CB603947BB}"/>
    <cellStyle name="Normal 5 2 5 7 3" xfId="11088" xr:uid="{662472A6-755D-4079-B6B9-D4D571C08F58}"/>
    <cellStyle name="Normal 5 2 5 8" xfId="4812" xr:uid="{00000000-0005-0000-0000-000048190000}"/>
    <cellStyle name="Normal 5 2 5 8 2" xfId="13241" xr:uid="{9B21047C-A0EA-4B3F-9B80-D2022B1326CB}"/>
    <cellStyle name="Normal 5 2 5 9" xfId="9023" xr:uid="{FE6711EE-1608-4591-AFCA-0BE712597DF1}"/>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2 2 2" xfId="15801" xr:uid="{F725B03A-5391-48AA-A338-DA93EF25EE1A}"/>
    <cellStyle name="Normal 5 2 6 2 2 3" xfId="11583" xr:uid="{6B7ED766-9997-45F0-A6B8-1939888433E8}"/>
    <cellStyle name="Normal 5 2 6 2 3" xfId="5227" xr:uid="{00000000-0005-0000-0000-00004D190000}"/>
    <cellStyle name="Normal 5 2 6 2 3 2" xfId="13656" xr:uid="{307A0C7F-3A6A-486F-9DDA-B53EE28BD70E}"/>
    <cellStyle name="Normal 5 2 6 2 4" xfId="9438" xr:uid="{C2D01B15-B2AB-4C30-BC17-6AC4E603A608}"/>
    <cellStyle name="Normal 5 2 6 3" xfId="1331" xr:uid="{00000000-0005-0000-0000-00004E190000}"/>
    <cellStyle name="Normal 5 2 6 3 2" xfId="3561" xr:uid="{00000000-0005-0000-0000-00004F190000}"/>
    <cellStyle name="Normal 5 2 6 3 2 2" xfId="7785" xr:uid="{00000000-0005-0000-0000-000050190000}"/>
    <cellStyle name="Normal 5 2 6 3 2 2 2" xfId="16214" xr:uid="{97EB640F-4802-4BCA-8D08-2C5697017D5A}"/>
    <cellStyle name="Normal 5 2 6 3 2 3" xfId="11996" xr:uid="{8A83EE43-AB85-431C-A42B-452768480FE1}"/>
    <cellStyle name="Normal 5 2 6 3 3" xfId="5640" xr:uid="{00000000-0005-0000-0000-000051190000}"/>
    <cellStyle name="Normal 5 2 6 3 3 2" xfId="14069" xr:uid="{EA6B2550-4FCA-426D-BE81-A1429A9FDDA6}"/>
    <cellStyle name="Normal 5 2 6 3 4" xfId="9851" xr:uid="{34E8420E-EC57-4DF8-A8ED-88ABC998FDAC}"/>
    <cellStyle name="Normal 5 2 6 4" xfId="1744" xr:uid="{00000000-0005-0000-0000-000052190000}"/>
    <cellStyle name="Normal 5 2 6 4 2" xfId="3974" xr:uid="{00000000-0005-0000-0000-000053190000}"/>
    <cellStyle name="Normal 5 2 6 4 2 2" xfId="8198" xr:uid="{00000000-0005-0000-0000-000054190000}"/>
    <cellStyle name="Normal 5 2 6 4 2 2 2" xfId="16627" xr:uid="{863ABE19-CDB4-4AA1-BCD6-07A1A61DC190}"/>
    <cellStyle name="Normal 5 2 6 4 2 3" xfId="12409" xr:uid="{F018E424-BED3-48DF-B9CC-FE5826D69A19}"/>
    <cellStyle name="Normal 5 2 6 4 3" xfId="6053" xr:uid="{00000000-0005-0000-0000-000055190000}"/>
    <cellStyle name="Normal 5 2 6 4 3 2" xfId="14482" xr:uid="{5EAB43F2-7E15-47FC-8921-500579A0D516}"/>
    <cellStyle name="Normal 5 2 6 4 4" xfId="10264" xr:uid="{582F50D0-834E-49BC-A1AB-3BBCE0BCA5AE}"/>
    <cellStyle name="Normal 5 2 6 5" xfId="2158" xr:uid="{00000000-0005-0000-0000-000056190000}"/>
    <cellStyle name="Normal 5 2 6 5 2" xfId="4387" xr:uid="{00000000-0005-0000-0000-000057190000}"/>
    <cellStyle name="Normal 5 2 6 5 2 2" xfId="8611" xr:uid="{00000000-0005-0000-0000-000058190000}"/>
    <cellStyle name="Normal 5 2 6 5 2 2 2" xfId="17040" xr:uid="{4B479CB8-6A2F-4286-83F6-8E7A0526D476}"/>
    <cellStyle name="Normal 5 2 6 5 2 3" xfId="12822" xr:uid="{B86432F8-717F-4831-9019-3F32B70E2D51}"/>
    <cellStyle name="Normal 5 2 6 5 3" xfId="6466" xr:uid="{00000000-0005-0000-0000-000059190000}"/>
    <cellStyle name="Normal 5 2 6 5 3 2" xfId="14895" xr:uid="{02879864-8CDD-4EBF-AA84-32C8581D8202}"/>
    <cellStyle name="Normal 5 2 6 5 4" xfId="10677" xr:uid="{7A87FFC7-C454-4062-AB28-AC90BE8E9F09}"/>
    <cellStyle name="Normal 5 2 6 6" xfId="2594" xr:uid="{00000000-0005-0000-0000-00005A190000}"/>
    <cellStyle name="Normal 5 2 6 6 2" xfId="6879" xr:uid="{00000000-0005-0000-0000-00005B190000}"/>
    <cellStyle name="Normal 5 2 6 6 2 2" xfId="15308" xr:uid="{1AD5AE9A-BEF2-4202-B35F-95805A786258}"/>
    <cellStyle name="Normal 5 2 6 6 3" xfId="11090" xr:uid="{A1379940-A8FB-4884-95FF-6057EBF05C01}"/>
    <cellStyle name="Normal 5 2 6 7" xfId="4814" xr:uid="{00000000-0005-0000-0000-00005C190000}"/>
    <cellStyle name="Normal 5 2 6 7 2" xfId="13243" xr:uid="{E6CB8840-036B-47F3-8274-77BDEAB9E9D5}"/>
    <cellStyle name="Normal 5 2 6 8" xfId="9025" xr:uid="{DB5B5FC1-169A-4AE3-9371-E2549A17C606}"/>
    <cellStyle name="Normal 5 2 7" xfId="882" xr:uid="{00000000-0005-0000-0000-00005D190000}"/>
    <cellStyle name="Normal 5 2 7 2" xfId="3117" xr:uid="{00000000-0005-0000-0000-00005E190000}"/>
    <cellStyle name="Normal 5 2 7 2 2" xfId="7341" xr:uid="{00000000-0005-0000-0000-00005F190000}"/>
    <cellStyle name="Normal 5 2 7 2 2 2" xfId="15770" xr:uid="{657CEE7B-6746-4E7F-83E2-5C4B599887C4}"/>
    <cellStyle name="Normal 5 2 7 2 3" xfId="11552" xr:uid="{B408B542-F34D-43E3-AAB5-4331975548BA}"/>
    <cellStyle name="Normal 5 2 7 3" xfId="5196" xr:uid="{00000000-0005-0000-0000-000060190000}"/>
    <cellStyle name="Normal 5 2 7 3 2" xfId="13625" xr:uid="{226932E2-8C6E-440D-9FB3-5820342F67E6}"/>
    <cellStyle name="Normal 5 2 7 4" xfId="9407" xr:uid="{9489A17F-5FE9-4DDA-AEB8-8FB90F36251F}"/>
    <cellStyle name="Normal 5 2 8" xfId="1300" xr:uid="{00000000-0005-0000-0000-000061190000}"/>
    <cellStyle name="Normal 5 2 8 2" xfId="3530" xr:uid="{00000000-0005-0000-0000-000062190000}"/>
    <cellStyle name="Normal 5 2 8 2 2" xfId="7754" xr:uid="{00000000-0005-0000-0000-000063190000}"/>
    <cellStyle name="Normal 5 2 8 2 2 2" xfId="16183" xr:uid="{9371193B-3DA3-44C1-9FA3-47871DF7C270}"/>
    <cellStyle name="Normal 5 2 8 2 3" xfId="11965" xr:uid="{D4944590-CECB-471B-A181-6ADA28FBFE26}"/>
    <cellStyle name="Normal 5 2 8 3" xfId="5609" xr:uid="{00000000-0005-0000-0000-000064190000}"/>
    <cellStyle name="Normal 5 2 8 3 2" xfId="14038" xr:uid="{E733D2C3-DB59-4811-B76F-74FDA5288D07}"/>
    <cellStyle name="Normal 5 2 8 4" xfId="9820" xr:uid="{05BD1EE9-A460-4381-9978-BCE70612D10F}"/>
    <cellStyle name="Normal 5 2 9" xfId="1713" xr:uid="{00000000-0005-0000-0000-000065190000}"/>
    <cellStyle name="Normal 5 2 9 2" xfId="3943" xr:uid="{00000000-0005-0000-0000-000066190000}"/>
    <cellStyle name="Normal 5 2 9 2 2" xfId="8167" xr:uid="{00000000-0005-0000-0000-000067190000}"/>
    <cellStyle name="Normal 5 2 9 2 2 2" xfId="16596" xr:uid="{9470D270-1257-4DEB-90F6-8C11C7266519}"/>
    <cellStyle name="Normal 5 2 9 2 3" xfId="12378" xr:uid="{CE0C0B9D-D2CA-4E0E-9C28-E718DCDDFA11}"/>
    <cellStyle name="Normal 5 2 9 3" xfId="6022" xr:uid="{00000000-0005-0000-0000-000068190000}"/>
    <cellStyle name="Normal 5 2 9 3 2" xfId="14451" xr:uid="{D184C60A-A057-425A-9FC9-E1F6D74B653C}"/>
    <cellStyle name="Normal 5 2 9 4" xfId="10233" xr:uid="{3EAB7515-4368-48CB-8812-BB4E068E6FDB}"/>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2 2 2" xfId="17041" xr:uid="{33182F7A-501B-4159-B072-155AC993020E}"/>
    <cellStyle name="Normal 5 3 10 2 3" xfId="12823" xr:uid="{5F693B8C-EDCE-40C2-B443-B6ACD8AC20A3}"/>
    <cellStyle name="Normal 5 3 10 3" xfId="6467" xr:uid="{00000000-0005-0000-0000-00006D190000}"/>
    <cellStyle name="Normal 5 3 10 3 2" xfId="14896" xr:uid="{F9788238-1C5B-4F10-81EC-08E62CCB9D1C}"/>
    <cellStyle name="Normal 5 3 10 4" xfId="10678" xr:uid="{6DA5E8E5-A6A6-4B58-B9EB-B8DF09B73745}"/>
    <cellStyle name="Normal 5 3 11" xfId="2595" xr:uid="{00000000-0005-0000-0000-00006E190000}"/>
    <cellStyle name="Normal 5 3 11 2" xfId="6880" xr:uid="{00000000-0005-0000-0000-00006F190000}"/>
    <cellStyle name="Normal 5 3 11 2 2" xfId="15309" xr:uid="{304B8492-51BF-4824-A803-C708DD25ED4F}"/>
    <cellStyle name="Normal 5 3 11 3" xfId="11091" xr:uid="{B283E146-B6B6-4CC7-A7BB-46CF64D30C53}"/>
    <cellStyle name="Normal 5 3 12" xfId="4815" xr:uid="{00000000-0005-0000-0000-000070190000}"/>
    <cellStyle name="Normal 5 3 12 2" xfId="13244" xr:uid="{5A1B1943-06CD-4DB1-B138-5F2ABBADFEB7}"/>
    <cellStyle name="Normal 5 3 13" xfId="9026" xr:uid="{0AA45D6C-08B6-48ED-94B3-567E64C64FBE}"/>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10 2" xfId="13245" xr:uid="{21B1EE23-EF23-4501-8C3A-FAE18888EAA1}"/>
    <cellStyle name="Normal 5 3 3 11" xfId="9027" xr:uid="{C79538D8-2066-436A-B254-D9252D9C992A}"/>
    <cellStyle name="Normal 5 3 3 2" xfId="442" xr:uid="{00000000-0005-0000-0000-000075190000}"/>
    <cellStyle name="Normal 5 3 3 2 10" xfId="9028" xr:uid="{7AD9F38E-58D9-4153-891E-7B41945620B6}"/>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2 2 2" xfId="15806" xr:uid="{BF7FBACC-916D-4B6F-A9A1-ECCBA4CB559D}"/>
    <cellStyle name="Normal 5 3 3 2 2 2 2 2 3" xfId="11588" xr:uid="{A5189253-570F-45AA-8315-2C34926CB198}"/>
    <cellStyle name="Normal 5 3 3 2 2 2 2 3" xfId="5232" xr:uid="{00000000-0005-0000-0000-00007B190000}"/>
    <cellStyle name="Normal 5 3 3 2 2 2 2 3 2" xfId="13661" xr:uid="{D0C850F8-6D27-4172-9AD3-EE6234DDDBF7}"/>
    <cellStyle name="Normal 5 3 3 2 2 2 2 4" xfId="9443" xr:uid="{4ED775C2-79D2-4DCA-95A1-B66E95B4CA51}"/>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2 2 2" xfId="16219" xr:uid="{DF3DB6BC-6DCD-4E69-AD39-B0B2F90A0CC8}"/>
    <cellStyle name="Normal 5 3 3 2 2 2 3 2 3" xfId="12001" xr:uid="{5EB2E1DC-999B-4A74-B9DC-DAA371CE32ED}"/>
    <cellStyle name="Normal 5 3 3 2 2 2 3 3" xfId="5645" xr:uid="{00000000-0005-0000-0000-00007F190000}"/>
    <cellStyle name="Normal 5 3 3 2 2 2 3 3 2" xfId="14074" xr:uid="{9694A1E0-9D3B-4CA4-AA33-635570D27440}"/>
    <cellStyle name="Normal 5 3 3 2 2 2 3 4" xfId="9856" xr:uid="{C34149F9-073D-4021-89E0-754A4FBE566B}"/>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2 2 2" xfId="16632" xr:uid="{DF33F3DF-FDA6-4C54-A14C-ECA91F394312}"/>
    <cellStyle name="Normal 5 3 3 2 2 2 4 2 3" xfId="12414" xr:uid="{D3980B0F-8747-4FC8-A9EF-EF606A951EAE}"/>
    <cellStyle name="Normal 5 3 3 2 2 2 4 3" xfId="6058" xr:uid="{00000000-0005-0000-0000-000083190000}"/>
    <cellStyle name="Normal 5 3 3 2 2 2 4 3 2" xfId="14487" xr:uid="{CAF0958E-8B7B-4A8B-97A4-7988F9728897}"/>
    <cellStyle name="Normal 5 3 3 2 2 2 4 4" xfId="10269" xr:uid="{096DE102-D40A-4567-8728-4644DEBE1541}"/>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2 2 2" xfId="17045" xr:uid="{4589F810-069B-4746-AF2E-0C2619976679}"/>
    <cellStyle name="Normal 5 3 3 2 2 2 5 2 3" xfId="12827" xr:uid="{41989A33-C352-46D2-AD24-43F0F3AB59E9}"/>
    <cellStyle name="Normal 5 3 3 2 2 2 5 3" xfId="6471" xr:uid="{00000000-0005-0000-0000-000087190000}"/>
    <cellStyle name="Normal 5 3 3 2 2 2 5 3 2" xfId="14900" xr:uid="{76CF6717-EA21-4C4E-8A7E-BE8CD1B07DC8}"/>
    <cellStyle name="Normal 5 3 3 2 2 2 5 4" xfId="10682" xr:uid="{5C656C3C-DAC0-4A4D-9978-5193EBE5E006}"/>
    <cellStyle name="Normal 5 3 3 2 2 2 6" xfId="2599" xr:uid="{00000000-0005-0000-0000-000088190000}"/>
    <cellStyle name="Normal 5 3 3 2 2 2 6 2" xfId="6884" xr:uid="{00000000-0005-0000-0000-000089190000}"/>
    <cellStyle name="Normal 5 3 3 2 2 2 6 2 2" xfId="15313" xr:uid="{C063AE0B-D35A-4123-9E24-F06A496BE643}"/>
    <cellStyle name="Normal 5 3 3 2 2 2 6 3" xfId="11095" xr:uid="{B71D1FBA-C8E2-41D8-9862-EB85E1DA1767}"/>
    <cellStyle name="Normal 5 3 3 2 2 2 7" xfId="4819" xr:uid="{00000000-0005-0000-0000-00008A190000}"/>
    <cellStyle name="Normal 5 3 3 2 2 2 7 2" xfId="13248" xr:uid="{607630D3-BE14-477E-A9FF-2C8169635AD8}"/>
    <cellStyle name="Normal 5 3 3 2 2 2 8" xfId="9030" xr:uid="{E7423037-0A52-4B82-B04C-C50F1CC67527}"/>
    <cellStyle name="Normal 5 3 3 2 2 3" xfId="918" xr:uid="{00000000-0005-0000-0000-00008B190000}"/>
    <cellStyle name="Normal 5 3 3 2 2 3 2" xfId="3152" xr:uid="{00000000-0005-0000-0000-00008C190000}"/>
    <cellStyle name="Normal 5 3 3 2 2 3 2 2" xfId="7376" xr:uid="{00000000-0005-0000-0000-00008D190000}"/>
    <cellStyle name="Normal 5 3 3 2 2 3 2 2 2" xfId="15805" xr:uid="{3D50287C-44A7-459C-BC20-70AF3DF65900}"/>
    <cellStyle name="Normal 5 3 3 2 2 3 2 3" xfId="11587" xr:uid="{2D09367C-58DB-4307-AA47-CDBDB8501A63}"/>
    <cellStyle name="Normal 5 3 3 2 2 3 3" xfId="5231" xr:uid="{00000000-0005-0000-0000-00008E190000}"/>
    <cellStyle name="Normal 5 3 3 2 2 3 3 2" xfId="13660" xr:uid="{1D804E46-28C0-4DE2-9794-D66E55F8F1CC}"/>
    <cellStyle name="Normal 5 3 3 2 2 3 4" xfId="9442" xr:uid="{BC09109A-0B8A-413B-9DB8-B374C508EF23}"/>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2 2 2" xfId="16218" xr:uid="{82171797-BB92-49DF-AB69-718F15F2248B}"/>
    <cellStyle name="Normal 5 3 3 2 2 4 2 3" xfId="12000" xr:uid="{CAF2482B-98FD-4679-91F0-997665836803}"/>
    <cellStyle name="Normal 5 3 3 2 2 4 3" xfId="5644" xr:uid="{00000000-0005-0000-0000-000092190000}"/>
    <cellStyle name="Normal 5 3 3 2 2 4 3 2" xfId="14073" xr:uid="{60D11602-8D79-4E47-B857-7900A00DF597}"/>
    <cellStyle name="Normal 5 3 3 2 2 4 4" xfId="9855" xr:uid="{FD497398-B2FF-4016-9682-795EB70F9138}"/>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2 2 2" xfId="16631" xr:uid="{2B765474-B9B1-41D4-BBDD-B3B4C20095D3}"/>
    <cellStyle name="Normal 5 3 3 2 2 5 2 3" xfId="12413" xr:uid="{C8B39557-8C24-4A03-89F8-FEE8E9775AA4}"/>
    <cellStyle name="Normal 5 3 3 2 2 5 3" xfId="6057" xr:uid="{00000000-0005-0000-0000-000096190000}"/>
    <cellStyle name="Normal 5 3 3 2 2 5 3 2" xfId="14486" xr:uid="{B35913A3-A64D-401E-96BB-4D9534FE129C}"/>
    <cellStyle name="Normal 5 3 3 2 2 5 4" xfId="10268" xr:uid="{5CB9A0A1-4094-4A01-90DA-50DD669652F8}"/>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2 2 2" xfId="17044" xr:uid="{D5A6DF23-779D-448B-BAE9-A108D15FB34E}"/>
    <cellStyle name="Normal 5 3 3 2 2 6 2 3" xfId="12826" xr:uid="{02EA28B3-AD6A-4535-8531-54390787A519}"/>
    <cellStyle name="Normal 5 3 3 2 2 6 3" xfId="6470" xr:uid="{00000000-0005-0000-0000-00009A190000}"/>
    <cellStyle name="Normal 5 3 3 2 2 6 3 2" xfId="14899" xr:uid="{F1A060A9-A6B1-476A-9A55-C8968C494CAF}"/>
    <cellStyle name="Normal 5 3 3 2 2 6 4" xfId="10681" xr:uid="{611063E6-6A18-4D98-A4B8-4C0419B4BF8C}"/>
    <cellStyle name="Normal 5 3 3 2 2 7" xfId="2598" xr:uid="{00000000-0005-0000-0000-00009B190000}"/>
    <cellStyle name="Normal 5 3 3 2 2 7 2" xfId="6883" xr:uid="{00000000-0005-0000-0000-00009C190000}"/>
    <cellStyle name="Normal 5 3 3 2 2 7 2 2" xfId="15312" xr:uid="{52FE8A3C-66CE-4DDB-BA11-2E501B292551}"/>
    <cellStyle name="Normal 5 3 3 2 2 7 3" xfId="11094" xr:uid="{44ABD883-663A-45E3-BBDE-F0F24D8DAC01}"/>
    <cellStyle name="Normal 5 3 3 2 2 8" xfId="4818" xr:uid="{00000000-0005-0000-0000-00009D190000}"/>
    <cellStyle name="Normal 5 3 3 2 2 8 2" xfId="13247" xr:uid="{DD7E4D91-9845-427B-ACAD-0644A7977FCD}"/>
    <cellStyle name="Normal 5 3 3 2 2 9" xfId="9029" xr:uid="{EC2D5583-CD74-48EA-AF4A-C029F6757DE2}"/>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2 2 2" xfId="15807" xr:uid="{4A1FB5D9-80F0-4541-8E07-75CC14E6B2FA}"/>
    <cellStyle name="Normal 5 3 3 2 3 2 2 3" xfId="11589" xr:uid="{381F1407-ADA5-40FA-AA2B-C74B11B7E13E}"/>
    <cellStyle name="Normal 5 3 3 2 3 2 3" xfId="5233" xr:uid="{00000000-0005-0000-0000-0000A2190000}"/>
    <cellStyle name="Normal 5 3 3 2 3 2 3 2" xfId="13662" xr:uid="{355A33A4-7655-4E84-8B85-C624F86E377D}"/>
    <cellStyle name="Normal 5 3 3 2 3 2 4" xfId="9444" xr:uid="{73B9A13A-8007-4732-B08D-71E6E945207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2 2 2" xfId="16220" xr:uid="{BEA00429-28A9-475D-9684-F0CB2597B19B}"/>
    <cellStyle name="Normal 5 3 3 2 3 3 2 3" xfId="12002" xr:uid="{3D4E4FDA-8317-4F4D-94BF-0C59F4C52A30}"/>
    <cellStyle name="Normal 5 3 3 2 3 3 3" xfId="5646" xr:uid="{00000000-0005-0000-0000-0000A6190000}"/>
    <cellStyle name="Normal 5 3 3 2 3 3 3 2" xfId="14075" xr:uid="{81A54274-1D8A-4C04-B5FF-2C45D74ECE8F}"/>
    <cellStyle name="Normal 5 3 3 2 3 3 4" xfId="9857" xr:uid="{7D20952F-41D6-4BD8-B657-3C7721192205}"/>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2 2 2" xfId="16633" xr:uid="{7119331A-9E9E-44ED-9F4A-7FD5FD72E12B}"/>
    <cellStyle name="Normal 5 3 3 2 3 4 2 3" xfId="12415" xr:uid="{9CBE89AA-6F63-4B31-B3DA-696EFC2BB05E}"/>
    <cellStyle name="Normal 5 3 3 2 3 4 3" xfId="6059" xr:uid="{00000000-0005-0000-0000-0000AA190000}"/>
    <cellStyle name="Normal 5 3 3 2 3 4 3 2" xfId="14488" xr:uid="{7167FF69-0624-4DF2-B89F-A109D6C08295}"/>
    <cellStyle name="Normal 5 3 3 2 3 4 4" xfId="10270" xr:uid="{8A005215-F62B-41F2-848C-0FF566CE5C33}"/>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2 2 2" xfId="17046" xr:uid="{E9BC925E-9F16-4B53-AEE9-492C26CC8B88}"/>
    <cellStyle name="Normal 5 3 3 2 3 5 2 3" xfId="12828" xr:uid="{44BE99C6-C29E-46C4-82BE-7BF3939B6652}"/>
    <cellStyle name="Normal 5 3 3 2 3 5 3" xfId="6472" xr:uid="{00000000-0005-0000-0000-0000AE190000}"/>
    <cellStyle name="Normal 5 3 3 2 3 5 3 2" xfId="14901" xr:uid="{2B5D9714-EE76-4AD0-93A4-59C638F8225D}"/>
    <cellStyle name="Normal 5 3 3 2 3 5 4" xfId="10683" xr:uid="{0FE54DD5-63AE-4A93-AD01-8920F08A7B41}"/>
    <cellStyle name="Normal 5 3 3 2 3 6" xfId="2600" xr:uid="{00000000-0005-0000-0000-0000AF190000}"/>
    <cellStyle name="Normal 5 3 3 2 3 6 2" xfId="6885" xr:uid="{00000000-0005-0000-0000-0000B0190000}"/>
    <cellStyle name="Normal 5 3 3 2 3 6 2 2" xfId="15314" xr:uid="{917E1649-2276-4D77-AEE1-B339CFF86585}"/>
    <cellStyle name="Normal 5 3 3 2 3 6 3" xfId="11096" xr:uid="{DBDC3F98-CB03-4CDE-99D0-BBECEC892334}"/>
    <cellStyle name="Normal 5 3 3 2 3 7" xfId="4820" xr:uid="{00000000-0005-0000-0000-0000B1190000}"/>
    <cellStyle name="Normal 5 3 3 2 3 7 2" xfId="13249" xr:uid="{D3C48D38-2A83-42B8-BAA1-24E908209C43}"/>
    <cellStyle name="Normal 5 3 3 2 3 8" xfId="9031" xr:uid="{14628A45-F777-4D42-908C-663BA3E6C129}"/>
    <cellStyle name="Normal 5 3 3 2 4" xfId="917" xr:uid="{00000000-0005-0000-0000-0000B2190000}"/>
    <cellStyle name="Normal 5 3 3 2 4 2" xfId="3151" xr:uid="{00000000-0005-0000-0000-0000B3190000}"/>
    <cellStyle name="Normal 5 3 3 2 4 2 2" xfId="7375" xr:uid="{00000000-0005-0000-0000-0000B4190000}"/>
    <cellStyle name="Normal 5 3 3 2 4 2 2 2" xfId="15804" xr:uid="{AA925B82-1E9D-4F2B-9BDD-BDFEBEC56E8C}"/>
    <cellStyle name="Normal 5 3 3 2 4 2 3" xfId="11586" xr:uid="{D3976655-35FD-4D19-84BC-2EE023366406}"/>
    <cellStyle name="Normal 5 3 3 2 4 3" xfId="5230" xr:uid="{00000000-0005-0000-0000-0000B5190000}"/>
    <cellStyle name="Normal 5 3 3 2 4 3 2" xfId="13659" xr:uid="{DE68598C-DD14-4554-8FB9-4991CB8D37F8}"/>
    <cellStyle name="Normal 5 3 3 2 4 4" xfId="9441" xr:uid="{47A536EC-65C3-48ED-812B-BC77B770AFE6}"/>
    <cellStyle name="Normal 5 3 3 2 5" xfId="1334" xr:uid="{00000000-0005-0000-0000-0000B6190000}"/>
    <cellStyle name="Normal 5 3 3 2 5 2" xfId="3564" xr:uid="{00000000-0005-0000-0000-0000B7190000}"/>
    <cellStyle name="Normal 5 3 3 2 5 2 2" xfId="7788" xr:uid="{00000000-0005-0000-0000-0000B8190000}"/>
    <cellStyle name="Normal 5 3 3 2 5 2 2 2" xfId="16217" xr:uid="{6E6D12A7-7468-4539-AEB5-CC2A5AFEA7D0}"/>
    <cellStyle name="Normal 5 3 3 2 5 2 3" xfId="11999" xr:uid="{C5B6CD8D-68AB-4BB5-8BBF-AB18B6E15661}"/>
    <cellStyle name="Normal 5 3 3 2 5 3" xfId="5643" xr:uid="{00000000-0005-0000-0000-0000B9190000}"/>
    <cellStyle name="Normal 5 3 3 2 5 3 2" xfId="14072" xr:uid="{450BB46E-0691-4239-A2C5-8DA3ED730F5D}"/>
    <cellStyle name="Normal 5 3 3 2 5 4" xfId="9854" xr:uid="{4059BFDE-6342-494A-9016-E2440092C5DC}"/>
    <cellStyle name="Normal 5 3 3 2 6" xfId="1747" xr:uid="{00000000-0005-0000-0000-0000BA190000}"/>
    <cellStyle name="Normal 5 3 3 2 6 2" xfId="3977" xr:uid="{00000000-0005-0000-0000-0000BB190000}"/>
    <cellStyle name="Normal 5 3 3 2 6 2 2" xfId="8201" xr:uid="{00000000-0005-0000-0000-0000BC190000}"/>
    <cellStyle name="Normal 5 3 3 2 6 2 2 2" xfId="16630" xr:uid="{CD609EB6-3131-4A56-8FAB-26BA32BB3750}"/>
    <cellStyle name="Normal 5 3 3 2 6 2 3" xfId="12412" xr:uid="{55BF7281-82AF-417B-A7D5-BDFC21ABC9F2}"/>
    <cellStyle name="Normal 5 3 3 2 6 3" xfId="6056" xr:uid="{00000000-0005-0000-0000-0000BD190000}"/>
    <cellStyle name="Normal 5 3 3 2 6 3 2" xfId="14485" xr:uid="{ADDCF3BD-95A9-4E89-BC49-13965AAB544A}"/>
    <cellStyle name="Normal 5 3 3 2 6 4" xfId="10267" xr:uid="{440C9BF3-D782-4E04-B8DD-47599468068A}"/>
    <cellStyle name="Normal 5 3 3 2 7" xfId="2161" xr:uid="{00000000-0005-0000-0000-0000BE190000}"/>
    <cellStyle name="Normal 5 3 3 2 7 2" xfId="4390" xr:uid="{00000000-0005-0000-0000-0000BF190000}"/>
    <cellStyle name="Normal 5 3 3 2 7 2 2" xfId="8614" xr:uid="{00000000-0005-0000-0000-0000C0190000}"/>
    <cellStyle name="Normal 5 3 3 2 7 2 2 2" xfId="17043" xr:uid="{B179EAA1-358A-425C-A28B-3A7AE12EC73B}"/>
    <cellStyle name="Normal 5 3 3 2 7 2 3" xfId="12825" xr:uid="{AD0F4B7C-0294-453A-B0E0-B6848CC7DB02}"/>
    <cellStyle name="Normal 5 3 3 2 7 3" xfId="6469" xr:uid="{00000000-0005-0000-0000-0000C1190000}"/>
    <cellStyle name="Normal 5 3 3 2 7 3 2" xfId="14898" xr:uid="{083410C3-4B8A-483E-B671-9F0D19147A6B}"/>
    <cellStyle name="Normal 5 3 3 2 7 4" xfId="10680" xr:uid="{0B14E1E5-CBAF-45A5-8469-11431052E15A}"/>
    <cellStyle name="Normal 5 3 3 2 8" xfId="2597" xr:uid="{00000000-0005-0000-0000-0000C2190000}"/>
    <cellStyle name="Normal 5 3 3 2 8 2" xfId="6882" xr:uid="{00000000-0005-0000-0000-0000C3190000}"/>
    <cellStyle name="Normal 5 3 3 2 8 2 2" xfId="15311" xr:uid="{BD391B76-416A-46CE-9C80-35A8D406B1A0}"/>
    <cellStyle name="Normal 5 3 3 2 8 3" xfId="11093" xr:uid="{6EA33AEB-92BB-456C-9CAA-AE7B2EBB8D3C}"/>
    <cellStyle name="Normal 5 3 3 2 9" xfId="4817" xr:uid="{00000000-0005-0000-0000-0000C4190000}"/>
    <cellStyle name="Normal 5 3 3 2 9 2" xfId="13246" xr:uid="{98052C92-CF58-4955-B07F-85DE91F735B8}"/>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2 2 2" xfId="15809" xr:uid="{3F450DFD-256C-4EB1-8E27-3D1797356D5B}"/>
    <cellStyle name="Normal 5 3 3 3 2 2 2 3" xfId="11591" xr:uid="{5DA12B1E-37D4-46A3-9DEE-2DD04B362736}"/>
    <cellStyle name="Normal 5 3 3 3 2 2 3" xfId="5235" xr:uid="{00000000-0005-0000-0000-0000CA190000}"/>
    <cellStyle name="Normal 5 3 3 3 2 2 3 2" xfId="13664" xr:uid="{564C3D79-19A6-482B-AF9C-94950184CBAE}"/>
    <cellStyle name="Normal 5 3 3 3 2 2 4" xfId="9446" xr:uid="{7A07D5D1-67F5-44D6-B78D-0B52C8972927}"/>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2 2 2" xfId="16222" xr:uid="{E37D968D-E97A-4ED7-B419-4F8B08ACF0B1}"/>
    <cellStyle name="Normal 5 3 3 3 2 3 2 3" xfId="12004" xr:uid="{B9B3F571-56FC-45F6-B7F6-07A512833FE5}"/>
    <cellStyle name="Normal 5 3 3 3 2 3 3" xfId="5648" xr:uid="{00000000-0005-0000-0000-0000CE190000}"/>
    <cellStyle name="Normal 5 3 3 3 2 3 3 2" xfId="14077" xr:uid="{24F3D6BD-83BF-4B38-8966-4213DEAD5A16}"/>
    <cellStyle name="Normal 5 3 3 3 2 3 4" xfId="9859" xr:uid="{31323079-F2A3-44D4-A1E9-91760949152D}"/>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2 2 2" xfId="16635" xr:uid="{0B7572C0-DC44-4735-8E4D-34551E2970CC}"/>
    <cellStyle name="Normal 5 3 3 3 2 4 2 3" xfId="12417" xr:uid="{F4CE1A45-B678-422C-9FAC-DBDB57B9BD57}"/>
    <cellStyle name="Normal 5 3 3 3 2 4 3" xfId="6061" xr:uid="{00000000-0005-0000-0000-0000D2190000}"/>
    <cellStyle name="Normal 5 3 3 3 2 4 3 2" xfId="14490" xr:uid="{F7743C9D-3B0B-4651-A354-E4B88D930176}"/>
    <cellStyle name="Normal 5 3 3 3 2 4 4" xfId="10272" xr:uid="{1BCDECA0-5D6E-44AB-AE7A-0704A4865A8C}"/>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2 2 2" xfId="17048" xr:uid="{94218026-CD37-4970-94B1-8C9644B7D98D}"/>
    <cellStyle name="Normal 5 3 3 3 2 5 2 3" xfId="12830" xr:uid="{7D55E0F4-72B9-42AD-9787-37159E64C52F}"/>
    <cellStyle name="Normal 5 3 3 3 2 5 3" xfId="6474" xr:uid="{00000000-0005-0000-0000-0000D6190000}"/>
    <cellStyle name="Normal 5 3 3 3 2 5 3 2" xfId="14903" xr:uid="{FBF9AED6-33FF-4805-8F08-8A80E95AB51F}"/>
    <cellStyle name="Normal 5 3 3 3 2 5 4" xfId="10685" xr:uid="{7A7D8725-1F35-4A5E-B47F-03F7F2DF20A8}"/>
    <cellStyle name="Normal 5 3 3 3 2 6" xfId="2602" xr:uid="{00000000-0005-0000-0000-0000D7190000}"/>
    <cellStyle name="Normal 5 3 3 3 2 6 2" xfId="6887" xr:uid="{00000000-0005-0000-0000-0000D8190000}"/>
    <cellStyle name="Normal 5 3 3 3 2 6 2 2" xfId="15316" xr:uid="{A489C184-772E-4295-AC69-0FD20AE27320}"/>
    <cellStyle name="Normal 5 3 3 3 2 6 3" xfId="11098" xr:uid="{F35E47EA-508C-4867-82E0-62C9D5E46C0C}"/>
    <cellStyle name="Normal 5 3 3 3 2 7" xfId="4822" xr:uid="{00000000-0005-0000-0000-0000D9190000}"/>
    <cellStyle name="Normal 5 3 3 3 2 7 2" xfId="13251" xr:uid="{42A5ABFD-CC86-4C54-BD31-1D9177F6F007}"/>
    <cellStyle name="Normal 5 3 3 3 2 8" xfId="9033" xr:uid="{5F3BE6E7-1BF1-44B7-AD7F-32AC76FE1919}"/>
    <cellStyle name="Normal 5 3 3 3 3" xfId="921" xr:uid="{00000000-0005-0000-0000-0000DA190000}"/>
    <cellStyle name="Normal 5 3 3 3 3 2" xfId="3155" xr:uid="{00000000-0005-0000-0000-0000DB190000}"/>
    <cellStyle name="Normal 5 3 3 3 3 2 2" xfId="7379" xr:uid="{00000000-0005-0000-0000-0000DC190000}"/>
    <cellStyle name="Normal 5 3 3 3 3 2 2 2" xfId="15808" xr:uid="{70E87AD9-0455-47B0-ACF3-35AF24DA8A94}"/>
    <cellStyle name="Normal 5 3 3 3 3 2 3" xfId="11590" xr:uid="{74733E13-1D99-46BC-9511-92DCE93E46EB}"/>
    <cellStyle name="Normal 5 3 3 3 3 3" xfId="5234" xr:uid="{00000000-0005-0000-0000-0000DD190000}"/>
    <cellStyle name="Normal 5 3 3 3 3 3 2" xfId="13663" xr:uid="{3EAE9B50-ED52-4DA6-8706-24429D1E0BCB}"/>
    <cellStyle name="Normal 5 3 3 3 3 4" xfId="9445" xr:uid="{6EE2D6CA-7313-40B0-9D37-D83EF6CCD77C}"/>
    <cellStyle name="Normal 5 3 3 3 4" xfId="1338" xr:uid="{00000000-0005-0000-0000-0000DE190000}"/>
    <cellStyle name="Normal 5 3 3 3 4 2" xfId="3568" xr:uid="{00000000-0005-0000-0000-0000DF190000}"/>
    <cellStyle name="Normal 5 3 3 3 4 2 2" xfId="7792" xr:uid="{00000000-0005-0000-0000-0000E0190000}"/>
    <cellStyle name="Normal 5 3 3 3 4 2 2 2" xfId="16221" xr:uid="{56DEA535-CE94-4ABC-B1D3-BB3B4542E3DD}"/>
    <cellStyle name="Normal 5 3 3 3 4 2 3" xfId="12003" xr:uid="{E8072FA3-70CF-4603-B829-2EEE858643D0}"/>
    <cellStyle name="Normal 5 3 3 3 4 3" xfId="5647" xr:uid="{00000000-0005-0000-0000-0000E1190000}"/>
    <cellStyle name="Normal 5 3 3 3 4 3 2" xfId="14076" xr:uid="{2D7BBA88-23E8-491F-9AD4-A9EC74B47B4F}"/>
    <cellStyle name="Normal 5 3 3 3 4 4" xfId="9858" xr:uid="{89F6DA4B-4277-4AAB-8A10-7809B4A12F61}"/>
    <cellStyle name="Normal 5 3 3 3 5" xfId="1751" xr:uid="{00000000-0005-0000-0000-0000E2190000}"/>
    <cellStyle name="Normal 5 3 3 3 5 2" xfId="3981" xr:uid="{00000000-0005-0000-0000-0000E3190000}"/>
    <cellStyle name="Normal 5 3 3 3 5 2 2" xfId="8205" xr:uid="{00000000-0005-0000-0000-0000E4190000}"/>
    <cellStyle name="Normal 5 3 3 3 5 2 2 2" xfId="16634" xr:uid="{3C14D7BE-03DE-49E5-AF81-B1FE83D9EE62}"/>
    <cellStyle name="Normal 5 3 3 3 5 2 3" xfId="12416" xr:uid="{C4644EC4-0647-4F86-8C4A-E55559CF6539}"/>
    <cellStyle name="Normal 5 3 3 3 5 3" xfId="6060" xr:uid="{00000000-0005-0000-0000-0000E5190000}"/>
    <cellStyle name="Normal 5 3 3 3 5 3 2" xfId="14489" xr:uid="{4FE23CEA-E6E5-4E5E-8135-56DF113CC06D}"/>
    <cellStyle name="Normal 5 3 3 3 5 4" xfId="10271" xr:uid="{DE6714A8-094E-46E8-B2CD-B5C060701083}"/>
    <cellStyle name="Normal 5 3 3 3 6" xfId="2165" xr:uid="{00000000-0005-0000-0000-0000E6190000}"/>
    <cellStyle name="Normal 5 3 3 3 6 2" xfId="4394" xr:uid="{00000000-0005-0000-0000-0000E7190000}"/>
    <cellStyle name="Normal 5 3 3 3 6 2 2" xfId="8618" xr:uid="{00000000-0005-0000-0000-0000E8190000}"/>
    <cellStyle name="Normal 5 3 3 3 6 2 2 2" xfId="17047" xr:uid="{626B618B-9204-4FC6-B0E3-4B363128B6B6}"/>
    <cellStyle name="Normal 5 3 3 3 6 2 3" xfId="12829" xr:uid="{9BF62AA5-578A-493C-8F55-47AB4FE588F6}"/>
    <cellStyle name="Normal 5 3 3 3 6 3" xfId="6473" xr:uid="{00000000-0005-0000-0000-0000E9190000}"/>
    <cellStyle name="Normal 5 3 3 3 6 3 2" xfId="14902" xr:uid="{C2C9F053-E46A-461B-9842-10D716C6EBDC}"/>
    <cellStyle name="Normal 5 3 3 3 6 4" xfId="10684" xr:uid="{C0B907C0-3C2B-47FB-B843-0E5A634D6CA4}"/>
    <cellStyle name="Normal 5 3 3 3 7" xfId="2601" xr:uid="{00000000-0005-0000-0000-0000EA190000}"/>
    <cellStyle name="Normal 5 3 3 3 7 2" xfId="6886" xr:uid="{00000000-0005-0000-0000-0000EB190000}"/>
    <cellStyle name="Normal 5 3 3 3 7 2 2" xfId="15315" xr:uid="{CC7C9D22-9495-4BFF-9156-625ABCAD7DFD}"/>
    <cellStyle name="Normal 5 3 3 3 7 3" xfId="11097" xr:uid="{989C4873-9EBE-42CC-A309-F54E978635BB}"/>
    <cellStyle name="Normal 5 3 3 3 8" xfId="4821" xr:uid="{00000000-0005-0000-0000-0000EC190000}"/>
    <cellStyle name="Normal 5 3 3 3 8 2" xfId="13250" xr:uid="{1B5ACD87-9459-4F2D-9FF6-F3463D0A4875}"/>
    <cellStyle name="Normal 5 3 3 3 9" xfId="9032" xr:uid="{22F823F4-710E-47CB-81FA-007D90C1AE5E}"/>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2 2 2" xfId="15810" xr:uid="{0C8D69C3-7BAF-43F7-AA37-6E144748BD46}"/>
    <cellStyle name="Normal 5 3 3 4 2 2 3" xfId="11592" xr:uid="{58FB4474-5BC4-438C-B8C7-647903722EB9}"/>
    <cellStyle name="Normal 5 3 3 4 2 3" xfId="5236" xr:uid="{00000000-0005-0000-0000-0000F1190000}"/>
    <cellStyle name="Normal 5 3 3 4 2 3 2" xfId="13665" xr:uid="{C20770E0-78F1-4F7E-8863-9D451E4331C0}"/>
    <cellStyle name="Normal 5 3 3 4 2 4" xfId="9447" xr:uid="{62A7047B-CE72-46F2-9B6A-42BDCFF83B45}"/>
    <cellStyle name="Normal 5 3 3 4 3" xfId="1340" xr:uid="{00000000-0005-0000-0000-0000F2190000}"/>
    <cellStyle name="Normal 5 3 3 4 3 2" xfId="3570" xr:uid="{00000000-0005-0000-0000-0000F3190000}"/>
    <cellStyle name="Normal 5 3 3 4 3 2 2" xfId="7794" xr:uid="{00000000-0005-0000-0000-0000F4190000}"/>
    <cellStyle name="Normal 5 3 3 4 3 2 2 2" xfId="16223" xr:uid="{77BF5C92-8BFC-44CE-87AE-BCDE1B48F8D7}"/>
    <cellStyle name="Normal 5 3 3 4 3 2 3" xfId="12005" xr:uid="{77278C2C-544C-4E09-8CC0-97EA71488637}"/>
    <cellStyle name="Normal 5 3 3 4 3 3" xfId="5649" xr:uid="{00000000-0005-0000-0000-0000F5190000}"/>
    <cellStyle name="Normal 5 3 3 4 3 3 2" xfId="14078" xr:uid="{2B9F5AFD-529C-456D-9003-0D1CC0EEAEC0}"/>
    <cellStyle name="Normal 5 3 3 4 3 4" xfId="9860" xr:uid="{7E9587D6-3C74-43B6-911A-17E5840357CC}"/>
    <cellStyle name="Normal 5 3 3 4 4" xfId="1753" xr:uid="{00000000-0005-0000-0000-0000F6190000}"/>
    <cellStyle name="Normal 5 3 3 4 4 2" xfId="3983" xr:uid="{00000000-0005-0000-0000-0000F7190000}"/>
    <cellStyle name="Normal 5 3 3 4 4 2 2" xfId="8207" xr:uid="{00000000-0005-0000-0000-0000F8190000}"/>
    <cellStyle name="Normal 5 3 3 4 4 2 2 2" xfId="16636" xr:uid="{3BB7AE85-A066-4FEB-91AE-44A34AF6625E}"/>
    <cellStyle name="Normal 5 3 3 4 4 2 3" xfId="12418" xr:uid="{3A436813-FE75-4221-B862-0DEA7559CA4B}"/>
    <cellStyle name="Normal 5 3 3 4 4 3" xfId="6062" xr:uid="{00000000-0005-0000-0000-0000F9190000}"/>
    <cellStyle name="Normal 5 3 3 4 4 3 2" xfId="14491" xr:uid="{E607C8A3-E050-48E3-9E46-F5D41E928EDC}"/>
    <cellStyle name="Normal 5 3 3 4 4 4" xfId="10273" xr:uid="{2A55883C-97CF-46B4-94FF-7CC14A035954}"/>
    <cellStyle name="Normal 5 3 3 4 5" xfId="2167" xr:uid="{00000000-0005-0000-0000-0000FA190000}"/>
    <cellStyle name="Normal 5 3 3 4 5 2" xfId="4396" xr:uid="{00000000-0005-0000-0000-0000FB190000}"/>
    <cellStyle name="Normal 5 3 3 4 5 2 2" xfId="8620" xr:uid="{00000000-0005-0000-0000-0000FC190000}"/>
    <cellStyle name="Normal 5 3 3 4 5 2 2 2" xfId="17049" xr:uid="{22E61814-C9A6-4507-A0B4-49EEECE6810A}"/>
    <cellStyle name="Normal 5 3 3 4 5 2 3" xfId="12831" xr:uid="{C69CD91C-3CE8-46A5-820C-22D28D3A4034}"/>
    <cellStyle name="Normal 5 3 3 4 5 3" xfId="6475" xr:uid="{00000000-0005-0000-0000-0000FD190000}"/>
    <cellStyle name="Normal 5 3 3 4 5 3 2" xfId="14904" xr:uid="{38F94C5E-7E51-407F-87B4-74BA39889391}"/>
    <cellStyle name="Normal 5 3 3 4 5 4" xfId="10686" xr:uid="{AEF60952-CD39-4FD5-B654-CB7F16CC78CC}"/>
    <cellStyle name="Normal 5 3 3 4 6" xfId="2603" xr:uid="{00000000-0005-0000-0000-0000FE190000}"/>
    <cellStyle name="Normal 5 3 3 4 6 2" xfId="6888" xr:uid="{00000000-0005-0000-0000-0000FF190000}"/>
    <cellStyle name="Normal 5 3 3 4 6 2 2" xfId="15317" xr:uid="{F7894613-8BE8-4B60-B362-1B9308D1B043}"/>
    <cellStyle name="Normal 5 3 3 4 6 3" xfId="11099" xr:uid="{FA5802A5-9D53-4E91-B947-FB5B3CB298F7}"/>
    <cellStyle name="Normal 5 3 3 4 7" xfId="4823" xr:uid="{00000000-0005-0000-0000-0000001A0000}"/>
    <cellStyle name="Normal 5 3 3 4 7 2" xfId="13252" xr:uid="{BD752B13-D735-42C3-B173-26BC22998572}"/>
    <cellStyle name="Normal 5 3 3 4 8" xfId="9034" xr:uid="{9C106811-9250-4AE6-91CE-565AFFA1A41C}"/>
    <cellStyle name="Normal 5 3 3 5" xfId="916" xr:uid="{00000000-0005-0000-0000-0000011A0000}"/>
    <cellStyle name="Normal 5 3 3 5 2" xfId="3150" xr:uid="{00000000-0005-0000-0000-0000021A0000}"/>
    <cellStyle name="Normal 5 3 3 5 2 2" xfId="7374" xr:uid="{00000000-0005-0000-0000-0000031A0000}"/>
    <cellStyle name="Normal 5 3 3 5 2 2 2" xfId="15803" xr:uid="{28487FF8-FADD-4358-AEB9-488D84B0A806}"/>
    <cellStyle name="Normal 5 3 3 5 2 3" xfId="11585" xr:uid="{291F98A6-6434-441B-9AF9-3433D7E1BB3C}"/>
    <cellStyle name="Normal 5 3 3 5 3" xfId="5229" xr:uid="{00000000-0005-0000-0000-0000041A0000}"/>
    <cellStyle name="Normal 5 3 3 5 3 2" xfId="13658" xr:uid="{EF5CD549-C493-407D-95DC-6AF0C286219A}"/>
    <cellStyle name="Normal 5 3 3 5 4" xfId="9440" xr:uid="{577441AC-8371-49E6-AFEA-93975467C44E}"/>
    <cellStyle name="Normal 5 3 3 6" xfId="1333" xr:uid="{00000000-0005-0000-0000-0000051A0000}"/>
    <cellStyle name="Normal 5 3 3 6 2" xfId="3563" xr:uid="{00000000-0005-0000-0000-0000061A0000}"/>
    <cellStyle name="Normal 5 3 3 6 2 2" xfId="7787" xr:uid="{00000000-0005-0000-0000-0000071A0000}"/>
    <cellStyle name="Normal 5 3 3 6 2 2 2" xfId="16216" xr:uid="{1DCAD9EC-269F-4DB0-BAC3-2951552C450A}"/>
    <cellStyle name="Normal 5 3 3 6 2 3" xfId="11998" xr:uid="{83AFA6DD-6B7B-4A59-8DF9-78246151D560}"/>
    <cellStyle name="Normal 5 3 3 6 3" xfId="5642" xr:uid="{00000000-0005-0000-0000-0000081A0000}"/>
    <cellStyle name="Normal 5 3 3 6 3 2" xfId="14071" xr:uid="{8B36B342-93AD-47FA-87FD-53F3C2CC0DD1}"/>
    <cellStyle name="Normal 5 3 3 6 4" xfId="9853" xr:uid="{C2B5B690-EFFF-4793-B427-647CFE4ABA36}"/>
    <cellStyle name="Normal 5 3 3 7" xfId="1746" xr:uid="{00000000-0005-0000-0000-0000091A0000}"/>
    <cellStyle name="Normal 5 3 3 7 2" xfId="3976" xr:uid="{00000000-0005-0000-0000-00000A1A0000}"/>
    <cellStyle name="Normal 5 3 3 7 2 2" xfId="8200" xr:uid="{00000000-0005-0000-0000-00000B1A0000}"/>
    <cellStyle name="Normal 5 3 3 7 2 2 2" xfId="16629" xr:uid="{2F3FAC3F-9CAB-4994-9E97-02067FA7B2F3}"/>
    <cellStyle name="Normal 5 3 3 7 2 3" xfId="12411" xr:uid="{CE46495A-E486-43FD-BADC-754AD5C65627}"/>
    <cellStyle name="Normal 5 3 3 7 3" xfId="6055" xr:uid="{00000000-0005-0000-0000-00000C1A0000}"/>
    <cellStyle name="Normal 5 3 3 7 3 2" xfId="14484" xr:uid="{9F4DD8CA-7BB8-4B84-B19E-18ABDDB758D3}"/>
    <cellStyle name="Normal 5 3 3 7 4" xfId="10266" xr:uid="{8660D2D7-AF09-40CA-8E87-142B173AE5A3}"/>
    <cellStyle name="Normal 5 3 3 8" xfId="2160" xr:uid="{00000000-0005-0000-0000-00000D1A0000}"/>
    <cellStyle name="Normal 5 3 3 8 2" xfId="4389" xr:uid="{00000000-0005-0000-0000-00000E1A0000}"/>
    <cellStyle name="Normal 5 3 3 8 2 2" xfId="8613" xr:uid="{00000000-0005-0000-0000-00000F1A0000}"/>
    <cellStyle name="Normal 5 3 3 8 2 2 2" xfId="17042" xr:uid="{C41522D2-EFE7-478D-8DEB-0BE13DCEFCBF}"/>
    <cellStyle name="Normal 5 3 3 8 2 3" xfId="12824" xr:uid="{1C3A992A-7D88-4B5B-82CB-6A72CEAF8E91}"/>
    <cellStyle name="Normal 5 3 3 8 3" xfId="6468" xr:uid="{00000000-0005-0000-0000-0000101A0000}"/>
    <cellStyle name="Normal 5 3 3 8 3 2" xfId="14897" xr:uid="{84C4F01A-ADF9-49B5-B56D-48FD0CF06EB2}"/>
    <cellStyle name="Normal 5 3 3 8 4" xfId="10679" xr:uid="{F5CA07FF-E994-4D8A-9910-1F201BB569DC}"/>
    <cellStyle name="Normal 5 3 3 9" xfId="2596" xr:uid="{00000000-0005-0000-0000-0000111A0000}"/>
    <cellStyle name="Normal 5 3 3 9 2" xfId="6881" xr:uid="{00000000-0005-0000-0000-0000121A0000}"/>
    <cellStyle name="Normal 5 3 3 9 2 2" xfId="15310" xr:uid="{2F0C1084-339C-4171-87A4-F2551DAF3445}"/>
    <cellStyle name="Normal 5 3 3 9 3" xfId="11092" xr:uid="{7608A9DA-FC99-4D5C-AE0D-F66AF95A9919}"/>
    <cellStyle name="Normal 5 3 4" xfId="449" xr:uid="{00000000-0005-0000-0000-0000131A0000}"/>
    <cellStyle name="Normal 5 3 4 10" xfId="9035" xr:uid="{7EA97818-C978-4869-96F3-84022E75F442}"/>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2 2 2" xfId="15813" xr:uid="{11F998EC-4E3C-4B49-9E33-7646EA54FE92}"/>
    <cellStyle name="Normal 5 3 4 2 2 2 2 3" xfId="11595" xr:uid="{3FD4CE51-AD60-47A6-B01F-7055D81B378F}"/>
    <cellStyle name="Normal 5 3 4 2 2 2 3" xfId="5239" xr:uid="{00000000-0005-0000-0000-0000191A0000}"/>
    <cellStyle name="Normal 5 3 4 2 2 2 3 2" xfId="13668" xr:uid="{71817F7E-5DE1-404B-BBD2-25EDEBDD6B67}"/>
    <cellStyle name="Normal 5 3 4 2 2 2 4" xfId="9450" xr:uid="{519ACE2B-EC87-4085-8A37-0F6A1B9DF3E9}"/>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2 2 2" xfId="16226" xr:uid="{383CD27C-49A5-4484-A366-5980F1B3894D}"/>
    <cellStyle name="Normal 5 3 4 2 2 3 2 3" xfId="12008" xr:uid="{2CA5E3D1-2BD2-4504-86F9-D572F3A75909}"/>
    <cellStyle name="Normal 5 3 4 2 2 3 3" xfId="5652" xr:uid="{00000000-0005-0000-0000-00001D1A0000}"/>
    <cellStyle name="Normal 5 3 4 2 2 3 3 2" xfId="14081" xr:uid="{F4F446A4-41BB-4531-ABEC-3891A78D0078}"/>
    <cellStyle name="Normal 5 3 4 2 2 3 4" xfId="9863" xr:uid="{28EF2480-C437-47B9-9FBD-A31DCF3A27A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2 2 2" xfId="16639" xr:uid="{B6862FDA-6031-4392-8171-AE4CEBEA67BF}"/>
    <cellStyle name="Normal 5 3 4 2 2 4 2 3" xfId="12421" xr:uid="{C0C9B117-410C-459A-A34B-201462947F65}"/>
    <cellStyle name="Normal 5 3 4 2 2 4 3" xfId="6065" xr:uid="{00000000-0005-0000-0000-0000211A0000}"/>
    <cellStyle name="Normal 5 3 4 2 2 4 3 2" xfId="14494" xr:uid="{4C65E2E2-1961-4EE6-A96B-D343FA852245}"/>
    <cellStyle name="Normal 5 3 4 2 2 4 4" xfId="10276" xr:uid="{E800C98B-57DD-4483-BF4A-96E750F2D8EF}"/>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2 2 2" xfId="17052" xr:uid="{42B99436-8800-4EFA-9F2F-5146799BDC80}"/>
    <cellStyle name="Normal 5 3 4 2 2 5 2 3" xfId="12834" xr:uid="{AD20527F-C48F-4648-87C4-EA1DA63A0514}"/>
    <cellStyle name="Normal 5 3 4 2 2 5 3" xfId="6478" xr:uid="{00000000-0005-0000-0000-0000251A0000}"/>
    <cellStyle name="Normal 5 3 4 2 2 5 3 2" xfId="14907" xr:uid="{D0FA9FCE-D48E-4002-AC1B-5D4435B5AB5C}"/>
    <cellStyle name="Normal 5 3 4 2 2 5 4" xfId="10689" xr:uid="{426AEB62-4966-4B0A-B9B0-59D1D2AC3342}"/>
    <cellStyle name="Normal 5 3 4 2 2 6" xfId="2606" xr:uid="{00000000-0005-0000-0000-0000261A0000}"/>
    <cellStyle name="Normal 5 3 4 2 2 6 2" xfId="6891" xr:uid="{00000000-0005-0000-0000-0000271A0000}"/>
    <cellStyle name="Normal 5 3 4 2 2 6 2 2" xfId="15320" xr:uid="{D06E11A3-E0B5-4B2E-BA25-3E6A41A6140D}"/>
    <cellStyle name="Normal 5 3 4 2 2 6 3" xfId="11102" xr:uid="{98FA9194-8D12-4B6A-8F8E-46C2E08DECFA}"/>
    <cellStyle name="Normal 5 3 4 2 2 7" xfId="4826" xr:uid="{00000000-0005-0000-0000-0000281A0000}"/>
    <cellStyle name="Normal 5 3 4 2 2 7 2" xfId="13255" xr:uid="{0E5716E1-07C4-44FD-9D41-FC012E1934F4}"/>
    <cellStyle name="Normal 5 3 4 2 2 8" xfId="9037" xr:uid="{8430DF2B-6529-4B63-85DC-9A28822D4AED}"/>
    <cellStyle name="Normal 5 3 4 2 3" xfId="925" xr:uid="{00000000-0005-0000-0000-0000291A0000}"/>
    <cellStyle name="Normal 5 3 4 2 3 2" xfId="3159" xr:uid="{00000000-0005-0000-0000-00002A1A0000}"/>
    <cellStyle name="Normal 5 3 4 2 3 2 2" xfId="7383" xr:uid="{00000000-0005-0000-0000-00002B1A0000}"/>
    <cellStyle name="Normal 5 3 4 2 3 2 2 2" xfId="15812" xr:uid="{5154B6F2-73A7-4550-BE46-1920B831D6B5}"/>
    <cellStyle name="Normal 5 3 4 2 3 2 3" xfId="11594" xr:uid="{2F65A0FF-6761-4DE2-B1BB-BD36B62BF8E2}"/>
    <cellStyle name="Normal 5 3 4 2 3 3" xfId="5238" xr:uid="{00000000-0005-0000-0000-00002C1A0000}"/>
    <cellStyle name="Normal 5 3 4 2 3 3 2" xfId="13667" xr:uid="{7F1D470D-331C-4E8D-985A-9023502291BF}"/>
    <cellStyle name="Normal 5 3 4 2 3 4" xfId="9449" xr:uid="{302171A4-4116-4D31-B193-3144A9B1718F}"/>
    <cellStyle name="Normal 5 3 4 2 4" xfId="1342" xr:uid="{00000000-0005-0000-0000-00002D1A0000}"/>
    <cellStyle name="Normal 5 3 4 2 4 2" xfId="3572" xr:uid="{00000000-0005-0000-0000-00002E1A0000}"/>
    <cellStyle name="Normal 5 3 4 2 4 2 2" xfId="7796" xr:uid="{00000000-0005-0000-0000-00002F1A0000}"/>
    <cellStyle name="Normal 5 3 4 2 4 2 2 2" xfId="16225" xr:uid="{F9A9AC2E-509F-47A3-AABC-109EC60F1F35}"/>
    <cellStyle name="Normal 5 3 4 2 4 2 3" xfId="12007" xr:uid="{88C025F4-4276-4429-BE50-7F81D62F5A64}"/>
    <cellStyle name="Normal 5 3 4 2 4 3" xfId="5651" xr:uid="{00000000-0005-0000-0000-0000301A0000}"/>
    <cellStyle name="Normal 5 3 4 2 4 3 2" xfId="14080" xr:uid="{740DB846-653B-4989-A54F-F74379FD36DC}"/>
    <cellStyle name="Normal 5 3 4 2 4 4" xfId="9862" xr:uid="{963D2526-775F-4DEC-87A0-2FDFE72B7820}"/>
    <cellStyle name="Normal 5 3 4 2 5" xfId="1755" xr:uid="{00000000-0005-0000-0000-0000311A0000}"/>
    <cellStyle name="Normal 5 3 4 2 5 2" xfId="3985" xr:uid="{00000000-0005-0000-0000-0000321A0000}"/>
    <cellStyle name="Normal 5 3 4 2 5 2 2" xfId="8209" xr:uid="{00000000-0005-0000-0000-0000331A0000}"/>
    <cellStyle name="Normal 5 3 4 2 5 2 2 2" xfId="16638" xr:uid="{A7AF167E-7C7F-4C45-8FE3-61E3F641431A}"/>
    <cellStyle name="Normal 5 3 4 2 5 2 3" xfId="12420" xr:uid="{46B0CA60-3FBF-415F-96D9-9CEDB457ECB4}"/>
    <cellStyle name="Normal 5 3 4 2 5 3" xfId="6064" xr:uid="{00000000-0005-0000-0000-0000341A0000}"/>
    <cellStyle name="Normal 5 3 4 2 5 3 2" xfId="14493" xr:uid="{B327A3F9-7EED-4965-B7DB-8CFC94818ED3}"/>
    <cellStyle name="Normal 5 3 4 2 5 4" xfId="10275" xr:uid="{68CAD332-C103-4F12-9DF8-4C91C8CFF895}"/>
    <cellStyle name="Normal 5 3 4 2 6" xfId="2169" xr:uid="{00000000-0005-0000-0000-0000351A0000}"/>
    <cellStyle name="Normal 5 3 4 2 6 2" xfId="4398" xr:uid="{00000000-0005-0000-0000-0000361A0000}"/>
    <cellStyle name="Normal 5 3 4 2 6 2 2" xfId="8622" xr:uid="{00000000-0005-0000-0000-0000371A0000}"/>
    <cellStyle name="Normal 5 3 4 2 6 2 2 2" xfId="17051" xr:uid="{E3CA876F-48F5-4AFE-805D-94A276BBC41C}"/>
    <cellStyle name="Normal 5 3 4 2 6 2 3" xfId="12833" xr:uid="{F5034553-4A77-4EB6-8189-370F741A68ED}"/>
    <cellStyle name="Normal 5 3 4 2 6 3" xfId="6477" xr:uid="{00000000-0005-0000-0000-0000381A0000}"/>
    <cellStyle name="Normal 5 3 4 2 6 3 2" xfId="14906" xr:uid="{E5AEE9B1-65D8-4C74-84D3-53E0CA8C5EEB}"/>
    <cellStyle name="Normal 5 3 4 2 6 4" xfId="10688" xr:uid="{8E141C14-4D43-41C0-AF26-F892B25095B1}"/>
    <cellStyle name="Normal 5 3 4 2 7" xfId="2605" xr:uid="{00000000-0005-0000-0000-0000391A0000}"/>
    <cellStyle name="Normal 5 3 4 2 7 2" xfId="6890" xr:uid="{00000000-0005-0000-0000-00003A1A0000}"/>
    <cellStyle name="Normal 5 3 4 2 7 2 2" xfId="15319" xr:uid="{FBA1AB51-A402-4E2F-802D-FBC8199DAE8F}"/>
    <cellStyle name="Normal 5 3 4 2 7 3" xfId="11101" xr:uid="{A7ABFC9D-4394-4E30-91E6-4E88D0D867DE}"/>
    <cellStyle name="Normal 5 3 4 2 8" xfId="4825" xr:uid="{00000000-0005-0000-0000-00003B1A0000}"/>
    <cellStyle name="Normal 5 3 4 2 8 2" xfId="13254" xr:uid="{90443A48-9884-475E-BDAA-EF65BFC07F43}"/>
    <cellStyle name="Normal 5 3 4 2 9" xfId="9036" xr:uid="{7F6DA69C-E83E-4173-A8E3-69D415FBD1E9}"/>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2 2 2" xfId="15814" xr:uid="{B21A8ED1-52F0-4358-892B-0A2BE56CAA67}"/>
    <cellStyle name="Normal 5 3 4 3 2 2 3" xfId="11596" xr:uid="{7DD09ABF-E6AA-4E13-8932-8C5FFFA14A73}"/>
    <cellStyle name="Normal 5 3 4 3 2 3" xfId="5240" xr:uid="{00000000-0005-0000-0000-0000401A0000}"/>
    <cellStyle name="Normal 5 3 4 3 2 3 2" xfId="13669" xr:uid="{24222BF7-E020-4303-B6A8-3A2594F60763}"/>
    <cellStyle name="Normal 5 3 4 3 2 4" xfId="9451" xr:uid="{F8BA9BA4-E766-4E53-91D9-A4047B7B4642}"/>
    <cellStyle name="Normal 5 3 4 3 3" xfId="1344" xr:uid="{00000000-0005-0000-0000-0000411A0000}"/>
    <cellStyle name="Normal 5 3 4 3 3 2" xfId="3574" xr:uid="{00000000-0005-0000-0000-0000421A0000}"/>
    <cellStyle name="Normal 5 3 4 3 3 2 2" xfId="7798" xr:uid="{00000000-0005-0000-0000-0000431A0000}"/>
    <cellStyle name="Normal 5 3 4 3 3 2 2 2" xfId="16227" xr:uid="{AE27F60C-2E5A-4948-8263-D24D8C68617B}"/>
    <cellStyle name="Normal 5 3 4 3 3 2 3" xfId="12009" xr:uid="{9314646F-9237-4FDE-80DC-622E8F4CF104}"/>
    <cellStyle name="Normal 5 3 4 3 3 3" xfId="5653" xr:uid="{00000000-0005-0000-0000-0000441A0000}"/>
    <cellStyle name="Normal 5 3 4 3 3 3 2" xfId="14082" xr:uid="{E82DF3CE-E82D-420E-AAA7-26C84BEC0234}"/>
    <cellStyle name="Normal 5 3 4 3 3 4" xfId="9864" xr:uid="{81F6ACC6-52D8-4C39-B850-2CD1F1EE6B6F}"/>
    <cellStyle name="Normal 5 3 4 3 4" xfId="1757" xr:uid="{00000000-0005-0000-0000-0000451A0000}"/>
    <cellStyle name="Normal 5 3 4 3 4 2" xfId="3987" xr:uid="{00000000-0005-0000-0000-0000461A0000}"/>
    <cellStyle name="Normal 5 3 4 3 4 2 2" xfId="8211" xr:uid="{00000000-0005-0000-0000-0000471A0000}"/>
    <cellStyle name="Normal 5 3 4 3 4 2 2 2" xfId="16640" xr:uid="{C6CF745B-0B95-48C5-9D91-14E579C766A6}"/>
    <cellStyle name="Normal 5 3 4 3 4 2 3" xfId="12422" xr:uid="{E243F79D-A4BC-400C-BA8D-A8950A16211E}"/>
    <cellStyle name="Normal 5 3 4 3 4 3" xfId="6066" xr:uid="{00000000-0005-0000-0000-0000481A0000}"/>
    <cellStyle name="Normal 5 3 4 3 4 3 2" xfId="14495" xr:uid="{2865D343-8BAE-4449-A058-35E28A0AF75A}"/>
    <cellStyle name="Normal 5 3 4 3 4 4" xfId="10277" xr:uid="{6CFFA8B9-3ACC-43EF-B41C-91B048741E2E}"/>
    <cellStyle name="Normal 5 3 4 3 5" xfId="2171" xr:uid="{00000000-0005-0000-0000-0000491A0000}"/>
    <cellStyle name="Normal 5 3 4 3 5 2" xfId="4400" xr:uid="{00000000-0005-0000-0000-00004A1A0000}"/>
    <cellStyle name="Normal 5 3 4 3 5 2 2" xfId="8624" xr:uid="{00000000-0005-0000-0000-00004B1A0000}"/>
    <cellStyle name="Normal 5 3 4 3 5 2 2 2" xfId="17053" xr:uid="{B7575C16-0390-4CB7-B3E4-8288DFBF2BCD}"/>
    <cellStyle name="Normal 5 3 4 3 5 2 3" xfId="12835" xr:uid="{B05F35A8-105D-493D-86C0-496B62E2E9FD}"/>
    <cellStyle name="Normal 5 3 4 3 5 3" xfId="6479" xr:uid="{00000000-0005-0000-0000-00004C1A0000}"/>
    <cellStyle name="Normal 5 3 4 3 5 3 2" xfId="14908" xr:uid="{AFD8BF0B-7859-48F3-9AC0-495C9B3BB4BB}"/>
    <cellStyle name="Normal 5 3 4 3 5 4" xfId="10690" xr:uid="{94F304A6-7B68-40E4-A1E4-A3CBC501208E}"/>
    <cellStyle name="Normal 5 3 4 3 6" xfId="2607" xr:uid="{00000000-0005-0000-0000-00004D1A0000}"/>
    <cellStyle name="Normal 5 3 4 3 6 2" xfId="6892" xr:uid="{00000000-0005-0000-0000-00004E1A0000}"/>
    <cellStyle name="Normal 5 3 4 3 6 2 2" xfId="15321" xr:uid="{97830F06-FFE3-4C47-9BC0-3EF994BF4F5A}"/>
    <cellStyle name="Normal 5 3 4 3 6 3" xfId="11103" xr:uid="{41E0073A-4E51-498C-82AF-3A710BD3BC8B}"/>
    <cellStyle name="Normal 5 3 4 3 7" xfId="4827" xr:uid="{00000000-0005-0000-0000-00004F1A0000}"/>
    <cellStyle name="Normal 5 3 4 3 7 2" xfId="13256" xr:uid="{9009A66A-8EFC-429F-AFC7-53FCBD4BA58C}"/>
    <cellStyle name="Normal 5 3 4 3 8" xfId="9038" xr:uid="{2A17CE4F-A25A-4E26-9C46-28F3986EB2CF}"/>
    <cellStyle name="Normal 5 3 4 4" xfId="924" xr:uid="{00000000-0005-0000-0000-0000501A0000}"/>
    <cellStyle name="Normal 5 3 4 4 2" xfId="3158" xr:uid="{00000000-0005-0000-0000-0000511A0000}"/>
    <cellStyle name="Normal 5 3 4 4 2 2" xfId="7382" xr:uid="{00000000-0005-0000-0000-0000521A0000}"/>
    <cellStyle name="Normal 5 3 4 4 2 2 2" xfId="15811" xr:uid="{D999B2BA-8F25-488E-AD1F-A9AE8C712089}"/>
    <cellStyle name="Normal 5 3 4 4 2 3" xfId="11593" xr:uid="{1E0A4F25-261D-4668-9BE3-DD5F61870EC6}"/>
    <cellStyle name="Normal 5 3 4 4 3" xfId="5237" xr:uid="{00000000-0005-0000-0000-0000531A0000}"/>
    <cellStyle name="Normal 5 3 4 4 3 2" xfId="13666" xr:uid="{97D7749D-19BF-401D-8640-060269F71919}"/>
    <cellStyle name="Normal 5 3 4 4 4" xfId="9448" xr:uid="{82BCE9ED-2EA2-4A44-A259-FC916E53C112}"/>
    <cellStyle name="Normal 5 3 4 5" xfId="1341" xr:uid="{00000000-0005-0000-0000-0000541A0000}"/>
    <cellStyle name="Normal 5 3 4 5 2" xfId="3571" xr:uid="{00000000-0005-0000-0000-0000551A0000}"/>
    <cellStyle name="Normal 5 3 4 5 2 2" xfId="7795" xr:uid="{00000000-0005-0000-0000-0000561A0000}"/>
    <cellStyle name="Normal 5 3 4 5 2 2 2" xfId="16224" xr:uid="{6DA8D1CA-4676-4A33-8119-9EC115496FE2}"/>
    <cellStyle name="Normal 5 3 4 5 2 3" xfId="12006" xr:uid="{16E415C6-D631-4683-B784-49C86F672F94}"/>
    <cellStyle name="Normal 5 3 4 5 3" xfId="5650" xr:uid="{00000000-0005-0000-0000-0000571A0000}"/>
    <cellStyle name="Normal 5 3 4 5 3 2" xfId="14079" xr:uid="{850F4472-5720-4586-BACD-DD37C01E2325}"/>
    <cellStyle name="Normal 5 3 4 5 4" xfId="9861" xr:uid="{ABA013F3-D954-407E-96F7-1C684C61B3F9}"/>
    <cellStyle name="Normal 5 3 4 6" xfId="1754" xr:uid="{00000000-0005-0000-0000-0000581A0000}"/>
    <cellStyle name="Normal 5 3 4 6 2" xfId="3984" xr:uid="{00000000-0005-0000-0000-0000591A0000}"/>
    <cellStyle name="Normal 5 3 4 6 2 2" xfId="8208" xr:uid="{00000000-0005-0000-0000-00005A1A0000}"/>
    <cellStyle name="Normal 5 3 4 6 2 2 2" xfId="16637" xr:uid="{DE7EE878-B0FD-45EE-82C1-72ED2953CD02}"/>
    <cellStyle name="Normal 5 3 4 6 2 3" xfId="12419" xr:uid="{FFAAA45B-C820-4054-A141-832E33B90A4D}"/>
    <cellStyle name="Normal 5 3 4 6 3" xfId="6063" xr:uid="{00000000-0005-0000-0000-00005B1A0000}"/>
    <cellStyle name="Normal 5 3 4 6 3 2" xfId="14492" xr:uid="{62A7CC4B-17DD-4FCE-BF11-0D1CA0060C67}"/>
    <cellStyle name="Normal 5 3 4 6 4" xfId="10274" xr:uid="{3FA7A3D0-5B7C-4BB9-9C9B-B2F92E5E147E}"/>
    <cellStyle name="Normal 5 3 4 7" xfId="2168" xr:uid="{00000000-0005-0000-0000-00005C1A0000}"/>
    <cellStyle name="Normal 5 3 4 7 2" xfId="4397" xr:uid="{00000000-0005-0000-0000-00005D1A0000}"/>
    <cellStyle name="Normal 5 3 4 7 2 2" xfId="8621" xr:uid="{00000000-0005-0000-0000-00005E1A0000}"/>
    <cellStyle name="Normal 5 3 4 7 2 2 2" xfId="17050" xr:uid="{0D2BF9B4-6221-4249-B6F9-52BB1EE01113}"/>
    <cellStyle name="Normal 5 3 4 7 2 3" xfId="12832" xr:uid="{852E5D83-300D-4EC5-BFBA-E160756CBB26}"/>
    <cellStyle name="Normal 5 3 4 7 3" xfId="6476" xr:uid="{00000000-0005-0000-0000-00005F1A0000}"/>
    <cellStyle name="Normal 5 3 4 7 3 2" xfId="14905" xr:uid="{2B5E3CCE-5025-47C9-A4FC-6CEAF93B9B53}"/>
    <cellStyle name="Normal 5 3 4 7 4" xfId="10687" xr:uid="{A26AF3DA-AC35-4413-8D58-165646026A6B}"/>
    <cellStyle name="Normal 5 3 4 8" xfId="2604" xr:uid="{00000000-0005-0000-0000-0000601A0000}"/>
    <cellStyle name="Normal 5 3 4 8 2" xfId="6889" xr:uid="{00000000-0005-0000-0000-0000611A0000}"/>
    <cellStyle name="Normal 5 3 4 8 2 2" xfId="15318" xr:uid="{12C1FDF4-B806-4EEE-8A96-9C7842E61EAD}"/>
    <cellStyle name="Normal 5 3 4 8 3" xfId="11100" xr:uid="{38A3B462-272A-447C-962D-A92A7E1E3BF1}"/>
    <cellStyle name="Normal 5 3 4 9" xfId="4824" xr:uid="{00000000-0005-0000-0000-0000621A0000}"/>
    <cellStyle name="Normal 5 3 4 9 2" xfId="13253" xr:uid="{193DEE4D-AFB9-4271-AFC3-8D70605C943E}"/>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2 2 2" xfId="15816" xr:uid="{D90FF16F-ADC8-4168-8338-ED798545637F}"/>
    <cellStyle name="Normal 5 3 5 2 2 2 3" xfId="11598" xr:uid="{D0238F4E-9189-4AB8-BCAC-B50F68FCA8B8}"/>
    <cellStyle name="Normal 5 3 5 2 2 3" xfId="5242" xr:uid="{00000000-0005-0000-0000-0000681A0000}"/>
    <cellStyle name="Normal 5 3 5 2 2 3 2" xfId="13671" xr:uid="{08EAFCD9-A2A0-40A3-BEBA-C500D6282801}"/>
    <cellStyle name="Normal 5 3 5 2 2 4" xfId="9453" xr:uid="{905FD75B-CDBD-41AE-AC19-C2CE82630009}"/>
    <cellStyle name="Normal 5 3 5 2 3" xfId="1346" xr:uid="{00000000-0005-0000-0000-0000691A0000}"/>
    <cellStyle name="Normal 5 3 5 2 3 2" xfId="3576" xr:uid="{00000000-0005-0000-0000-00006A1A0000}"/>
    <cellStyle name="Normal 5 3 5 2 3 2 2" xfId="7800" xr:uid="{00000000-0005-0000-0000-00006B1A0000}"/>
    <cellStyle name="Normal 5 3 5 2 3 2 2 2" xfId="16229" xr:uid="{2F02F4A6-9596-4DE2-BA34-ACA9EF1E0232}"/>
    <cellStyle name="Normal 5 3 5 2 3 2 3" xfId="12011" xr:uid="{01ECD7F6-C2C3-495C-A1A2-EA2584BE9C5F}"/>
    <cellStyle name="Normal 5 3 5 2 3 3" xfId="5655" xr:uid="{00000000-0005-0000-0000-00006C1A0000}"/>
    <cellStyle name="Normal 5 3 5 2 3 3 2" xfId="14084" xr:uid="{9FBC639E-9D45-4005-B702-67A049E1D8DB}"/>
    <cellStyle name="Normal 5 3 5 2 3 4" xfId="9866" xr:uid="{5049D77E-1C31-4357-9493-DE588ABA7730}"/>
    <cellStyle name="Normal 5 3 5 2 4" xfId="1759" xr:uid="{00000000-0005-0000-0000-00006D1A0000}"/>
    <cellStyle name="Normal 5 3 5 2 4 2" xfId="3989" xr:uid="{00000000-0005-0000-0000-00006E1A0000}"/>
    <cellStyle name="Normal 5 3 5 2 4 2 2" xfId="8213" xr:uid="{00000000-0005-0000-0000-00006F1A0000}"/>
    <cellStyle name="Normal 5 3 5 2 4 2 2 2" xfId="16642" xr:uid="{B75AB7C5-7E75-4E2A-8936-DC4C3707FDB9}"/>
    <cellStyle name="Normal 5 3 5 2 4 2 3" xfId="12424" xr:uid="{05D63268-468D-4E5B-805F-165886D6356C}"/>
    <cellStyle name="Normal 5 3 5 2 4 3" xfId="6068" xr:uid="{00000000-0005-0000-0000-0000701A0000}"/>
    <cellStyle name="Normal 5 3 5 2 4 3 2" xfId="14497" xr:uid="{CF3CCAA6-38D3-4AF3-B3D6-C16F4C4F4BA6}"/>
    <cellStyle name="Normal 5 3 5 2 4 4" xfId="10279" xr:uid="{86AB42C7-69CD-4C46-81E9-ED4DF5F8358B}"/>
    <cellStyle name="Normal 5 3 5 2 5" xfId="2173" xr:uid="{00000000-0005-0000-0000-0000711A0000}"/>
    <cellStyle name="Normal 5 3 5 2 5 2" xfId="4402" xr:uid="{00000000-0005-0000-0000-0000721A0000}"/>
    <cellStyle name="Normal 5 3 5 2 5 2 2" xfId="8626" xr:uid="{00000000-0005-0000-0000-0000731A0000}"/>
    <cellStyle name="Normal 5 3 5 2 5 2 2 2" xfId="17055" xr:uid="{03BD429E-920D-4966-A14F-ECF062F8DDA2}"/>
    <cellStyle name="Normal 5 3 5 2 5 2 3" xfId="12837" xr:uid="{39495158-272C-4E7E-9221-3F3B9385A2C1}"/>
    <cellStyle name="Normal 5 3 5 2 5 3" xfId="6481" xr:uid="{00000000-0005-0000-0000-0000741A0000}"/>
    <cellStyle name="Normal 5 3 5 2 5 3 2" xfId="14910" xr:uid="{9DEE65F8-0724-489F-95DE-3EAA6665915A}"/>
    <cellStyle name="Normal 5 3 5 2 5 4" xfId="10692" xr:uid="{69A7C7B6-74C0-4434-9480-9B94BD4CC86D}"/>
    <cellStyle name="Normal 5 3 5 2 6" xfId="2609" xr:uid="{00000000-0005-0000-0000-0000751A0000}"/>
    <cellStyle name="Normal 5 3 5 2 6 2" xfId="6894" xr:uid="{00000000-0005-0000-0000-0000761A0000}"/>
    <cellStyle name="Normal 5 3 5 2 6 2 2" xfId="15323" xr:uid="{4BCD8D00-0E8F-490A-9C79-BBFCAD278DD8}"/>
    <cellStyle name="Normal 5 3 5 2 6 3" xfId="11105" xr:uid="{F5F8B114-DF41-4DA8-A65F-605991BC6260}"/>
    <cellStyle name="Normal 5 3 5 2 7" xfId="4829" xr:uid="{00000000-0005-0000-0000-0000771A0000}"/>
    <cellStyle name="Normal 5 3 5 2 7 2" xfId="13258" xr:uid="{096A9B84-1BA1-483C-A285-4B85A9806D17}"/>
    <cellStyle name="Normal 5 3 5 2 8" xfId="9040" xr:uid="{FEC879F4-664F-48E6-B77E-FFB8B8394E7D}"/>
    <cellStyle name="Normal 5 3 5 3" xfId="928" xr:uid="{00000000-0005-0000-0000-0000781A0000}"/>
    <cellStyle name="Normal 5 3 5 3 2" xfId="3162" xr:uid="{00000000-0005-0000-0000-0000791A0000}"/>
    <cellStyle name="Normal 5 3 5 3 2 2" xfId="7386" xr:uid="{00000000-0005-0000-0000-00007A1A0000}"/>
    <cellStyle name="Normal 5 3 5 3 2 2 2" xfId="15815" xr:uid="{70C8D0A7-4205-452D-B00D-FEC12F58B09C}"/>
    <cellStyle name="Normal 5 3 5 3 2 3" xfId="11597" xr:uid="{77EB07C7-028B-4320-8745-F9BEF08AEF4D}"/>
    <cellStyle name="Normal 5 3 5 3 3" xfId="5241" xr:uid="{00000000-0005-0000-0000-00007B1A0000}"/>
    <cellStyle name="Normal 5 3 5 3 3 2" xfId="13670" xr:uid="{82EBAD6D-E126-4E1B-B754-FB80A3EBCB9A}"/>
    <cellStyle name="Normal 5 3 5 3 4" xfId="9452" xr:uid="{3B26DB69-EF8A-41A9-8A30-E3EB65CADE47}"/>
    <cellStyle name="Normal 5 3 5 4" xfId="1345" xr:uid="{00000000-0005-0000-0000-00007C1A0000}"/>
    <cellStyle name="Normal 5 3 5 4 2" xfId="3575" xr:uid="{00000000-0005-0000-0000-00007D1A0000}"/>
    <cellStyle name="Normal 5 3 5 4 2 2" xfId="7799" xr:uid="{00000000-0005-0000-0000-00007E1A0000}"/>
    <cellStyle name="Normal 5 3 5 4 2 2 2" xfId="16228" xr:uid="{782D279C-D041-4C2A-86D2-70DC3468DB59}"/>
    <cellStyle name="Normal 5 3 5 4 2 3" xfId="12010" xr:uid="{0D9D32E5-4193-4C71-A22A-669BA218CD0B}"/>
    <cellStyle name="Normal 5 3 5 4 3" xfId="5654" xr:uid="{00000000-0005-0000-0000-00007F1A0000}"/>
    <cellStyle name="Normal 5 3 5 4 3 2" xfId="14083" xr:uid="{65D12D1E-CB7E-441C-9058-FFCCDC797078}"/>
    <cellStyle name="Normal 5 3 5 4 4" xfId="9865" xr:uid="{2CDC5BF3-8C90-4900-A61B-35E7E84FE4A1}"/>
    <cellStyle name="Normal 5 3 5 5" xfId="1758" xr:uid="{00000000-0005-0000-0000-0000801A0000}"/>
    <cellStyle name="Normal 5 3 5 5 2" xfId="3988" xr:uid="{00000000-0005-0000-0000-0000811A0000}"/>
    <cellStyle name="Normal 5 3 5 5 2 2" xfId="8212" xr:uid="{00000000-0005-0000-0000-0000821A0000}"/>
    <cellStyle name="Normal 5 3 5 5 2 2 2" xfId="16641" xr:uid="{49811784-1FCA-4364-9138-779BD9D99F79}"/>
    <cellStyle name="Normal 5 3 5 5 2 3" xfId="12423" xr:uid="{724CDDC8-F069-4309-A034-E0F988242B32}"/>
    <cellStyle name="Normal 5 3 5 5 3" xfId="6067" xr:uid="{00000000-0005-0000-0000-0000831A0000}"/>
    <cellStyle name="Normal 5 3 5 5 3 2" xfId="14496" xr:uid="{1EECDE6E-6F79-4078-B37C-506EE41F5BC3}"/>
    <cellStyle name="Normal 5 3 5 5 4" xfId="10278" xr:uid="{E98B4D93-E941-4A2B-B44B-127212C68049}"/>
    <cellStyle name="Normal 5 3 5 6" xfId="2172" xr:uid="{00000000-0005-0000-0000-0000841A0000}"/>
    <cellStyle name="Normal 5 3 5 6 2" xfId="4401" xr:uid="{00000000-0005-0000-0000-0000851A0000}"/>
    <cellStyle name="Normal 5 3 5 6 2 2" xfId="8625" xr:uid="{00000000-0005-0000-0000-0000861A0000}"/>
    <cellStyle name="Normal 5 3 5 6 2 2 2" xfId="17054" xr:uid="{2ED11F92-24AD-4B44-9690-8BEA6346881B}"/>
    <cellStyle name="Normal 5 3 5 6 2 3" xfId="12836" xr:uid="{56B6252E-61A7-4F6B-843C-DC7F20F364A2}"/>
    <cellStyle name="Normal 5 3 5 6 3" xfId="6480" xr:uid="{00000000-0005-0000-0000-0000871A0000}"/>
    <cellStyle name="Normal 5 3 5 6 3 2" xfId="14909" xr:uid="{F8065DD2-335B-4616-9D48-19CAE8806382}"/>
    <cellStyle name="Normal 5 3 5 6 4" xfId="10691" xr:uid="{543A09B6-0134-449A-AE12-A8893743236F}"/>
    <cellStyle name="Normal 5 3 5 7" xfId="2608" xr:uid="{00000000-0005-0000-0000-0000881A0000}"/>
    <cellStyle name="Normal 5 3 5 7 2" xfId="6893" xr:uid="{00000000-0005-0000-0000-0000891A0000}"/>
    <cellStyle name="Normal 5 3 5 7 2 2" xfId="15322" xr:uid="{07A4092A-AA12-4D96-91B1-E2B31E2C0ACA}"/>
    <cellStyle name="Normal 5 3 5 7 3" xfId="11104" xr:uid="{A72F515C-0CE0-4A3F-A13C-F6268BD788D5}"/>
    <cellStyle name="Normal 5 3 5 8" xfId="4828" xr:uid="{00000000-0005-0000-0000-00008A1A0000}"/>
    <cellStyle name="Normal 5 3 5 8 2" xfId="13257" xr:uid="{E884156B-97A8-4C99-B702-84B9049B85A5}"/>
    <cellStyle name="Normal 5 3 5 9" xfId="9039" xr:uid="{3D53D1BC-4FF8-4CC8-BE9A-06371AD44B7F}"/>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2 2 2" xfId="15817" xr:uid="{7C24918D-C5EE-4F3B-B711-C4D32579A887}"/>
    <cellStyle name="Normal 5 3 6 2 2 3" xfId="11599" xr:uid="{7172D435-EB5E-4092-BCDB-D8E85D777834}"/>
    <cellStyle name="Normal 5 3 6 2 3" xfId="5243" xr:uid="{00000000-0005-0000-0000-00008F1A0000}"/>
    <cellStyle name="Normal 5 3 6 2 3 2" xfId="13672" xr:uid="{BEE76487-FDC3-46A7-9181-7FF1DFBCE85B}"/>
    <cellStyle name="Normal 5 3 6 2 4" xfId="9454" xr:uid="{06D790CB-203D-4BD4-B8F6-7B82AAC1F28E}"/>
    <cellStyle name="Normal 5 3 6 3" xfId="1347" xr:uid="{00000000-0005-0000-0000-0000901A0000}"/>
    <cellStyle name="Normal 5 3 6 3 2" xfId="3577" xr:uid="{00000000-0005-0000-0000-0000911A0000}"/>
    <cellStyle name="Normal 5 3 6 3 2 2" xfId="7801" xr:uid="{00000000-0005-0000-0000-0000921A0000}"/>
    <cellStyle name="Normal 5 3 6 3 2 2 2" xfId="16230" xr:uid="{F044DEF0-8738-41DA-B784-9301227A9064}"/>
    <cellStyle name="Normal 5 3 6 3 2 3" xfId="12012" xr:uid="{27769A82-21E1-41BF-B228-A0986215095D}"/>
    <cellStyle name="Normal 5 3 6 3 3" xfId="5656" xr:uid="{00000000-0005-0000-0000-0000931A0000}"/>
    <cellStyle name="Normal 5 3 6 3 3 2" xfId="14085" xr:uid="{A551AA17-DF22-4A99-A480-63585D1091C4}"/>
    <cellStyle name="Normal 5 3 6 3 4" xfId="9867" xr:uid="{13B7367C-6A10-4792-A65B-AC5065135F97}"/>
    <cellStyle name="Normal 5 3 6 4" xfId="1760" xr:uid="{00000000-0005-0000-0000-0000941A0000}"/>
    <cellStyle name="Normal 5 3 6 4 2" xfId="3990" xr:uid="{00000000-0005-0000-0000-0000951A0000}"/>
    <cellStyle name="Normal 5 3 6 4 2 2" xfId="8214" xr:uid="{00000000-0005-0000-0000-0000961A0000}"/>
    <cellStyle name="Normal 5 3 6 4 2 2 2" xfId="16643" xr:uid="{BAE5EE0D-2E64-408B-9178-CBBAB0FBFC90}"/>
    <cellStyle name="Normal 5 3 6 4 2 3" xfId="12425" xr:uid="{C45FAC94-7737-4FE1-95D0-B9CBB3D2BB5E}"/>
    <cellStyle name="Normal 5 3 6 4 3" xfId="6069" xr:uid="{00000000-0005-0000-0000-0000971A0000}"/>
    <cellStyle name="Normal 5 3 6 4 3 2" xfId="14498" xr:uid="{86C2EF5A-09DA-4132-A71F-4F9EB8F52F7F}"/>
    <cellStyle name="Normal 5 3 6 4 4" xfId="10280" xr:uid="{8CE3F8C5-8AA1-4F55-87C6-DE5DD508DA3B}"/>
    <cellStyle name="Normal 5 3 6 5" xfId="2174" xr:uid="{00000000-0005-0000-0000-0000981A0000}"/>
    <cellStyle name="Normal 5 3 6 5 2" xfId="4403" xr:uid="{00000000-0005-0000-0000-0000991A0000}"/>
    <cellStyle name="Normal 5 3 6 5 2 2" xfId="8627" xr:uid="{00000000-0005-0000-0000-00009A1A0000}"/>
    <cellStyle name="Normal 5 3 6 5 2 2 2" xfId="17056" xr:uid="{689F6A08-DE67-412D-B523-37C074E1C2F2}"/>
    <cellStyle name="Normal 5 3 6 5 2 3" xfId="12838" xr:uid="{EE0B1B07-5060-4437-BCC4-2EF1F4E3C744}"/>
    <cellStyle name="Normal 5 3 6 5 3" xfId="6482" xr:uid="{00000000-0005-0000-0000-00009B1A0000}"/>
    <cellStyle name="Normal 5 3 6 5 3 2" xfId="14911" xr:uid="{DFD04903-F8CB-4096-A1F6-008490070618}"/>
    <cellStyle name="Normal 5 3 6 5 4" xfId="10693" xr:uid="{B017FA22-9BC9-45B0-90EA-26A30999AEFD}"/>
    <cellStyle name="Normal 5 3 6 6" xfId="2610" xr:uid="{00000000-0005-0000-0000-00009C1A0000}"/>
    <cellStyle name="Normal 5 3 6 6 2" xfId="6895" xr:uid="{00000000-0005-0000-0000-00009D1A0000}"/>
    <cellStyle name="Normal 5 3 6 6 2 2" xfId="15324" xr:uid="{BA9E4BC8-CDFA-4AC2-AA6D-52F82C44B2C8}"/>
    <cellStyle name="Normal 5 3 6 6 3" xfId="11106" xr:uid="{A2EAD223-E6C2-48D7-A265-6DB9B32C4F37}"/>
    <cellStyle name="Normal 5 3 6 7" xfId="4830" xr:uid="{00000000-0005-0000-0000-00009E1A0000}"/>
    <cellStyle name="Normal 5 3 6 7 2" xfId="13259" xr:uid="{AC9A3BAC-8FA8-4635-AE35-DC540CDD9125}"/>
    <cellStyle name="Normal 5 3 6 8" xfId="9041" xr:uid="{0AE42849-BBC9-4482-BF0E-CA66F4098877}"/>
    <cellStyle name="Normal 5 3 7" xfId="914" xr:uid="{00000000-0005-0000-0000-00009F1A0000}"/>
    <cellStyle name="Normal 5 3 7 2" xfId="3149" xr:uid="{00000000-0005-0000-0000-0000A01A0000}"/>
    <cellStyle name="Normal 5 3 7 2 2" xfId="7373" xr:uid="{00000000-0005-0000-0000-0000A11A0000}"/>
    <cellStyle name="Normal 5 3 7 2 2 2" xfId="15802" xr:uid="{03F85DAA-34AF-4F77-B2F6-1A8361D52D3B}"/>
    <cellStyle name="Normal 5 3 7 2 3" xfId="11584" xr:uid="{C908DB8F-63C9-40BF-81E4-69A288AAFBD6}"/>
    <cellStyle name="Normal 5 3 7 3" xfId="5228" xr:uid="{00000000-0005-0000-0000-0000A21A0000}"/>
    <cellStyle name="Normal 5 3 7 3 2" xfId="13657" xr:uid="{F25FDBB8-546F-4E85-B2E9-D0817C1AC76B}"/>
    <cellStyle name="Normal 5 3 7 4" xfId="9439" xr:uid="{62DD1169-F329-443C-90F1-2DFD4E1EBC23}"/>
    <cellStyle name="Normal 5 3 8" xfId="1332" xr:uid="{00000000-0005-0000-0000-0000A31A0000}"/>
    <cellStyle name="Normal 5 3 8 2" xfId="3562" xr:uid="{00000000-0005-0000-0000-0000A41A0000}"/>
    <cellStyle name="Normal 5 3 8 2 2" xfId="7786" xr:uid="{00000000-0005-0000-0000-0000A51A0000}"/>
    <cellStyle name="Normal 5 3 8 2 2 2" xfId="16215" xr:uid="{E6870D15-4386-4739-A1C7-81A3EC67A01D}"/>
    <cellStyle name="Normal 5 3 8 2 3" xfId="11997" xr:uid="{321C2D10-5644-48D0-AED7-000EAA19030C}"/>
    <cellStyle name="Normal 5 3 8 3" xfId="5641" xr:uid="{00000000-0005-0000-0000-0000A61A0000}"/>
    <cellStyle name="Normal 5 3 8 3 2" xfId="14070" xr:uid="{7082A25B-9186-431B-8BC1-0461FBCCD92E}"/>
    <cellStyle name="Normal 5 3 8 4" xfId="9852" xr:uid="{19A6EF16-4EDA-4220-B110-C9473C2C5F56}"/>
    <cellStyle name="Normal 5 3 9" xfId="1745" xr:uid="{00000000-0005-0000-0000-0000A71A0000}"/>
    <cellStyle name="Normal 5 3 9 2" xfId="3975" xr:uid="{00000000-0005-0000-0000-0000A81A0000}"/>
    <cellStyle name="Normal 5 3 9 2 2" xfId="8199" xr:uid="{00000000-0005-0000-0000-0000A91A0000}"/>
    <cellStyle name="Normal 5 3 9 2 2 2" xfId="16628" xr:uid="{781440D7-1056-48D9-A557-5EED97FCB461}"/>
    <cellStyle name="Normal 5 3 9 2 3" xfId="12410" xr:uid="{4305A91D-C5C2-4FD2-97AD-8B86C1596AD0}"/>
    <cellStyle name="Normal 5 3 9 3" xfId="6054" xr:uid="{00000000-0005-0000-0000-0000AA1A0000}"/>
    <cellStyle name="Normal 5 3 9 3 2" xfId="14483" xr:uid="{279F4BC6-F4C7-4A7A-BE3B-4FC3B7F28421}"/>
    <cellStyle name="Normal 5 3 9 4" xfId="10265" xr:uid="{D26B0F14-0DCC-43D2-BABB-13486B4CB461}"/>
    <cellStyle name="Normal 5 4" xfId="456" xr:uid="{00000000-0005-0000-0000-0000AB1A0000}"/>
    <cellStyle name="Normal 5 4 10" xfId="4831" xr:uid="{00000000-0005-0000-0000-0000AC1A0000}"/>
    <cellStyle name="Normal 5 4 10 2" xfId="13260" xr:uid="{F9EB90FA-DABB-4B76-911E-00B0267466F1}"/>
    <cellStyle name="Normal 5 4 11" xfId="9042" xr:uid="{D78B3B07-96D3-4D4B-9AA0-4BC1F8D7252D}"/>
    <cellStyle name="Normal 5 4 2" xfId="457" xr:uid="{00000000-0005-0000-0000-0000AD1A0000}"/>
    <cellStyle name="Normal 5 4 2 10" xfId="9043" xr:uid="{294BB569-346A-4502-BB2E-40D443BDF99C}"/>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2 2 2" xfId="15821" xr:uid="{6302CCF6-174B-4696-918C-A97F57B1E0CC}"/>
    <cellStyle name="Normal 5 4 2 2 2 2 2 3" xfId="11603" xr:uid="{30A0CE38-5914-4DB2-8E0F-56FF5E7A04CB}"/>
    <cellStyle name="Normal 5 4 2 2 2 2 3" xfId="5247" xr:uid="{00000000-0005-0000-0000-0000B31A0000}"/>
    <cellStyle name="Normal 5 4 2 2 2 2 3 2" xfId="13676" xr:uid="{721C624A-A837-44C2-9F28-B945DF25EE73}"/>
    <cellStyle name="Normal 5 4 2 2 2 2 4" xfId="9458" xr:uid="{76DAA3A6-986A-47F4-BAE4-3DFEDFE6879A}"/>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2 2 2" xfId="16234" xr:uid="{A429CDD2-DF50-4DE7-B73C-D377349B377B}"/>
    <cellStyle name="Normal 5 4 2 2 2 3 2 3" xfId="12016" xr:uid="{1363B55D-A733-46D7-A235-42C120BF5DF7}"/>
    <cellStyle name="Normal 5 4 2 2 2 3 3" xfId="5660" xr:uid="{00000000-0005-0000-0000-0000B71A0000}"/>
    <cellStyle name="Normal 5 4 2 2 2 3 3 2" xfId="14089" xr:uid="{492963E2-8E0A-4A45-8EC0-333CD20F5132}"/>
    <cellStyle name="Normal 5 4 2 2 2 3 4" xfId="9871" xr:uid="{40C1383D-74D5-40B9-B310-8528B537EB64}"/>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2 2 2" xfId="16647" xr:uid="{771AF6EF-49C2-4729-9C16-5E2F8D41B27C}"/>
    <cellStyle name="Normal 5 4 2 2 2 4 2 3" xfId="12429" xr:uid="{AABCCA44-7CFF-4060-8513-78E137ED786A}"/>
    <cellStyle name="Normal 5 4 2 2 2 4 3" xfId="6073" xr:uid="{00000000-0005-0000-0000-0000BB1A0000}"/>
    <cellStyle name="Normal 5 4 2 2 2 4 3 2" xfId="14502" xr:uid="{E88F3DF8-98F4-49F5-A02C-4F3A61D5AB75}"/>
    <cellStyle name="Normal 5 4 2 2 2 4 4" xfId="10284" xr:uid="{685BFBD9-2C42-4314-9566-249D513BA1B8}"/>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2 2 2" xfId="17060" xr:uid="{ACBB614F-E22E-4D85-A6BB-693DF8289B5F}"/>
    <cellStyle name="Normal 5 4 2 2 2 5 2 3" xfId="12842" xr:uid="{72106730-7780-40CF-845F-8E6D2928FC62}"/>
    <cellStyle name="Normal 5 4 2 2 2 5 3" xfId="6486" xr:uid="{00000000-0005-0000-0000-0000BF1A0000}"/>
    <cellStyle name="Normal 5 4 2 2 2 5 3 2" xfId="14915" xr:uid="{FABCE644-0FD9-45A4-A7E9-A460A2A2BBA4}"/>
    <cellStyle name="Normal 5 4 2 2 2 5 4" xfId="10697" xr:uid="{57FBF013-E9C0-4FD9-88C2-2055C68B30A0}"/>
    <cellStyle name="Normal 5 4 2 2 2 6" xfId="2614" xr:uid="{00000000-0005-0000-0000-0000C01A0000}"/>
    <cellStyle name="Normal 5 4 2 2 2 6 2" xfId="6899" xr:uid="{00000000-0005-0000-0000-0000C11A0000}"/>
    <cellStyle name="Normal 5 4 2 2 2 6 2 2" xfId="15328" xr:uid="{D6F8CCC8-F64A-450E-9EDD-D92B76A4D28C}"/>
    <cellStyle name="Normal 5 4 2 2 2 6 3" xfId="11110" xr:uid="{84FEAA5B-5914-4F79-A466-4B44D1540E1E}"/>
    <cellStyle name="Normal 5 4 2 2 2 7" xfId="4834" xr:uid="{00000000-0005-0000-0000-0000C21A0000}"/>
    <cellStyle name="Normal 5 4 2 2 2 7 2" xfId="13263" xr:uid="{E4160310-9C08-4093-A1C4-E791A0AC54A4}"/>
    <cellStyle name="Normal 5 4 2 2 2 8" xfId="9045" xr:uid="{3EE0B4E3-B904-4ED6-A1FB-439FC2D4C73C}"/>
    <cellStyle name="Normal 5 4 2 2 3" xfId="933" xr:uid="{00000000-0005-0000-0000-0000C31A0000}"/>
    <cellStyle name="Normal 5 4 2 2 3 2" xfId="3167" xr:uid="{00000000-0005-0000-0000-0000C41A0000}"/>
    <cellStyle name="Normal 5 4 2 2 3 2 2" xfId="7391" xr:uid="{00000000-0005-0000-0000-0000C51A0000}"/>
    <cellStyle name="Normal 5 4 2 2 3 2 2 2" xfId="15820" xr:uid="{D00D5392-F9F8-40D1-B1A1-430B626E6678}"/>
    <cellStyle name="Normal 5 4 2 2 3 2 3" xfId="11602" xr:uid="{826E087F-DC4D-4000-B441-3F5160182BF9}"/>
    <cellStyle name="Normal 5 4 2 2 3 3" xfId="5246" xr:uid="{00000000-0005-0000-0000-0000C61A0000}"/>
    <cellStyle name="Normal 5 4 2 2 3 3 2" xfId="13675" xr:uid="{E2A81E16-D1B4-4987-BE69-3A19708F78F5}"/>
    <cellStyle name="Normal 5 4 2 2 3 4" xfId="9457" xr:uid="{F0F6FB6E-4716-4045-BDD8-4EB3E14318BB}"/>
    <cellStyle name="Normal 5 4 2 2 4" xfId="1350" xr:uid="{00000000-0005-0000-0000-0000C71A0000}"/>
    <cellStyle name="Normal 5 4 2 2 4 2" xfId="3580" xr:uid="{00000000-0005-0000-0000-0000C81A0000}"/>
    <cellStyle name="Normal 5 4 2 2 4 2 2" xfId="7804" xr:uid="{00000000-0005-0000-0000-0000C91A0000}"/>
    <cellStyle name="Normal 5 4 2 2 4 2 2 2" xfId="16233" xr:uid="{F5FF1823-C81E-4849-A0FB-2274D94C6B64}"/>
    <cellStyle name="Normal 5 4 2 2 4 2 3" xfId="12015" xr:uid="{C23F981E-C675-4F25-82E5-4CBA960BD65A}"/>
    <cellStyle name="Normal 5 4 2 2 4 3" xfId="5659" xr:uid="{00000000-0005-0000-0000-0000CA1A0000}"/>
    <cellStyle name="Normal 5 4 2 2 4 3 2" xfId="14088" xr:uid="{53296F93-8228-44A6-BBA4-007FEE227A1F}"/>
    <cellStyle name="Normal 5 4 2 2 4 4" xfId="9870" xr:uid="{933E6148-143A-4B40-B110-69E2AC3EEBB3}"/>
    <cellStyle name="Normal 5 4 2 2 5" xfId="1763" xr:uid="{00000000-0005-0000-0000-0000CB1A0000}"/>
    <cellStyle name="Normal 5 4 2 2 5 2" xfId="3993" xr:uid="{00000000-0005-0000-0000-0000CC1A0000}"/>
    <cellStyle name="Normal 5 4 2 2 5 2 2" xfId="8217" xr:uid="{00000000-0005-0000-0000-0000CD1A0000}"/>
    <cellStyle name="Normal 5 4 2 2 5 2 2 2" xfId="16646" xr:uid="{60F3B5D8-C7B2-4796-BE6B-A93F8F854DEE}"/>
    <cellStyle name="Normal 5 4 2 2 5 2 3" xfId="12428" xr:uid="{28E74D4B-BD8A-4242-808D-477098C7AF7A}"/>
    <cellStyle name="Normal 5 4 2 2 5 3" xfId="6072" xr:uid="{00000000-0005-0000-0000-0000CE1A0000}"/>
    <cellStyle name="Normal 5 4 2 2 5 3 2" xfId="14501" xr:uid="{3CDC0A26-47EE-4C87-A877-206858067DB4}"/>
    <cellStyle name="Normal 5 4 2 2 5 4" xfId="10283" xr:uid="{1B731675-3573-49EE-BAB5-ABF8651D1530}"/>
    <cellStyle name="Normal 5 4 2 2 6" xfId="2177" xr:uid="{00000000-0005-0000-0000-0000CF1A0000}"/>
    <cellStyle name="Normal 5 4 2 2 6 2" xfId="4406" xr:uid="{00000000-0005-0000-0000-0000D01A0000}"/>
    <cellStyle name="Normal 5 4 2 2 6 2 2" xfId="8630" xr:uid="{00000000-0005-0000-0000-0000D11A0000}"/>
    <cellStyle name="Normal 5 4 2 2 6 2 2 2" xfId="17059" xr:uid="{1D694A64-23A2-42D4-8E3C-A060D3F759EC}"/>
    <cellStyle name="Normal 5 4 2 2 6 2 3" xfId="12841" xr:uid="{523C8C82-63A5-4781-9910-2D2E8D31FE73}"/>
    <cellStyle name="Normal 5 4 2 2 6 3" xfId="6485" xr:uid="{00000000-0005-0000-0000-0000D21A0000}"/>
    <cellStyle name="Normal 5 4 2 2 6 3 2" xfId="14914" xr:uid="{17E42A63-4A4D-4E96-BB56-A7C6475D0F30}"/>
    <cellStyle name="Normal 5 4 2 2 6 4" xfId="10696" xr:uid="{FD8DE5E6-06D7-410C-BD71-0A40B6AC4F82}"/>
    <cellStyle name="Normal 5 4 2 2 7" xfId="2613" xr:uid="{00000000-0005-0000-0000-0000D31A0000}"/>
    <cellStyle name="Normal 5 4 2 2 7 2" xfId="6898" xr:uid="{00000000-0005-0000-0000-0000D41A0000}"/>
    <cellStyle name="Normal 5 4 2 2 7 2 2" xfId="15327" xr:uid="{B938F8E2-1B0C-42B4-A82C-99CD03B4E458}"/>
    <cellStyle name="Normal 5 4 2 2 7 3" xfId="11109" xr:uid="{C915F349-CB50-4EEA-A02B-FB3D0E68F338}"/>
    <cellStyle name="Normal 5 4 2 2 8" xfId="4833" xr:uid="{00000000-0005-0000-0000-0000D51A0000}"/>
    <cellStyle name="Normal 5 4 2 2 8 2" xfId="13262" xr:uid="{CE154CC9-0459-42A4-B226-8037E19E44D2}"/>
    <cellStyle name="Normal 5 4 2 2 9" xfId="9044" xr:uid="{513EB30D-B197-4D6C-B724-0EEB7ABC4A1E}"/>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2 2 2" xfId="15822" xr:uid="{3276B403-CEBB-4DA6-B6BD-A519CB4CFC2C}"/>
    <cellStyle name="Normal 5 4 2 3 2 2 3" xfId="11604" xr:uid="{9D61B16E-BEB4-4B2E-AE54-DAF286CD0A3C}"/>
    <cellStyle name="Normal 5 4 2 3 2 3" xfId="5248" xr:uid="{00000000-0005-0000-0000-0000DA1A0000}"/>
    <cellStyle name="Normal 5 4 2 3 2 3 2" xfId="13677" xr:uid="{7FB6ED04-474D-45A6-87C6-247EF8CEF212}"/>
    <cellStyle name="Normal 5 4 2 3 2 4" xfId="9459" xr:uid="{C4DA42CA-8854-4796-9400-A25401017F70}"/>
    <cellStyle name="Normal 5 4 2 3 3" xfId="1352" xr:uid="{00000000-0005-0000-0000-0000DB1A0000}"/>
    <cellStyle name="Normal 5 4 2 3 3 2" xfId="3582" xr:uid="{00000000-0005-0000-0000-0000DC1A0000}"/>
    <cellStyle name="Normal 5 4 2 3 3 2 2" xfId="7806" xr:uid="{00000000-0005-0000-0000-0000DD1A0000}"/>
    <cellStyle name="Normal 5 4 2 3 3 2 2 2" xfId="16235" xr:uid="{8E910346-9128-4D67-B6B4-CC560F47834C}"/>
    <cellStyle name="Normal 5 4 2 3 3 2 3" xfId="12017" xr:uid="{08B0304F-0450-40CD-A66A-7395CD107EF5}"/>
    <cellStyle name="Normal 5 4 2 3 3 3" xfId="5661" xr:uid="{00000000-0005-0000-0000-0000DE1A0000}"/>
    <cellStyle name="Normal 5 4 2 3 3 3 2" xfId="14090" xr:uid="{DBF1FE84-ACA8-42D8-84A8-EA120F10B3C7}"/>
    <cellStyle name="Normal 5 4 2 3 3 4" xfId="9872" xr:uid="{23E06D9E-B7C9-4906-A1B5-0190C10A9D5F}"/>
    <cellStyle name="Normal 5 4 2 3 4" xfId="1765" xr:uid="{00000000-0005-0000-0000-0000DF1A0000}"/>
    <cellStyle name="Normal 5 4 2 3 4 2" xfId="3995" xr:uid="{00000000-0005-0000-0000-0000E01A0000}"/>
    <cellStyle name="Normal 5 4 2 3 4 2 2" xfId="8219" xr:uid="{00000000-0005-0000-0000-0000E11A0000}"/>
    <cellStyle name="Normal 5 4 2 3 4 2 2 2" xfId="16648" xr:uid="{8A649D55-367D-4100-A367-E5B341A05550}"/>
    <cellStyle name="Normal 5 4 2 3 4 2 3" xfId="12430" xr:uid="{C2A36B4D-705F-4E94-80A6-FCDFCFA45217}"/>
    <cellStyle name="Normal 5 4 2 3 4 3" xfId="6074" xr:uid="{00000000-0005-0000-0000-0000E21A0000}"/>
    <cellStyle name="Normal 5 4 2 3 4 3 2" xfId="14503" xr:uid="{7AC51E4A-A770-4C02-B1D4-F50E0F23F550}"/>
    <cellStyle name="Normal 5 4 2 3 4 4" xfId="10285" xr:uid="{C00FB660-DDC5-40C7-8940-B6C4A3A515BD}"/>
    <cellStyle name="Normal 5 4 2 3 5" xfId="2179" xr:uid="{00000000-0005-0000-0000-0000E31A0000}"/>
    <cellStyle name="Normal 5 4 2 3 5 2" xfId="4408" xr:uid="{00000000-0005-0000-0000-0000E41A0000}"/>
    <cellStyle name="Normal 5 4 2 3 5 2 2" xfId="8632" xr:uid="{00000000-0005-0000-0000-0000E51A0000}"/>
    <cellStyle name="Normal 5 4 2 3 5 2 2 2" xfId="17061" xr:uid="{58D78552-4BA8-4FAC-B78F-FD3A4BE1ED37}"/>
    <cellStyle name="Normal 5 4 2 3 5 2 3" xfId="12843" xr:uid="{C704269E-F031-4117-8F8F-89FF15643900}"/>
    <cellStyle name="Normal 5 4 2 3 5 3" xfId="6487" xr:uid="{00000000-0005-0000-0000-0000E61A0000}"/>
    <cellStyle name="Normal 5 4 2 3 5 3 2" xfId="14916" xr:uid="{324D803A-3FE6-4408-8166-44565B7DBA28}"/>
    <cellStyle name="Normal 5 4 2 3 5 4" xfId="10698" xr:uid="{636624E6-BE78-4431-9150-1CDC8C9C2D63}"/>
    <cellStyle name="Normal 5 4 2 3 6" xfId="2615" xr:uid="{00000000-0005-0000-0000-0000E71A0000}"/>
    <cellStyle name="Normal 5 4 2 3 6 2" xfId="6900" xr:uid="{00000000-0005-0000-0000-0000E81A0000}"/>
    <cellStyle name="Normal 5 4 2 3 6 2 2" xfId="15329" xr:uid="{84EFDA52-885D-462D-BCCF-40304D12A222}"/>
    <cellStyle name="Normal 5 4 2 3 6 3" xfId="11111" xr:uid="{356FF9E4-2F52-4F60-BAB1-F8932FD9CD02}"/>
    <cellStyle name="Normal 5 4 2 3 7" xfId="4835" xr:uid="{00000000-0005-0000-0000-0000E91A0000}"/>
    <cellStyle name="Normal 5 4 2 3 7 2" xfId="13264" xr:uid="{1D7B4DAE-32E6-4C07-AEE8-4102E56A0E22}"/>
    <cellStyle name="Normal 5 4 2 3 8" xfId="9046" xr:uid="{4F51BD19-A4AD-45A9-BE3E-789ED5E620F0}"/>
    <cellStyle name="Normal 5 4 2 4" xfId="932" xr:uid="{00000000-0005-0000-0000-0000EA1A0000}"/>
    <cellStyle name="Normal 5 4 2 4 2" xfId="3166" xr:uid="{00000000-0005-0000-0000-0000EB1A0000}"/>
    <cellStyle name="Normal 5 4 2 4 2 2" xfId="7390" xr:uid="{00000000-0005-0000-0000-0000EC1A0000}"/>
    <cellStyle name="Normal 5 4 2 4 2 2 2" xfId="15819" xr:uid="{523F08FD-E79B-40F9-870A-399B71AA7492}"/>
    <cellStyle name="Normal 5 4 2 4 2 3" xfId="11601" xr:uid="{FCCAD4E4-CACD-4D75-8AFB-17E4134BB630}"/>
    <cellStyle name="Normal 5 4 2 4 3" xfId="5245" xr:uid="{00000000-0005-0000-0000-0000ED1A0000}"/>
    <cellStyle name="Normal 5 4 2 4 3 2" xfId="13674" xr:uid="{D96A9ABB-60E9-40BE-86B5-E0C0986F075F}"/>
    <cellStyle name="Normal 5 4 2 4 4" xfId="9456" xr:uid="{BD4CCA62-1228-4FC2-B44F-4C3394985100}"/>
    <cellStyle name="Normal 5 4 2 5" xfId="1349" xr:uid="{00000000-0005-0000-0000-0000EE1A0000}"/>
    <cellStyle name="Normal 5 4 2 5 2" xfId="3579" xr:uid="{00000000-0005-0000-0000-0000EF1A0000}"/>
    <cellStyle name="Normal 5 4 2 5 2 2" xfId="7803" xr:uid="{00000000-0005-0000-0000-0000F01A0000}"/>
    <cellStyle name="Normal 5 4 2 5 2 2 2" xfId="16232" xr:uid="{E13A5E6D-C08A-423F-89F3-73EC7AE832F7}"/>
    <cellStyle name="Normal 5 4 2 5 2 3" xfId="12014" xr:uid="{F9A59735-6D92-4500-9534-3B8C2F8788FE}"/>
    <cellStyle name="Normal 5 4 2 5 3" xfId="5658" xr:uid="{00000000-0005-0000-0000-0000F11A0000}"/>
    <cellStyle name="Normal 5 4 2 5 3 2" xfId="14087" xr:uid="{E003B364-01BB-4925-95B8-E1D3AE5479DC}"/>
    <cellStyle name="Normal 5 4 2 5 4" xfId="9869" xr:uid="{095E938C-198B-4567-9B1D-CCC5E053BB46}"/>
    <cellStyle name="Normal 5 4 2 6" xfId="1762" xr:uid="{00000000-0005-0000-0000-0000F21A0000}"/>
    <cellStyle name="Normal 5 4 2 6 2" xfId="3992" xr:uid="{00000000-0005-0000-0000-0000F31A0000}"/>
    <cellStyle name="Normal 5 4 2 6 2 2" xfId="8216" xr:uid="{00000000-0005-0000-0000-0000F41A0000}"/>
    <cellStyle name="Normal 5 4 2 6 2 2 2" xfId="16645" xr:uid="{EAE59B4D-ADAF-4273-8EF3-0BCF96F53F46}"/>
    <cellStyle name="Normal 5 4 2 6 2 3" xfId="12427" xr:uid="{FF302795-65C3-4608-8739-A1B5B572571D}"/>
    <cellStyle name="Normal 5 4 2 6 3" xfId="6071" xr:uid="{00000000-0005-0000-0000-0000F51A0000}"/>
    <cellStyle name="Normal 5 4 2 6 3 2" xfId="14500" xr:uid="{268F3BCB-0CA4-465F-9C0F-6332E7D84A44}"/>
    <cellStyle name="Normal 5 4 2 6 4" xfId="10282" xr:uid="{140FC632-6C20-47A7-8EFC-28A1A0F9BC38}"/>
    <cellStyle name="Normal 5 4 2 7" xfId="2176" xr:uid="{00000000-0005-0000-0000-0000F61A0000}"/>
    <cellStyle name="Normal 5 4 2 7 2" xfId="4405" xr:uid="{00000000-0005-0000-0000-0000F71A0000}"/>
    <cellStyle name="Normal 5 4 2 7 2 2" xfId="8629" xr:uid="{00000000-0005-0000-0000-0000F81A0000}"/>
    <cellStyle name="Normal 5 4 2 7 2 2 2" xfId="17058" xr:uid="{6CC17B75-0F67-496C-9255-C6E2130B95DE}"/>
    <cellStyle name="Normal 5 4 2 7 2 3" xfId="12840" xr:uid="{F420515A-8504-45B0-BCDD-847F17EA2A7D}"/>
    <cellStyle name="Normal 5 4 2 7 3" xfId="6484" xr:uid="{00000000-0005-0000-0000-0000F91A0000}"/>
    <cellStyle name="Normal 5 4 2 7 3 2" xfId="14913" xr:uid="{3A4A571F-73E5-4107-9CC6-E0C2D94BC572}"/>
    <cellStyle name="Normal 5 4 2 7 4" xfId="10695" xr:uid="{C7A2FA5A-6B47-4B11-B25C-8BEEB0C61348}"/>
    <cellStyle name="Normal 5 4 2 8" xfId="2612" xr:uid="{00000000-0005-0000-0000-0000FA1A0000}"/>
    <cellStyle name="Normal 5 4 2 8 2" xfId="6897" xr:uid="{00000000-0005-0000-0000-0000FB1A0000}"/>
    <cellStyle name="Normal 5 4 2 8 2 2" xfId="15326" xr:uid="{2438285D-7A1F-453D-A1E4-5DFE109B3EA3}"/>
    <cellStyle name="Normal 5 4 2 8 3" xfId="11108" xr:uid="{9C5746D0-0998-4F5A-B61C-E85B4C5753B2}"/>
    <cellStyle name="Normal 5 4 2 9" xfId="4832" xr:uid="{00000000-0005-0000-0000-0000FC1A0000}"/>
    <cellStyle name="Normal 5 4 2 9 2" xfId="13261" xr:uid="{3F9B4477-DDD4-4F4B-B2CC-7952AE55DF8E}"/>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2 2 2" xfId="15824" xr:uid="{60E868C8-3991-43B9-A4D6-7DA83C296129}"/>
    <cellStyle name="Normal 5 4 3 2 2 2 3" xfId="11606" xr:uid="{848F7ECF-4072-4D36-9BE4-34AE926DF06E}"/>
    <cellStyle name="Normal 5 4 3 2 2 3" xfId="5250" xr:uid="{00000000-0005-0000-0000-0000021B0000}"/>
    <cellStyle name="Normal 5 4 3 2 2 3 2" xfId="13679" xr:uid="{BFE7873B-CC98-43E1-A409-FB55DD4CA0D7}"/>
    <cellStyle name="Normal 5 4 3 2 2 4" xfId="9461" xr:uid="{2DE1DE60-ECA0-4832-B2D4-038C5E1D65CE}"/>
    <cellStyle name="Normal 5 4 3 2 3" xfId="1354" xr:uid="{00000000-0005-0000-0000-0000031B0000}"/>
    <cellStyle name="Normal 5 4 3 2 3 2" xfId="3584" xr:uid="{00000000-0005-0000-0000-0000041B0000}"/>
    <cellStyle name="Normal 5 4 3 2 3 2 2" xfId="7808" xr:uid="{00000000-0005-0000-0000-0000051B0000}"/>
    <cellStyle name="Normal 5 4 3 2 3 2 2 2" xfId="16237" xr:uid="{399C127C-3CAD-4E78-BF31-DA3E33EC85FD}"/>
    <cellStyle name="Normal 5 4 3 2 3 2 3" xfId="12019" xr:uid="{36301603-4BF3-4653-970E-1D9B31967AB7}"/>
    <cellStyle name="Normal 5 4 3 2 3 3" xfId="5663" xr:uid="{00000000-0005-0000-0000-0000061B0000}"/>
    <cellStyle name="Normal 5 4 3 2 3 3 2" xfId="14092" xr:uid="{095EBCBE-03C3-44AD-8260-C4357F16B582}"/>
    <cellStyle name="Normal 5 4 3 2 3 4" xfId="9874" xr:uid="{6DF02719-0203-49AB-8C56-A311AE2DA87F}"/>
    <cellStyle name="Normal 5 4 3 2 4" xfId="1767" xr:uid="{00000000-0005-0000-0000-0000071B0000}"/>
    <cellStyle name="Normal 5 4 3 2 4 2" xfId="3997" xr:uid="{00000000-0005-0000-0000-0000081B0000}"/>
    <cellStyle name="Normal 5 4 3 2 4 2 2" xfId="8221" xr:uid="{00000000-0005-0000-0000-0000091B0000}"/>
    <cellStyle name="Normal 5 4 3 2 4 2 2 2" xfId="16650" xr:uid="{74ADD6AA-FA04-4345-ABA2-2AE65D49D0DE}"/>
    <cellStyle name="Normal 5 4 3 2 4 2 3" xfId="12432" xr:uid="{A5BF4A5D-8E7F-43C6-BB72-D3B4953B7B54}"/>
    <cellStyle name="Normal 5 4 3 2 4 3" xfId="6076" xr:uid="{00000000-0005-0000-0000-00000A1B0000}"/>
    <cellStyle name="Normal 5 4 3 2 4 3 2" xfId="14505" xr:uid="{DE34D444-81B9-4EDC-9105-F576D67CC339}"/>
    <cellStyle name="Normal 5 4 3 2 4 4" xfId="10287" xr:uid="{69F29068-0027-4CAE-9730-0BAD745343F6}"/>
    <cellStyle name="Normal 5 4 3 2 5" xfId="2181" xr:uid="{00000000-0005-0000-0000-00000B1B0000}"/>
    <cellStyle name="Normal 5 4 3 2 5 2" xfId="4410" xr:uid="{00000000-0005-0000-0000-00000C1B0000}"/>
    <cellStyle name="Normal 5 4 3 2 5 2 2" xfId="8634" xr:uid="{00000000-0005-0000-0000-00000D1B0000}"/>
    <cellStyle name="Normal 5 4 3 2 5 2 2 2" xfId="17063" xr:uid="{52AB68B9-8EAF-4F98-96E2-93A445FD33BD}"/>
    <cellStyle name="Normal 5 4 3 2 5 2 3" xfId="12845" xr:uid="{977D420F-28DD-4224-AFC6-B4265F31F8E3}"/>
    <cellStyle name="Normal 5 4 3 2 5 3" xfId="6489" xr:uid="{00000000-0005-0000-0000-00000E1B0000}"/>
    <cellStyle name="Normal 5 4 3 2 5 3 2" xfId="14918" xr:uid="{93F81298-48B1-4C4D-8433-A4E65233F7EC}"/>
    <cellStyle name="Normal 5 4 3 2 5 4" xfId="10700" xr:uid="{660EDA8F-09CA-4578-8183-44FCB7DE8543}"/>
    <cellStyle name="Normal 5 4 3 2 6" xfId="2617" xr:uid="{00000000-0005-0000-0000-00000F1B0000}"/>
    <cellStyle name="Normal 5 4 3 2 6 2" xfId="6902" xr:uid="{00000000-0005-0000-0000-0000101B0000}"/>
    <cellStyle name="Normal 5 4 3 2 6 2 2" xfId="15331" xr:uid="{87A0F37D-B68B-4C39-B981-7FA629E79C66}"/>
    <cellStyle name="Normal 5 4 3 2 6 3" xfId="11113" xr:uid="{8E3DA119-BE24-41A1-A949-722AE1F7F279}"/>
    <cellStyle name="Normal 5 4 3 2 7" xfId="4837" xr:uid="{00000000-0005-0000-0000-0000111B0000}"/>
    <cellStyle name="Normal 5 4 3 2 7 2" xfId="13266" xr:uid="{28F8EC27-9631-4B48-A389-B39F2B31F304}"/>
    <cellStyle name="Normal 5 4 3 2 8" xfId="9048" xr:uid="{6E7A75B9-36B8-407A-95E1-9B7EAEC624E4}"/>
    <cellStyle name="Normal 5 4 3 3" xfId="936" xr:uid="{00000000-0005-0000-0000-0000121B0000}"/>
    <cellStyle name="Normal 5 4 3 3 2" xfId="3170" xr:uid="{00000000-0005-0000-0000-0000131B0000}"/>
    <cellStyle name="Normal 5 4 3 3 2 2" xfId="7394" xr:uid="{00000000-0005-0000-0000-0000141B0000}"/>
    <cellStyle name="Normal 5 4 3 3 2 2 2" xfId="15823" xr:uid="{F6C2D4C9-3826-45E9-AE02-AF6187BDC7BA}"/>
    <cellStyle name="Normal 5 4 3 3 2 3" xfId="11605" xr:uid="{438F1044-3438-4F59-B66C-CB6919CE6FB9}"/>
    <cellStyle name="Normal 5 4 3 3 3" xfId="5249" xr:uid="{00000000-0005-0000-0000-0000151B0000}"/>
    <cellStyle name="Normal 5 4 3 3 3 2" xfId="13678" xr:uid="{F4DC538D-32F3-4CEF-84F1-94415485666D}"/>
    <cellStyle name="Normal 5 4 3 3 4" xfId="9460" xr:uid="{61CE7A05-719B-4DE1-B78E-C1547C45B80A}"/>
    <cellStyle name="Normal 5 4 3 4" xfId="1353" xr:uid="{00000000-0005-0000-0000-0000161B0000}"/>
    <cellStyle name="Normal 5 4 3 4 2" xfId="3583" xr:uid="{00000000-0005-0000-0000-0000171B0000}"/>
    <cellStyle name="Normal 5 4 3 4 2 2" xfId="7807" xr:uid="{00000000-0005-0000-0000-0000181B0000}"/>
    <cellStyle name="Normal 5 4 3 4 2 2 2" xfId="16236" xr:uid="{A8219837-ADAA-4BFF-88F2-A621CAD862C2}"/>
    <cellStyle name="Normal 5 4 3 4 2 3" xfId="12018" xr:uid="{64877173-47B6-421B-896E-8A65F0253338}"/>
    <cellStyle name="Normal 5 4 3 4 3" xfId="5662" xr:uid="{00000000-0005-0000-0000-0000191B0000}"/>
    <cellStyle name="Normal 5 4 3 4 3 2" xfId="14091" xr:uid="{2E278965-7668-49A9-A1F7-CB5A89588AF9}"/>
    <cellStyle name="Normal 5 4 3 4 4" xfId="9873" xr:uid="{B251ECC8-23DE-4036-A9EB-E3C30C2EDF5B}"/>
    <cellStyle name="Normal 5 4 3 5" xfId="1766" xr:uid="{00000000-0005-0000-0000-00001A1B0000}"/>
    <cellStyle name="Normal 5 4 3 5 2" xfId="3996" xr:uid="{00000000-0005-0000-0000-00001B1B0000}"/>
    <cellStyle name="Normal 5 4 3 5 2 2" xfId="8220" xr:uid="{00000000-0005-0000-0000-00001C1B0000}"/>
    <cellStyle name="Normal 5 4 3 5 2 2 2" xfId="16649" xr:uid="{8FD148FA-EED6-494B-AC2A-057A39C6A13E}"/>
    <cellStyle name="Normal 5 4 3 5 2 3" xfId="12431" xr:uid="{A9A17612-6373-4CCC-8315-2EE8C7A36C30}"/>
    <cellStyle name="Normal 5 4 3 5 3" xfId="6075" xr:uid="{00000000-0005-0000-0000-00001D1B0000}"/>
    <cellStyle name="Normal 5 4 3 5 3 2" xfId="14504" xr:uid="{8429F76C-7D52-4D08-8406-C3D2D5FB21E4}"/>
    <cellStyle name="Normal 5 4 3 5 4" xfId="10286" xr:uid="{C5CFEBB1-0201-4360-8235-FEF9929152C6}"/>
    <cellStyle name="Normal 5 4 3 6" xfId="2180" xr:uid="{00000000-0005-0000-0000-00001E1B0000}"/>
    <cellStyle name="Normal 5 4 3 6 2" xfId="4409" xr:uid="{00000000-0005-0000-0000-00001F1B0000}"/>
    <cellStyle name="Normal 5 4 3 6 2 2" xfId="8633" xr:uid="{00000000-0005-0000-0000-0000201B0000}"/>
    <cellStyle name="Normal 5 4 3 6 2 2 2" xfId="17062" xr:uid="{110F4524-9BAF-4EEA-9DB7-D1295D52E3EC}"/>
    <cellStyle name="Normal 5 4 3 6 2 3" xfId="12844" xr:uid="{67955891-405D-473E-8002-5440A3C523F4}"/>
    <cellStyle name="Normal 5 4 3 6 3" xfId="6488" xr:uid="{00000000-0005-0000-0000-0000211B0000}"/>
    <cellStyle name="Normal 5 4 3 6 3 2" xfId="14917" xr:uid="{5FCAA4CE-265F-433A-ADDB-DB4D3C54539F}"/>
    <cellStyle name="Normal 5 4 3 6 4" xfId="10699" xr:uid="{28040D85-2EF1-49C2-A82C-C23FF774D1EA}"/>
    <cellStyle name="Normal 5 4 3 7" xfId="2616" xr:uid="{00000000-0005-0000-0000-0000221B0000}"/>
    <cellStyle name="Normal 5 4 3 7 2" xfId="6901" xr:uid="{00000000-0005-0000-0000-0000231B0000}"/>
    <cellStyle name="Normal 5 4 3 7 2 2" xfId="15330" xr:uid="{53116E5A-4811-4D09-9302-98E1D08B7195}"/>
    <cellStyle name="Normal 5 4 3 7 3" xfId="11112" xr:uid="{ADD04B8E-9BE0-42A3-84CA-E796D719C4D3}"/>
    <cellStyle name="Normal 5 4 3 8" xfId="4836" xr:uid="{00000000-0005-0000-0000-0000241B0000}"/>
    <cellStyle name="Normal 5 4 3 8 2" xfId="13265" xr:uid="{8763728D-B8F2-4A88-8E50-91648F3C84F3}"/>
    <cellStyle name="Normal 5 4 3 9" xfId="9047" xr:uid="{42A5C689-0C35-4874-A64B-5F0C99ACDAA1}"/>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2 2 2" xfId="15825" xr:uid="{48CCFB94-7994-47C0-BF05-B69F8110691C}"/>
    <cellStyle name="Normal 5 4 4 2 2 3" xfId="11607" xr:uid="{BBA200B2-221A-4B08-9834-0E3C355552E6}"/>
    <cellStyle name="Normal 5 4 4 2 3" xfId="5251" xr:uid="{00000000-0005-0000-0000-0000291B0000}"/>
    <cellStyle name="Normal 5 4 4 2 3 2" xfId="13680" xr:uid="{9B738542-52F3-4CFC-B274-95E02EDEAD3B}"/>
    <cellStyle name="Normal 5 4 4 2 4" xfId="9462" xr:uid="{44E2A07C-0989-4AAC-9DD9-5E31CB5C3946}"/>
    <cellStyle name="Normal 5 4 4 3" xfId="1355" xr:uid="{00000000-0005-0000-0000-00002A1B0000}"/>
    <cellStyle name="Normal 5 4 4 3 2" xfId="3585" xr:uid="{00000000-0005-0000-0000-00002B1B0000}"/>
    <cellStyle name="Normal 5 4 4 3 2 2" xfId="7809" xr:uid="{00000000-0005-0000-0000-00002C1B0000}"/>
    <cellStyle name="Normal 5 4 4 3 2 2 2" xfId="16238" xr:uid="{82B01B93-BF45-4618-B240-7697DAA14BAB}"/>
    <cellStyle name="Normal 5 4 4 3 2 3" xfId="12020" xr:uid="{380549F4-F46F-40FD-B901-4E4E74CCEC35}"/>
    <cellStyle name="Normal 5 4 4 3 3" xfId="5664" xr:uid="{00000000-0005-0000-0000-00002D1B0000}"/>
    <cellStyle name="Normal 5 4 4 3 3 2" xfId="14093" xr:uid="{F9C95299-5EE5-41B8-8B46-B3D003243520}"/>
    <cellStyle name="Normal 5 4 4 3 4" xfId="9875" xr:uid="{79248354-71D0-42E4-9187-488901EEDE01}"/>
    <cellStyle name="Normal 5 4 4 4" xfId="1768" xr:uid="{00000000-0005-0000-0000-00002E1B0000}"/>
    <cellStyle name="Normal 5 4 4 4 2" xfId="3998" xr:uid="{00000000-0005-0000-0000-00002F1B0000}"/>
    <cellStyle name="Normal 5 4 4 4 2 2" xfId="8222" xr:uid="{00000000-0005-0000-0000-0000301B0000}"/>
    <cellStyle name="Normal 5 4 4 4 2 2 2" xfId="16651" xr:uid="{1E5F6D0C-8910-418D-BAB8-AA2109E48725}"/>
    <cellStyle name="Normal 5 4 4 4 2 3" xfId="12433" xr:uid="{4AE8A50B-F528-40E2-B599-758D071C6724}"/>
    <cellStyle name="Normal 5 4 4 4 3" xfId="6077" xr:uid="{00000000-0005-0000-0000-0000311B0000}"/>
    <cellStyle name="Normal 5 4 4 4 3 2" xfId="14506" xr:uid="{584BFEB3-36B2-479E-AB79-94F84C479E8D}"/>
    <cellStyle name="Normal 5 4 4 4 4" xfId="10288" xr:uid="{A8A98677-FB65-41F3-B76F-23F33BBE0799}"/>
    <cellStyle name="Normal 5 4 4 5" xfId="2182" xr:uid="{00000000-0005-0000-0000-0000321B0000}"/>
    <cellStyle name="Normal 5 4 4 5 2" xfId="4411" xr:uid="{00000000-0005-0000-0000-0000331B0000}"/>
    <cellStyle name="Normal 5 4 4 5 2 2" xfId="8635" xr:uid="{00000000-0005-0000-0000-0000341B0000}"/>
    <cellStyle name="Normal 5 4 4 5 2 2 2" xfId="17064" xr:uid="{9CC301F6-11DD-4F2A-B755-2DCF0797C226}"/>
    <cellStyle name="Normal 5 4 4 5 2 3" xfId="12846" xr:uid="{902FB0A5-EEEB-435F-953D-CD5F7CA6F463}"/>
    <cellStyle name="Normal 5 4 4 5 3" xfId="6490" xr:uid="{00000000-0005-0000-0000-0000351B0000}"/>
    <cellStyle name="Normal 5 4 4 5 3 2" xfId="14919" xr:uid="{31AA0CC4-DE7A-4FBB-96A1-00BBAD278ED6}"/>
    <cellStyle name="Normal 5 4 4 5 4" xfId="10701" xr:uid="{5C9B3412-33B8-44CD-9936-383DE6FE641D}"/>
    <cellStyle name="Normal 5 4 4 6" xfId="2618" xr:uid="{00000000-0005-0000-0000-0000361B0000}"/>
    <cellStyle name="Normal 5 4 4 6 2" xfId="6903" xr:uid="{00000000-0005-0000-0000-0000371B0000}"/>
    <cellStyle name="Normal 5 4 4 6 2 2" xfId="15332" xr:uid="{7E358382-75EC-4E22-85C6-D5238DC09A03}"/>
    <cellStyle name="Normal 5 4 4 6 3" xfId="11114" xr:uid="{0D005BA3-D940-402F-8B72-0C3B8948ED65}"/>
    <cellStyle name="Normal 5 4 4 7" xfId="4838" xr:uid="{00000000-0005-0000-0000-0000381B0000}"/>
    <cellStyle name="Normal 5 4 4 7 2" xfId="13267" xr:uid="{AACB3D02-3A3B-4B2F-9305-C1EBEEF0F836}"/>
    <cellStyle name="Normal 5 4 4 8" xfId="9049" xr:uid="{76E6D11C-D687-4727-8F99-3296ECC60E9A}"/>
    <cellStyle name="Normal 5 4 5" xfId="931" xr:uid="{00000000-0005-0000-0000-0000391B0000}"/>
    <cellStyle name="Normal 5 4 5 2" xfId="3165" xr:uid="{00000000-0005-0000-0000-00003A1B0000}"/>
    <cellStyle name="Normal 5 4 5 2 2" xfId="7389" xr:uid="{00000000-0005-0000-0000-00003B1B0000}"/>
    <cellStyle name="Normal 5 4 5 2 2 2" xfId="15818" xr:uid="{09DA4EDF-41AE-4F61-A33A-D92390632269}"/>
    <cellStyle name="Normal 5 4 5 2 3" xfId="11600" xr:uid="{AFED84DC-98E3-4364-B966-75EC0A0C50AF}"/>
    <cellStyle name="Normal 5 4 5 3" xfId="5244" xr:uid="{00000000-0005-0000-0000-00003C1B0000}"/>
    <cellStyle name="Normal 5 4 5 3 2" xfId="13673" xr:uid="{CAF80ABD-DB95-4D5A-AB3F-A2F6BDD62CF8}"/>
    <cellStyle name="Normal 5 4 5 4" xfId="9455" xr:uid="{A8FB4418-F429-47E8-A065-0F174E7CF722}"/>
    <cellStyle name="Normal 5 4 6" xfId="1348" xr:uid="{00000000-0005-0000-0000-00003D1B0000}"/>
    <cellStyle name="Normal 5 4 6 2" xfId="3578" xr:uid="{00000000-0005-0000-0000-00003E1B0000}"/>
    <cellStyle name="Normal 5 4 6 2 2" xfId="7802" xr:uid="{00000000-0005-0000-0000-00003F1B0000}"/>
    <cellStyle name="Normal 5 4 6 2 2 2" xfId="16231" xr:uid="{0E01E270-1A28-4EFF-8050-D793AFD15AAB}"/>
    <cellStyle name="Normal 5 4 6 2 3" xfId="12013" xr:uid="{049B09C6-72F1-4F66-B03D-02449F8CE690}"/>
    <cellStyle name="Normal 5 4 6 3" xfId="5657" xr:uid="{00000000-0005-0000-0000-0000401B0000}"/>
    <cellStyle name="Normal 5 4 6 3 2" xfId="14086" xr:uid="{A2FCD1C7-310E-46C2-BC32-A4B685121BF8}"/>
    <cellStyle name="Normal 5 4 6 4" xfId="9868" xr:uid="{BD6DD9BC-5B30-4EEE-8034-3FEB8BF6F754}"/>
    <cellStyle name="Normal 5 4 7" xfId="1761" xr:uid="{00000000-0005-0000-0000-0000411B0000}"/>
    <cellStyle name="Normal 5 4 7 2" xfId="3991" xr:uid="{00000000-0005-0000-0000-0000421B0000}"/>
    <cellStyle name="Normal 5 4 7 2 2" xfId="8215" xr:uid="{00000000-0005-0000-0000-0000431B0000}"/>
    <cellStyle name="Normal 5 4 7 2 2 2" xfId="16644" xr:uid="{FA881375-0018-42CD-83C3-CFE59A4177FD}"/>
    <cellStyle name="Normal 5 4 7 2 3" xfId="12426" xr:uid="{9EFCBC07-A5B8-485D-8384-CC617B0C1354}"/>
    <cellStyle name="Normal 5 4 7 3" xfId="6070" xr:uid="{00000000-0005-0000-0000-0000441B0000}"/>
    <cellStyle name="Normal 5 4 7 3 2" xfId="14499" xr:uid="{F7AE4896-A8E3-46B6-AA45-9922CE17E703}"/>
    <cellStyle name="Normal 5 4 7 4" xfId="10281" xr:uid="{108AC605-E739-44E2-9627-61C4E2964165}"/>
    <cellStyle name="Normal 5 4 8" xfId="2175" xr:uid="{00000000-0005-0000-0000-0000451B0000}"/>
    <cellStyle name="Normal 5 4 8 2" xfId="4404" xr:uid="{00000000-0005-0000-0000-0000461B0000}"/>
    <cellStyle name="Normal 5 4 8 2 2" xfId="8628" xr:uid="{00000000-0005-0000-0000-0000471B0000}"/>
    <cellStyle name="Normal 5 4 8 2 2 2" xfId="17057" xr:uid="{EBA72ABD-B6BA-4749-80AF-76CF5F8F774A}"/>
    <cellStyle name="Normal 5 4 8 2 3" xfId="12839" xr:uid="{B023538A-FDD3-4AC9-868B-7119EE737D69}"/>
    <cellStyle name="Normal 5 4 8 3" xfId="6483" xr:uid="{00000000-0005-0000-0000-0000481B0000}"/>
    <cellStyle name="Normal 5 4 8 3 2" xfId="14912" xr:uid="{068C2A7C-0587-464D-823B-02BF93CE2047}"/>
    <cellStyle name="Normal 5 4 8 4" xfId="10694" xr:uid="{37304827-4A01-49F5-84BC-F49D65458D3F}"/>
    <cellStyle name="Normal 5 4 9" xfId="2611" xr:uid="{00000000-0005-0000-0000-0000491B0000}"/>
    <cellStyle name="Normal 5 4 9 2" xfId="6896" xr:uid="{00000000-0005-0000-0000-00004A1B0000}"/>
    <cellStyle name="Normal 5 4 9 2 2" xfId="15325" xr:uid="{99687D03-424C-4FA9-832B-4E4701B46E27}"/>
    <cellStyle name="Normal 5 4 9 3" xfId="11107" xr:uid="{BA07D193-9BC3-451F-A466-62280CB446DB}"/>
    <cellStyle name="Normal 5 5" xfId="464" xr:uid="{00000000-0005-0000-0000-00004B1B0000}"/>
    <cellStyle name="Normal 5 5 10" xfId="9050" xr:uid="{37E8DFA5-9D47-451D-BA2F-39FD8340759B}"/>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2 2 2" xfId="15828" xr:uid="{2152C98C-A578-47CB-BD2E-52E45705AAC5}"/>
    <cellStyle name="Normal 5 5 2 2 2 2 3" xfId="11610" xr:uid="{0B0740DB-D5CA-4E45-B306-4CC79DD51B58}"/>
    <cellStyle name="Normal 5 5 2 2 2 3" xfId="5254" xr:uid="{00000000-0005-0000-0000-0000511B0000}"/>
    <cellStyle name="Normal 5 5 2 2 2 3 2" xfId="13683" xr:uid="{3914EF56-F774-425E-9CD4-C032B0736A4B}"/>
    <cellStyle name="Normal 5 5 2 2 2 4" xfId="9465" xr:uid="{295DD0E0-368E-4711-A338-0F84859BFEB6}"/>
    <cellStyle name="Normal 5 5 2 2 3" xfId="1358" xr:uid="{00000000-0005-0000-0000-0000521B0000}"/>
    <cellStyle name="Normal 5 5 2 2 3 2" xfId="3588" xr:uid="{00000000-0005-0000-0000-0000531B0000}"/>
    <cellStyle name="Normal 5 5 2 2 3 2 2" xfId="7812" xr:uid="{00000000-0005-0000-0000-0000541B0000}"/>
    <cellStyle name="Normal 5 5 2 2 3 2 2 2" xfId="16241" xr:uid="{4F7B2CDF-95AA-4009-B67B-1882D609608E}"/>
    <cellStyle name="Normal 5 5 2 2 3 2 3" xfId="12023" xr:uid="{80028149-AA42-4A48-972A-0E65C21AA114}"/>
    <cellStyle name="Normal 5 5 2 2 3 3" xfId="5667" xr:uid="{00000000-0005-0000-0000-0000551B0000}"/>
    <cellStyle name="Normal 5 5 2 2 3 3 2" xfId="14096" xr:uid="{3EF8A6AD-EFA4-451F-B552-654232C4BBDF}"/>
    <cellStyle name="Normal 5 5 2 2 3 4" xfId="9878" xr:uid="{B1DB22FC-D0FE-4197-8A0C-9866A374B31B}"/>
    <cellStyle name="Normal 5 5 2 2 4" xfId="1771" xr:uid="{00000000-0005-0000-0000-0000561B0000}"/>
    <cellStyle name="Normal 5 5 2 2 4 2" xfId="4001" xr:uid="{00000000-0005-0000-0000-0000571B0000}"/>
    <cellStyle name="Normal 5 5 2 2 4 2 2" xfId="8225" xr:uid="{00000000-0005-0000-0000-0000581B0000}"/>
    <cellStyle name="Normal 5 5 2 2 4 2 2 2" xfId="16654" xr:uid="{23E07B85-F510-41DC-A918-CC0DE322818F}"/>
    <cellStyle name="Normal 5 5 2 2 4 2 3" xfId="12436" xr:uid="{89882E81-7E00-41C4-9932-FF9D8417D9DE}"/>
    <cellStyle name="Normal 5 5 2 2 4 3" xfId="6080" xr:uid="{00000000-0005-0000-0000-0000591B0000}"/>
    <cellStyle name="Normal 5 5 2 2 4 3 2" xfId="14509" xr:uid="{746E173B-C37F-4AE3-9550-8DB7E7D5A542}"/>
    <cellStyle name="Normal 5 5 2 2 4 4" xfId="10291" xr:uid="{85302556-5C06-4418-8C01-C36B88577970}"/>
    <cellStyle name="Normal 5 5 2 2 5" xfId="2185" xr:uid="{00000000-0005-0000-0000-00005A1B0000}"/>
    <cellStyle name="Normal 5 5 2 2 5 2" xfId="4414" xr:uid="{00000000-0005-0000-0000-00005B1B0000}"/>
    <cellStyle name="Normal 5 5 2 2 5 2 2" xfId="8638" xr:uid="{00000000-0005-0000-0000-00005C1B0000}"/>
    <cellStyle name="Normal 5 5 2 2 5 2 2 2" xfId="17067" xr:uid="{461465DE-A036-4A64-912E-32E2438E2B91}"/>
    <cellStyle name="Normal 5 5 2 2 5 2 3" xfId="12849" xr:uid="{99DFA83F-5475-44EB-957C-F14FD532CE00}"/>
    <cellStyle name="Normal 5 5 2 2 5 3" xfId="6493" xr:uid="{00000000-0005-0000-0000-00005D1B0000}"/>
    <cellStyle name="Normal 5 5 2 2 5 3 2" xfId="14922" xr:uid="{D7CB2F18-6173-4889-9BF4-81BE85734A6A}"/>
    <cellStyle name="Normal 5 5 2 2 5 4" xfId="10704" xr:uid="{643CF37B-9C21-4275-9CCA-A27A5663E5DB}"/>
    <cellStyle name="Normal 5 5 2 2 6" xfId="2621" xr:uid="{00000000-0005-0000-0000-00005E1B0000}"/>
    <cellStyle name="Normal 5 5 2 2 6 2" xfId="6906" xr:uid="{00000000-0005-0000-0000-00005F1B0000}"/>
    <cellStyle name="Normal 5 5 2 2 6 2 2" xfId="15335" xr:uid="{C27AEE0A-39A6-4077-8F3B-6990040063A7}"/>
    <cellStyle name="Normal 5 5 2 2 6 3" xfId="11117" xr:uid="{58384DBB-DF72-467B-BFC9-C649E124FAED}"/>
    <cellStyle name="Normal 5 5 2 2 7" xfId="4841" xr:uid="{00000000-0005-0000-0000-0000601B0000}"/>
    <cellStyle name="Normal 5 5 2 2 7 2" xfId="13270" xr:uid="{A463CCA8-DD9A-413A-BD09-279596329EFF}"/>
    <cellStyle name="Normal 5 5 2 2 8" xfId="9052" xr:uid="{D6A4823D-9731-4B89-8AF0-8F09B2CFC747}"/>
    <cellStyle name="Normal 5 5 2 3" xfId="940" xr:uid="{00000000-0005-0000-0000-0000611B0000}"/>
    <cellStyle name="Normal 5 5 2 3 2" xfId="3174" xr:uid="{00000000-0005-0000-0000-0000621B0000}"/>
    <cellStyle name="Normal 5 5 2 3 2 2" xfId="7398" xr:uid="{00000000-0005-0000-0000-0000631B0000}"/>
    <cellStyle name="Normal 5 5 2 3 2 2 2" xfId="15827" xr:uid="{0B0CAF03-479D-4386-ACB6-5FC714950CDC}"/>
    <cellStyle name="Normal 5 5 2 3 2 3" xfId="11609" xr:uid="{796DCC23-898C-42AF-8FE0-A2CACBF37AE3}"/>
    <cellStyle name="Normal 5 5 2 3 3" xfId="5253" xr:uid="{00000000-0005-0000-0000-0000641B0000}"/>
    <cellStyle name="Normal 5 5 2 3 3 2" xfId="13682" xr:uid="{789D4785-7E8A-4D9E-9381-0666D7BC3180}"/>
    <cellStyle name="Normal 5 5 2 3 4" xfId="9464" xr:uid="{45DC6C61-B11B-4CC7-BC53-371B84420937}"/>
    <cellStyle name="Normal 5 5 2 4" xfId="1357" xr:uid="{00000000-0005-0000-0000-0000651B0000}"/>
    <cellStyle name="Normal 5 5 2 4 2" xfId="3587" xr:uid="{00000000-0005-0000-0000-0000661B0000}"/>
    <cellStyle name="Normal 5 5 2 4 2 2" xfId="7811" xr:uid="{00000000-0005-0000-0000-0000671B0000}"/>
    <cellStyle name="Normal 5 5 2 4 2 2 2" xfId="16240" xr:uid="{41268C34-240C-43E2-AC74-CF67BB1BE31A}"/>
    <cellStyle name="Normal 5 5 2 4 2 3" xfId="12022" xr:uid="{0BF95B82-A289-472D-82BC-4594E62F3393}"/>
    <cellStyle name="Normal 5 5 2 4 3" xfId="5666" xr:uid="{00000000-0005-0000-0000-0000681B0000}"/>
    <cellStyle name="Normal 5 5 2 4 3 2" xfId="14095" xr:uid="{6832F850-B8A6-43CA-9F5E-794EFA6E68F2}"/>
    <cellStyle name="Normal 5 5 2 4 4" xfId="9877" xr:uid="{AC66ABC6-C4FE-41DD-9680-24120A069DA8}"/>
    <cellStyle name="Normal 5 5 2 5" xfId="1770" xr:uid="{00000000-0005-0000-0000-0000691B0000}"/>
    <cellStyle name="Normal 5 5 2 5 2" xfId="4000" xr:uid="{00000000-0005-0000-0000-00006A1B0000}"/>
    <cellStyle name="Normal 5 5 2 5 2 2" xfId="8224" xr:uid="{00000000-0005-0000-0000-00006B1B0000}"/>
    <cellStyle name="Normal 5 5 2 5 2 2 2" xfId="16653" xr:uid="{3A948BD2-FF2C-4697-9ACA-CA930B7B17DF}"/>
    <cellStyle name="Normal 5 5 2 5 2 3" xfId="12435" xr:uid="{78ACEF04-8B00-436E-8582-91505D8FAC5B}"/>
    <cellStyle name="Normal 5 5 2 5 3" xfId="6079" xr:uid="{00000000-0005-0000-0000-00006C1B0000}"/>
    <cellStyle name="Normal 5 5 2 5 3 2" xfId="14508" xr:uid="{53D5F88B-4C80-4C09-989D-481B70417DE3}"/>
    <cellStyle name="Normal 5 5 2 5 4" xfId="10290" xr:uid="{343D4A20-15AF-4355-8BB5-C63E8DC20E2A}"/>
    <cellStyle name="Normal 5 5 2 6" xfId="2184" xr:uid="{00000000-0005-0000-0000-00006D1B0000}"/>
    <cellStyle name="Normal 5 5 2 6 2" xfId="4413" xr:uid="{00000000-0005-0000-0000-00006E1B0000}"/>
    <cellStyle name="Normal 5 5 2 6 2 2" xfId="8637" xr:uid="{00000000-0005-0000-0000-00006F1B0000}"/>
    <cellStyle name="Normal 5 5 2 6 2 2 2" xfId="17066" xr:uid="{08FBAA5E-EC34-495C-9F70-3E3F204A4428}"/>
    <cellStyle name="Normal 5 5 2 6 2 3" xfId="12848" xr:uid="{66465B42-6C8E-49C9-ABB8-D46E01C0E9CB}"/>
    <cellStyle name="Normal 5 5 2 6 3" xfId="6492" xr:uid="{00000000-0005-0000-0000-0000701B0000}"/>
    <cellStyle name="Normal 5 5 2 6 3 2" xfId="14921" xr:uid="{13BEE372-A26C-467E-8C9E-EF5E4DE83131}"/>
    <cellStyle name="Normal 5 5 2 6 4" xfId="10703" xr:uid="{1C1CFF63-CBC9-4423-9732-3AA9FCE9288B}"/>
    <cellStyle name="Normal 5 5 2 7" xfId="2620" xr:uid="{00000000-0005-0000-0000-0000711B0000}"/>
    <cellStyle name="Normal 5 5 2 7 2" xfId="6905" xr:uid="{00000000-0005-0000-0000-0000721B0000}"/>
    <cellStyle name="Normal 5 5 2 7 2 2" xfId="15334" xr:uid="{C87C1EC1-344D-47AE-916F-E976067A99D3}"/>
    <cellStyle name="Normal 5 5 2 7 3" xfId="11116" xr:uid="{10897278-BA97-4617-9DE7-23ED257337F8}"/>
    <cellStyle name="Normal 5 5 2 8" xfId="4840" xr:uid="{00000000-0005-0000-0000-0000731B0000}"/>
    <cellStyle name="Normal 5 5 2 8 2" xfId="13269" xr:uid="{944772F8-E674-4ABB-8082-A68F49976276}"/>
    <cellStyle name="Normal 5 5 2 9" xfId="9051" xr:uid="{5B5907D9-EA48-4D15-819A-73659B83C371}"/>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2 2 2" xfId="15829" xr:uid="{972991A0-E139-421A-9DEF-6C65A9D55803}"/>
    <cellStyle name="Normal 5 5 3 2 2 3" xfId="11611" xr:uid="{B50B2FF7-A27E-48C1-A110-32B152BF768F}"/>
    <cellStyle name="Normal 5 5 3 2 3" xfId="5255" xr:uid="{00000000-0005-0000-0000-0000781B0000}"/>
    <cellStyle name="Normal 5 5 3 2 3 2" xfId="13684" xr:uid="{CED2E4E2-2852-4A34-887F-0C3B9831BBF2}"/>
    <cellStyle name="Normal 5 5 3 2 4" xfId="9466" xr:uid="{C99A1F7A-2B8A-4688-B1DA-BCC2E91AA5E3}"/>
    <cellStyle name="Normal 5 5 3 3" xfId="1359" xr:uid="{00000000-0005-0000-0000-0000791B0000}"/>
    <cellStyle name="Normal 5 5 3 3 2" xfId="3589" xr:uid="{00000000-0005-0000-0000-00007A1B0000}"/>
    <cellStyle name="Normal 5 5 3 3 2 2" xfId="7813" xr:uid="{00000000-0005-0000-0000-00007B1B0000}"/>
    <cellStyle name="Normal 5 5 3 3 2 2 2" xfId="16242" xr:uid="{DE224CE0-79E2-4466-A4E2-C559B535197A}"/>
    <cellStyle name="Normal 5 5 3 3 2 3" xfId="12024" xr:uid="{B58EB95B-DDAC-4D7C-95F7-01AA69E6B523}"/>
    <cellStyle name="Normal 5 5 3 3 3" xfId="5668" xr:uid="{00000000-0005-0000-0000-00007C1B0000}"/>
    <cellStyle name="Normal 5 5 3 3 3 2" xfId="14097" xr:uid="{8AD7E6EC-98E3-411A-AB84-10477F07F8A8}"/>
    <cellStyle name="Normal 5 5 3 3 4" xfId="9879" xr:uid="{31F76B77-E2F1-4BF7-92AC-F5F92F985EBA}"/>
    <cellStyle name="Normal 5 5 3 4" xfId="1772" xr:uid="{00000000-0005-0000-0000-00007D1B0000}"/>
    <cellStyle name="Normal 5 5 3 4 2" xfId="4002" xr:uid="{00000000-0005-0000-0000-00007E1B0000}"/>
    <cellStyle name="Normal 5 5 3 4 2 2" xfId="8226" xr:uid="{00000000-0005-0000-0000-00007F1B0000}"/>
    <cellStyle name="Normal 5 5 3 4 2 2 2" xfId="16655" xr:uid="{34A7D0A0-6376-4273-B86C-C9AE44637483}"/>
    <cellStyle name="Normal 5 5 3 4 2 3" xfId="12437" xr:uid="{56AE1D33-5A53-4B2D-8C13-8CB2EA7560CD}"/>
    <cellStyle name="Normal 5 5 3 4 3" xfId="6081" xr:uid="{00000000-0005-0000-0000-0000801B0000}"/>
    <cellStyle name="Normal 5 5 3 4 3 2" xfId="14510" xr:uid="{664C3416-A3DE-4C9C-AF90-4CDC9333093D}"/>
    <cellStyle name="Normal 5 5 3 4 4" xfId="10292" xr:uid="{7D9774D5-E8F9-4AAB-8D95-FE57F798A003}"/>
    <cellStyle name="Normal 5 5 3 5" xfId="2186" xr:uid="{00000000-0005-0000-0000-0000811B0000}"/>
    <cellStyle name="Normal 5 5 3 5 2" xfId="4415" xr:uid="{00000000-0005-0000-0000-0000821B0000}"/>
    <cellStyle name="Normal 5 5 3 5 2 2" xfId="8639" xr:uid="{00000000-0005-0000-0000-0000831B0000}"/>
    <cellStyle name="Normal 5 5 3 5 2 2 2" xfId="17068" xr:uid="{8FE056F3-EE51-4214-B676-D61548121AF6}"/>
    <cellStyle name="Normal 5 5 3 5 2 3" xfId="12850" xr:uid="{AC7EC11E-8794-479F-B354-D18B2072D100}"/>
    <cellStyle name="Normal 5 5 3 5 3" xfId="6494" xr:uid="{00000000-0005-0000-0000-0000841B0000}"/>
    <cellStyle name="Normal 5 5 3 5 3 2" xfId="14923" xr:uid="{1D36A28C-9B1B-4E52-8302-2EEEC5100D84}"/>
    <cellStyle name="Normal 5 5 3 5 4" xfId="10705" xr:uid="{855953EC-A2D9-4D86-BA06-0E42E1AF517B}"/>
    <cellStyle name="Normal 5 5 3 6" xfId="2622" xr:uid="{00000000-0005-0000-0000-0000851B0000}"/>
    <cellStyle name="Normal 5 5 3 6 2" xfId="6907" xr:uid="{00000000-0005-0000-0000-0000861B0000}"/>
    <cellStyle name="Normal 5 5 3 6 2 2" xfId="15336" xr:uid="{6C5446CA-5A72-4927-9EC9-BB2CE94DA119}"/>
    <cellStyle name="Normal 5 5 3 6 3" xfId="11118" xr:uid="{2F50C0C8-76BC-4723-8373-97DB2922C26D}"/>
    <cellStyle name="Normal 5 5 3 7" xfId="4842" xr:uid="{00000000-0005-0000-0000-0000871B0000}"/>
    <cellStyle name="Normal 5 5 3 7 2" xfId="13271" xr:uid="{95BACC93-F327-4583-8113-EFCA5FAA4CD6}"/>
    <cellStyle name="Normal 5 5 3 8" xfId="9053" xr:uid="{C2B63698-E77C-4214-93BF-1EC82945F10E}"/>
    <cellStyle name="Normal 5 5 4" xfId="939" xr:uid="{00000000-0005-0000-0000-0000881B0000}"/>
    <cellStyle name="Normal 5 5 4 2" xfId="3173" xr:uid="{00000000-0005-0000-0000-0000891B0000}"/>
    <cellStyle name="Normal 5 5 4 2 2" xfId="7397" xr:uid="{00000000-0005-0000-0000-00008A1B0000}"/>
    <cellStyle name="Normal 5 5 4 2 2 2" xfId="15826" xr:uid="{B4B7DE74-4160-46EA-BE4B-07D07CFB9B17}"/>
    <cellStyle name="Normal 5 5 4 2 3" xfId="11608" xr:uid="{4C1DD958-8191-4E1B-AAD1-935108F04701}"/>
    <cellStyle name="Normal 5 5 4 3" xfId="5252" xr:uid="{00000000-0005-0000-0000-00008B1B0000}"/>
    <cellStyle name="Normal 5 5 4 3 2" xfId="13681" xr:uid="{446CC8C2-FBC7-467B-81FC-2919E252A7DE}"/>
    <cellStyle name="Normal 5 5 4 4" xfId="9463" xr:uid="{DD0FA7DD-E792-46B7-8472-BC3C4115C01C}"/>
    <cellStyle name="Normal 5 5 5" xfId="1356" xr:uid="{00000000-0005-0000-0000-00008C1B0000}"/>
    <cellStyle name="Normal 5 5 5 2" xfId="3586" xr:uid="{00000000-0005-0000-0000-00008D1B0000}"/>
    <cellStyle name="Normal 5 5 5 2 2" xfId="7810" xr:uid="{00000000-0005-0000-0000-00008E1B0000}"/>
    <cellStyle name="Normal 5 5 5 2 2 2" xfId="16239" xr:uid="{B2EEA604-C28D-4793-8D4B-B53F759C03A0}"/>
    <cellStyle name="Normal 5 5 5 2 3" xfId="12021" xr:uid="{02B7E6F3-F6CF-4281-92F1-71247509D420}"/>
    <cellStyle name="Normal 5 5 5 3" xfId="5665" xr:uid="{00000000-0005-0000-0000-00008F1B0000}"/>
    <cellStyle name="Normal 5 5 5 3 2" xfId="14094" xr:uid="{595E1ED2-1DB5-4B21-95D1-86606380E25F}"/>
    <cellStyle name="Normal 5 5 5 4" xfId="9876" xr:uid="{6BA9527C-DA35-43FC-9D24-264F976360A1}"/>
    <cellStyle name="Normal 5 5 6" xfId="1769" xr:uid="{00000000-0005-0000-0000-0000901B0000}"/>
    <cellStyle name="Normal 5 5 6 2" xfId="3999" xr:uid="{00000000-0005-0000-0000-0000911B0000}"/>
    <cellStyle name="Normal 5 5 6 2 2" xfId="8223" xr:uid="{00000000-0005-0000-0000-0000921B0000}"/>
    <cellStyle name="Normal 5 5 6 2 2 2" xfId="16652" xr:uid="{4067B104-4E45-49D5-9C17-DACD278369B9}"/>
    <cellStyle name="Normal 5 5 6 2 3" xfId="12434" xr:uid="{EB41295C-3B28-4BB8-930E-6B2B2EF837E3}"/>
    <cellStyle name="Normal 5 5 6 3" xfId="6078" xr:uid="{00000000-0005-0000-0000-0000931B0000}"/>
    <cellStyle name="Normal 5 5 6 3 2" xfId="14507" xr:uid="{CEDB0BF0-2538-4BBF-B3C7-4233E50CAD3A}"/>
    <cellStyle name="Normal 5 5 6 4" xfId="10289" xr:uid="{55352317-1AD0-4260-AAA9-F8F3C294D69F}"/>
    <cellStyle name="Normal 5 5 7" xfId="2183" xr:uid="{00000000-0005-0000-0000-0000941B0000}"/>
    <cellStyle name="Normal 5 5 7 2" xfId="4412" xr:uid="{00000000-0005-0000-0000-0000951B0000}"/>
    <cellStyle name="Normal 5 5 7 2 2" xfId="8636" xr:uid="{00000000-0005-0000-0000-0000961B0000}"/>
    <cellStyle name="Normal 5 5 7 2 2 2" xfId="17065" xr:uid="{EA96FA4A-C47A-4943-833E-42A5436D6952}"/>
    <cellStyle name="Normal 5 5 7 2 3" xfId="12847" xr:uid="{7C44AC52-A430-4003-9ED6-242C2E2E5001}"/>
    <cellStyle name="Normal 5 5 7 3" xfId="6491" xr:uid="{00000000-0005-0000-0000-0000971B0000}"/>
    <cellStyle name="Normal 5 5 7 3 2" xfId="14920" xr:uid="{BF53BBFE-3A92-4947-83DF-356A602BE2A2}"/>
    <cellStyle name="Normal 5 5 7 4" xfId="10702" xr:uid="{5773483C-D64F-44AE-9DAF-820FC8D66618}"/>
    <cellStyle name="Normal 5 5 8" xfId="2619" xr:uid="{00000000-0005-0000-0000-0000981B0000}"/>
    <cellStyle name="Normal 5 5 8 2" xfId="6904" xr:uid="{00000000-0005-0000-0000-0000991B0000}"/>
    <cellStyle name="Normal 5 5 8 2 2" xfId="15333" xr:uid="{CC0E6AD0-B578-4C25-9EF4-4F94E86B8A5B}"/>
    <cellStyle name="Normal 5 5 8 3" xfId="11115" xr:uid="{BFB450FC-BD0A-4409-866D-4A7370FBD561}"/>
    <cellStyle name="Normal 5 5 9" xfId="4839" xr:uid="{00000000-0005-0000-0000-00009A1B0000}"/>
    <cellStyle name="Normal 5 5 9 2" xfId="13268" xr:uid="{75148D48-7026-49B0-AC94-0EBE38E305C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2 2 2" xfId="15831" xr:uid="{BBB77B04-BF64-4CCE-9A99-1A1172A024AE}"/>
    <cellStyle name="Normal 5 6 2 2 2 3" xfId="11613" xr:uid="{CCA897A3-5C54-481D-9188-960248B74303}"/>
    <cellStyle name="Normal 5 6 2 2 3" xfId="5257" xr:uid="{00000000-0005-0000-0000-0000A01B0000}"/>
    <cellStyle name="Normal 5 6 2 2 3 2" xfId="13686" xr:uid="{05814249-CAD6-40C1-AB6C-4A6BEDFD97E5}"/>
    <cellStyle name="Normal 5 6 2 2 4" xfId="9468" xr:uid="{1132C44F-B094-43D4-8D9C-24F08E228B21}"/>
    <cellStyle name="Normal 5 6 2 3" xfId="1361" xr:uid="{00000000-0005-0000-0000-0000A11B0000}"/>
    <cellStyle name="Normal 5 6 2 3 2" xfId="3591" xr:uid="{00000000-0005-0000-0000-0000A21B0000}"/>
    <cellStyle name="Normal 5 6 2 3 2 2" xfId="7815" xr:uid="{00000000-0005-0000-0000-0000A31B0000}"/>
    <cellStyle name="Normal 5 6 2 3 2 2 2" xfId="16244" xr:uid="{B31D6858-7391-4E5B-9533-88010030F78D}"/>
    <cellStyle name="Normal 5 6 2 3 2 3" xfId="12026" xr:uid="{847E7283-B104-40A1-9CF0-5C6B611C3D4A}"/>
    <cellStyle name="Normal 5 6 2 3 3" xfId="5670" xr:uid="{00000000-0005-0000-0000-0000A41B0000}"/>
    <cellStyle name="Normal 5 6 2 3 3 2" xfId="14099" xr:uid="{2CDDE1FB-F4D0-4D5A-A5AA-B41E4A18FFED}"/>
    <cellStyle name="Normal 5 6 2 3 4" xfId="9881" xr:uid="{ED1EC2B9-9312-46C8-8D44-C2D0D7BF74ED}"/>
    <cellStyle name="Normal 5 6 2 4" xfId="1774" xr:uid="{00000000-0005-0000-0000-0000A51B0000}"/>
    <cellStyle name="Normal 5 6 2 4 2" xfId="4004" xr:uid="{00000000-0005-0000-0000-0000A61B0000}"/>
    <cellStyle name="Normal 5 6 2 4 2 2" xfId="8228" xr:uid="{00000000-0005-0000-0000-0000A71B0000}"/>
    <cellStyle name="Normal 5 6 2 4 2 2 2" xfId="16657" xr:uid="{5F37D2F7-3776-40B8-B8CF-232B77D3A1CF}"/>
    <cellStyle name="Normal 5 6 2 4 2 3" xfId="12439" xr:uid="{4A087B9C-571D-4F3E-B404-AFF4F08F4B0D}"/>
    <cellStyle name="Normal 5 6 2 4 3" xfId="6083" xr:uid="{00000000-0005-0000-0000-0000A81B0000}"/>
    <cellStyle name="Normal 5 6 2 4 3 2" xfId="14512" xr:uid="{8CA9595E-170B-4093-809C-C4D6772E6CE0}"/>
    <cellStyle name="Normal 5 6 2 4 4" xfId="10294" xr:uid="{1E01D9EF-68A8-4309-8BB8-CD8678CAD8F0}"/>
    <cellStyle name="Normal 5 6 2 5" xfId="2188" xr:uid="{00000000-0005-0000-0000-0000A91B0000}"/>
    <cellStyle name="Normal 5 6 2 5 2" xfId="4417" xr:uid="{00000000-0005-0000-0000-0000AA1B0000}"/>
    <cellStyle name="Normal 5 6 2 5 2 2" xfId="8641" xr:uid="{00000000-0005-0000-0000-0000AB1B0000}"/>
    <cellStyle name="Normal 5 6 2 5 2 2 2" xfId="17070" xr:uid="{4B863808-1EAC-45BC-B61A-9E4B7B988317}"/>
    <cellStyle name="Normal 5 6 2 5 2 3" xfId="12852" xr:uid="{307F5B9F-6918-4A6D-B776-B1319086BCBA}"/>
    <cellStyle name="Normal 5 6 2 5 3" xfId="6496" xr:uid="{00000000-0005-0000-0000-0000AC1B0000}"/>
    <cellStyle name="Normal 5 6 2 5 3 2" xfId="14925" xr:uid="{73356285-8B24-4923-814A-DB09472643E6}"/>
    <cellStyle name="Normal 5 6 2 5 4" xfId="10707" xr:uid="{8B752F4E-7EE2-4888-8B2F-4275FB446E08}"/>
    <cellStyle name="Normal 5 6 2 6" xfId="2624" xr:uid="{00000000-0005-0000-0000-0000AD1B0000}"/>
    <cellStyle name="Normal 5 6 2 6 2" xfId="6909" xr:uid="{00000000-0005-0000-0000-0000AE1B0000}"/>
    <cellStyle name="Normal 5 6 2 6 2 2" xfId="15338" xr:uid="{A94150AC-4006-4434-BDD8-272977B9BFAE}"/>
    <cellStyle name="Normal 5 6 2 6 3" xfId="11120" xr:uid="{6E195017-5637-425E-9FC9-3E0C5B8E3636}"/>
    <cellStyle name="Normal 5 6 2 7" xfId="4844" xr:uid="{00000000-0005-0000-0000-0000AF1B0000}"/>
    <cellStyle name="Normal 5 6 2 7 2" xfId="13273" xr:uid="{77EAA536-EA47-4268-9BFC-47D50C5E3524}"/>
    <cellStyle name="Normal 5 6 2 8" xfId="9055" xr:uid="{D7832FA9-51E0-45A8-9637-C7A8407B1DBD}"/>
    <cellStyle name="Normal 5 6 3" xfId="943" xr:uid="{00000000-0005-0000-0000-0000B01B0000}"/>
    <cellStyle name="Normal 5 6 3 2" xfId="3177" xr:uid="{00000000-0005-0000-0000-0000B11B0000}"/>
    <cellStyle name="Normal 5 6 3 2 2" xfId="7401" xr:uid="{00000000-0005-0000-0000-0000B21B0000}"/>
    <cellStyle name="Normal 5 6 3 2 2 2" xfId="15830" xr:uid="{FD531AD3-40B5-4CEF-B887-5979149DC6EC}"/>
    <cellStyle name="Normal 5 6 3 2 3" xfId="11612" xr:uid="{8B441768-0792-49EE-A21D-657B36E39C71}"/>
    <cellStyle name="Normal 5 6 3 3" xfId="5256" xr:uid="{00000000-0005-0000-0000-0000B31B0000}"/>
    <cellStyle name="Normal 5 6 3 3 2" xfId="13685" xr:uid="{4BA43D05-155D-424E-8A7E-EFABEA945D0E}"/>
    <cellStyle name="Normal 5 6 3 4" xfId="9467" xr:uid="{BADBA36B-17D1-452F-B8E3-774497D90783}"/>
    <cellStyle name="Normal 5 6 4" xfId="1360" xr:uid="{00000000-0005-0000-0000-0000B41B0000}"/>
    <cellStyle name="Normal 5 6 4 2" xfId="3590" xr:uid="{00000000-0005-0000-0000-0000B51B0000}"/>
    <cellStyle name="Normal 5 6 4 2 2" xfId="7814" xr:uid="{00000000-0005-0000-0000-0000B61B0000}"/>
    <cellStyle name="Normal 5 6 4 2 2 2" xfId="16243" xr:uid="{C6321F39-3071-46C2-96FA-1F7AD90A8236}"/>
    <cellStyle name="Normal 5 6 4 2 3" xfId="12025" xr:uid="{97AD0044-AA8D-4F20-8D38-EA846546887D}"/>
    <cellStyle name="Normal 5 6 4 3" xfId="5669" xr:uid="{00000000-0005-0000-0000-0000B71B0000}"/>
    <cellStyle name="Normal 5 6 4 3 2" xfId="14098" xr:uid="{54098F58-C71B-4C61-A8FE-E99340B68CA1}"/>
    <cellStyle name="Normal 5 6 4 4" xfId="9880" xr:uid="{FD5C8DE3-1C15-40DE-9987-85B0D26A60A0}"/>
    <cellStyle name="Normal 5 6 5" xfId="1773" xr:uid="{00000000-0005-0000-0000-0000B81B0000}"/>
    <cellStyle name="Normal 5 6 5 2" xfId="4003" xr:uid="{00000000-0005-0000-0000-0000B91B0000}"/>
    <cellStyle name="Normal 5 6 5 2 2" xfId="8227" xr:uid="{00000000-0005-0000-0000-0000BA1B0000}"/>
    <cellStyle name="Normal 5 6 5 2 2 2" xfId="16656" xr:uid="{935F5EB6-FA34-4AA0-9003-3EDE75CB7505}"/>
    <cellStyle name="Normal 5 6 5 2 3" xfId="12438" xr:uid="{5C4C6CF0-2ED1-4649-8A89-123FDFC2CDC7}"/>
    <cellStyle name="Normal 5 6 5 3" xfId="6082" xr:uid="{00000000-0005-0000-0000-0000BB1B0000}"/>
    <cellStyle name="Normal 5 6 5 3 2" xfId="14511" xr:uid="{47D8ABE3-8A2E-42C1-8F64-D30741688E6E}"/>
    <cellStyle name="Normal 5 6 5 4" xfId="10293" xr:uid="{985320DA-885E-450D-94A2-EC6B1677215A}"/>
    <cellStyle name="Normal 5 6 6" xfId="2187" xr:uid="{00000000-0005-0000-0000-0000BC1B0000}"/>
    <cellStyle name="Normal 5 6 6 2" xfId="4416" xr:uid="{00000000-0005-0000-0000-0000BD1B0000}"/>
    <cellStyle name="Normal 5 6 6 2 2" xfId="8640" xr:uid="{00000000-0005-0000-0000-0000BE1B0000}"/>
    <cellStyle name="Normal 5 6 6 2 2 2" xfId="17069" xr:uid="{6C2216A0-758E-41D1-BB76-4B0CDC308D5E}"/>
    <cellStyle name="Normal 5 6 6 2 3" xfId="12851" xr:uid="{249F9E1E-E9B9-4BC7-9753-FC1A6A11984D}"/>
    <cellStyle name="Normal 5 6 6 3" xfId="6495" xr:uid="{00000000-0005-0000-0000-0000BF1B0000}"/>
    <cellStyle name="Normal 5 6 6 3 2" xfId="14924" xr:uid="{D2BD516C-67F0-4C3C-A23F-331D837E1A4D}"/>
    <cellStyle name="Normal 5 6 6 4" xfId="10706" xr:uid="{D8E2E624-1172-428B-931B-A347FF6BABC2}"/>
    <cellStyle name="Normal 5 6 7" xfId="2623" xr:uid="{00000000-0005-0000-0000-0000C01B0000}"/>
    <cellStyle name="Normal 5 6 7 2" xfId="6908" xr:uid="{00000000-0005-0000-0000-0000C11B0000}"/>
    <cellStyle name="Normal 5 6 7 2 2" xfId="15337" xr:uid="{D626B071-FDF2-4094-9A7D-B236B5C9817A}"/>
    <cellStyle name="Normal 5 6 7 3" xfId="11119" xr:uid="{C7AA91C5-2FEE-4E72-B833-A9D4036C1F14}"/>
    <cellStyle name="Normal 5 6 8" xfId="4843" xr:uid="{00000000-0005-0000-0000-0000C21B0000}"/>
    <cellStyle name="Normal 5 6 8 2" xfId="13272" xr:uid="{95EC529A-6E13-422C-876F-2091C44E7241}"/>
    <cellStyle name="Normal 5 6 9" xfId="9054" xr:uid="{AB374490-2695-4534-999B-B5A3C181953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2 2 2" xfId="15832" xr:uid="{DCABBD9A-3071-423B-BE7C-E93FA96F1542}"/>
    <cellStyle name="Normal 5 7 2 2 3" xfId="11614" xr:uid="{BE53749E-F765-4E62-9B27-D4FD5897B699}"/>
    <cellStyle name="Normal 5 7 2 3" xfId="5258" xr:uid="{00000000-0005-0000-0000-0000C71B0000}"/>
    <cellStyle name="Normal 5 7 2 3 2" xfId="13687" xr:uid="{E8067962-65D4-4BDE-AA00-BAC5032548A1}"/>
    <cellStyle name="Normal 5 7 2 4" xfId="9469" xr:uid="{598AF91C-5A9E-494C-AAFF-F6F6E11F4FFF}"/>
    <cellStyle name="Normal 5 7 3" xfId="1362" xr:uid="{00000000-0005-0000-0000-0000C81B0000}"/>
    <cellStyle name="Normal 5 7 3 2" xfId="3592" xr:uid="{00000000-0005-0000-0000-0000C91B0000}"/>
    <cellStyle name="Normal 5 7 3 2 2" xfId="7816" xr:uid="{00000000-0005-0000-0000-0000CA1B0000}"/>
    <cellStyle name="Normal 5 7 3 2 2 2" xfId="16245" xr:uid="{76EAE98A-2F01-47B9-B07B-CE71AC327F6F}"/>
    <cellStyle name="Normal 5 7 3 2 3" xfId="12027" xr:uid="{56F68EA9-16DA-4AAE-9714-C21BFD7E6CE1}"/>
    <cellStyle name="Normal 5 7 3 3" xfId="5671" xr:uid="{00000000-0005-0000-0000-0000CB1B0000}"/>
    <cellStyle name="Normal 5 7 3 3 2" xfId="14100" xr:uid="{AF62E7F3-B565-4BEF-8EC6-3726D12311CD}"/>
    <cellStyle name="Normal 5 7 3 4" xfId="9882" xr:uid="{E7A662BC-F83E-47BB-91F0-4DD0207DD47E}"/>
    <cellStyle name="Normal 5 7 4" xfId="1775" xr:uid="{00000000-0005-0000-0000-0000CC1B0000}"/>
    <cellStyle name="Normal 5 7 4 2" xfId="4005" xr:uid="{00000000-0005-0000-0000-0000CD1B0000}"/>
    <cellStyle name="Normal 5 7 4 2 2" xfId="8229" xr:uid="{00000000-0005-0000-0000-0000CE1B0000}"/>
    <cellStyle name="Normal 5 7 4 2 2 2" xfId="16658" xr:uid="{5BCF5874-ACA7-4392-A2C0-BB169C9F4E3B}"/>
    <cellStyle name="Normal 5 7 4 2 3" xfId="12440" xr:uid="{B0C8F532-3317-4A99-BDF2-B93DA72ED8EF}"/>
    <cellStyle name="Normal 5 7 4 3" xfId="6084" xr:uid="{00000000-0005-0000-0000-0000CF1B0000}"/>
    <cellStyle name="Normal 5 7 4 3 2" xfId="14513" xr:uid="{F0A4CEB9-7474-4DA8-9374-0006DA94EC3B}"/>
    <cellStyle name="Normal 5 7 4 4" xfId="10295" xr:uid="{D1681332-3500-4D88-B27C-D2D9011396DA}"/>
    <cellStyle name="Normal 5 7 5" xfId="2189" xr:uid="{00000000-0005-0000-0000-0000D01B0000}"/>
    <cellStyle name="Normal 5 7 5 2" xfId="4418" xr:uid="{00000000-0005-0000-0000-0000D11B0000}"/>
    <cellStyle name="Normal 5 7 5 2 2" xfId="8642" xr:uid="{00000000-0005-0000-0000-0000D21B0000}"/>
    <cellStyle name="Normal 5 7 5 2 2 2" xfId="17071" xr:uid="{992B85F2-213F-4272-91EB-4FAE23F3B987}"/>
    <cellStyle name="Normal 5 7 5 2 3" xfId="12853" xr:uid="{689EE26F-ABD6-4C30-97E8-FAA194A61C78}"/>
    <cellStyle name="Normal 5 7 5 3" xfId="6497" xr:uid="{00000000-0005-0000-0000-0000D31B0000}"/>
    <cellStyle name="Normal 5 7 5 3 2" xfId="14926" xr:uid="{D1CCAD04-A5AC-4721-92AE-6F9821904188}"/>
    <cellStyle name="Normal 5 7 5 4" xfId="10708" xr:uid="{CA090A43-4060-4B5C-8624-4FCBB94D52E9}"/>
    <cellStyle name="Normal 5 7 6" xfId="2625" xr:uid="{00000000-0005-0000-0000-0000D41B0000}"/>
    <cellStyle name="Normal 5 7 6 2" xfId="6910" xr:uid="{00000000-0005-0000-0000-0000D51B0000}"/>
    <cellStyle name="Normal 5 7 6 2 2" xfId="15339" xr:uid="{0CC235C8-013E-46CB-8E0E-A830D347B651}"/>
    <cellStyle name="Normal 5 7 6 3" xfId="11121" xr:uid="{5D41D995-9A9E-47C8-9242-2DBD327C3EDF}"/>
    <cellStyle name="Normal 5 7 7" xfId="4845" xr:uid="{00000000-0005-0000-0000-0000D61B0000}"/>
    <cellStyle name="Normal 5 7 7 2" xfId="13274" xr:uid="{A7F0FF46-5588-49B4-B5A4-0323D325BEF0}"/>
    <cellStyle name="Normal 5 7 8" xfId="9056" xr:uid="{F92B7D6A-971B-4F35-BD2A-40C3E27215DE}"/>
    <cellStyle name="Normal 5 8" xfId="881" xr:uid="{00000000-0005-0000-0000-0000D71B0000}"/>
    <cellStyle name="Normal 5 8 2" xfId="3116" xr:uid="{00000000-0005-0000-0000-0000D81B0000}"/>
    <cellStyle name="Normal 5 8 2 2" xfId="7340" xr:uid="{00000000-0005-0000-0000-0000D91B0000}"/>
    <cellStyle name="Normal 5 8 2 2 2" xfId="15769" xr:uid="{86CF08B2-6186-4CAF-A1FC-347986EEA68C}"/>
    <cellStyle name="Normal 5 8 2 3" xfId="11551" xr:uid="{E13ED716-DFD9-4485-881C-FB49BA7BD051}"/>
    <cellStyle name="Normal 5 8 3" xfId="5195" xr:uid="{00000000-0005-0000-0000-0000DA1B0000}"/>
    <cellStyle name="Normal 5 8 3 2" xfId="13624" xr:uid="{D72DB6C2-BA51-4369-8DB1-4AACB987C4DC}"/>
    <cellStyle name="Normal 5 8 4" xfId="9406" xr:uid="{1E4E73E9-23AC-4AA9-AA8F-F0E57D6D279B}"/>
    <cellStyle name="Normal 5 9" xfId="1299" xr:uid="{00000000-0005-0000-0000-0000DB1B0000}"/>
    <cellStyle name="Normal 5 9 2" xfId="3529" xr:uid="{00000000-0005-0000-0000-0000DC1B0000}"/>
    <cellStyle name="Normal 5 9 2 2" xfId="7753" xr:uid="{00000000-0005-0000-0000-0000DD1B0000}"/>
    <cellStyle name="Normal 5 9 2 2 2" xfId="16182" xr:uid="{0F76599A-92CF-4319-87CF-04AA873A5D68}"/>
    <cellStyle name="Normal 5 9 2 3" xfId="11964" xr:uid="{5B612D68-AA0A-49B8-B70E-A474C4A2BE49}"/>
    <cellStyle name="Normal 5 9 3" xfId="5608" xr:uid="{00000000-0005-0000-0000-0000DE1B0000}"/>
    <cellStyle name="Normal 5 9 3 2" xfId="14037" xr:uid="{9EDF0255-09C4-4C3F-BEC8-EFD23B058A5F}"/>
    <cellStyle name="Normal 5 9 4" xfId="9819" xr:uid="{94FAABA6-0166-4AA1-8CB7-61EF0989D2F4}"/>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2 2 2" xfId="17072" xr:uid="{B38FBB09-5359-48AA-B820-46F23DDA17C5}"/>
    <cellStyle name="Normal 8 10 2 3" xfId="12854" xr:uid="{E8EDEF88-1615-4560-B0C6-3CD227FDA579}"/>
    <cellStyle name="Normal 8 10 3" xfId="6498" xr:uid="{00000000-0005-0000-0000-0000EA1B0000}"/>
    <cellStyle name="Normal 8 10 3 2" xfId="14927" xr:uid="{900FE268-5788-4AC3-BBF2-6C324636D0C8}"/>
    <cellStyle name="Normal 8 10 4" xfId="10709" xr:uid="{B7A57E50-6011-454D-9CCA-402EAB841338}"/>
    <cellStyle name="Normal 8 11" xfId="2626" xr:uid="{00000000-0005-0000-0000-0000EB1B0000}"/>
    <cellStyle name="Normal 8 11 2" xfId="6911" xr:uid="{00000000-0005-0000-0000-0000EC1B0000}"/>
    <cellStyle name="Normal 8 11 2 2" xfId="15340" xr:uid="{E7AAB0E9-1F61-4EDB-A6E8-85C18C9BAA0A}"/>
    <cellStyle name="Normal 8 11 3" xfId="11122" xr:uid="{2F7FAA22-1C01-469B-959F-BC4C39E134C9}"/>
    <cellStyle name="Normal 8 12" xfId="4846" xr:uid="{00000000-0005-0000-0000-0000ED1B0000}"/>
    <cellStyle name="Normal 8 12 2" xfId="13275" xr:uid="{8E9D2D5C-0155-44EE-863F-148E06B24756}"/>
    <cellStyle name="Normal 8 13" xfId="9057" xr:uid="{FEBD5627-827D-4FD8-8246-570782B9FC18}"/>
    <cellStyle name="Normal 8 2" xfId="479" xr:uid="{00000000-0005-0000-0000-0000EE1B0000}"/>
    <cellStyle name="Normal 8 2 10" xfId="2627" xr:uid="{00000000-0005-0000-0000-0000EF1B0000}"/>
    <cellStyle name="Normal 8 2 10 2" xfId="6912" xr:uid="{00000000-0005-0000-0000-0000F01B0000}"/>
    <cellStyle name="Normal 8 2 10 2 2" xfId="15341" xr:uid="{583EA009-4EA8-4E9D-8C2A-1EDDF3EBAFB2}"/>
    <cellStyle name="Normal 8 2 10 3" xfId="11123" xr:uid="{A1A3ACE1-E128-4596-8BD9-FFAD13843EC2}"/>
    <cellStyle name="Normal 8 2 11" xfId="4847" xr:uid="{00000000-0005-0000-0000-0000F11B0000}"/>
    <cellStyle name="Normal 8 2 11 2" xfId="13276" xr:uid="{C2DF2EFD-5AA4-4AE3-8A28-B4F724FDCC6F}"/>
    <cellStyle name="Normal 8 2 12" xfId="9058" xr:uid="{DA9B4295-8A1F-4B9F-8489-B60B8A3F17DD}"/>
    <cellStyle name="Normal 8 2 2" xfId="480" xr:uid="{00000000-0005-0000-0000-0000F21B0000}"/>
    <cellStyle name="Normal 8 2 2 10" xfId="4848" xr:uid="{00000000-0005-0000-0000-0000F31B0000}"/>
    <cellStyle name="Normal 8 2 2 10 2" xfId="13277" xr:uid="{4C894515-7FA9-4DDA-87BF-0DD440095E51}"/>
    <cellStyle name="Normal 8 2 2 11" xfId="9059" xr:uid="{E4BD0283-55C7-411E-A706-14177EEC0415}"/>
    <cellStyle name="Normal 8 2 2 2" xfId="481" xr:uid="{00000000-0005-0000-0000-0000F41B0000}"/>
    <cellStyle name="Normal 8 2 2 2 10" xfId="9060" xr:uid="{35CC22A9-EBC1-4E4D-B3C9-FC80CA10BDC6}"/>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2 2 2" xfId="15838" xr:uid="{F3E51131-75EA-4DFE-AE15-F26A29051027}"/>
    <cellStyle name="Normal 8 2 2 2 2 2 2 2 3" xfId="11620" xr:uid="{B1135BE4-E90A-4FD3-B90A-CC5A1D1D8DC5}"/>
    <cellStyle name="Normal 8 2 2 2 2 2 2 3" xfId="5264" xr:uid="{00000000-0005-0000-0000-0000FA1B0000}"/>
    <cellStyle name="Normal 8 2 2 2 2 2 2 3 2" xfId="13693" xr:uid="{67ADE6AF-B21C-4B23-8143-8340D3A0B719}"/>
    <cellStyle name="Normal 8 2 2 2 2 2 2 4" xfId="9475" xr:uid="{F35FF1C1-F3D4-497E-B730-DA818390DC96}"/>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2 2 2" xfId="16251" xr:uid="{EDB1BE96-6405-4784-85BC-23F4A3F449F7}"/>
    <cellStyle name="Normal 8 2 2 2 2 2 3 2 3" xfId="12033" xr:uid="{F3E7CBFB-5365-4B60-95F1-C5A2D9045EE4}"/>
    <cellStyle name="Normal 8 2 2 2 2 2 3 3" xfId="5677" xr:uid="{00000000-0005-0000-0000-0000FE1B0000}"/>
    <cellStyle name="Normal 8 2 2 2 2 2 3 3 2" xfId="14106" xr:uid="{6DA89F59-5D8C-4036-BF15-E5903EDAD100}"/>
    <cellStyle name="Normal 8 2 2 2 2 2 3 4" xfId="9888" xr:uid="{4070B8E5-A489-46F3-B567-1E5748560654}"/>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2 2 2" xfId="16664" xr:uid="{BCF44D95-E956-4F4A-B811-E1D3F8D63604}"/>
    <cellStyle name="Normal 8 2 2 2 2 2 4 2 3" xfId="12446" xr:uid="{0EFAF032-9907-4CBF-9D00-D2E2CE5ED850}"/>
    <cellStyle name="Normal 8 2 2 2 2 2 4 3" xfId="6090" xr:uid="{00000000-0005-0000-0000-0000021C0000}"/>
    <cellStyle name="Normal 8 2 2 2 2 2 4 3 2" xfId="14519" xr:uid="{6222C4F2-4B15-40A5-B258-B0E59C739F2F}"/>
    <cellStyle name="Normal 8 2 2 2 2 2 4 4" xfId="10301" xr:uid="{BF84A298-98BB-4DEA-9679-775D3CAF2FB3}"/>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2 2 2" xfId="17077" xr:uid="{ACFEDAB7-762E-4DFB-8C9D-60460DA926BF}"/>
    <cellStyle name="Normal 8 2 2 2 2 2 5 2 3" xfId="12859" xr:uid="{DFE8165E-F58D-441C-86AC-89ED90C34A6B}"/>
    <cellStyle name="Normal 8 2 2 2 2 2 5 3" xfId="6503" xr:uid="{00000000-0005-0000-0000-0000061C0000}"/>
    <cellStyle name="Normal 8 2 2 2 2 2 5 3 2" xfId="14932" xr:uid="{0FB0AB2B-BFB3-457C-80BE-26FE40C4719C}"/>
    <cellStyle name="Normal 8 2 2 2 2 2 5 4" xfId="10714" xr:uid="{85C4DB77-E0AC-470B-9C2B-0FD4244B4D2A}"/>
    <cellStyle name="Normal 8 2 2 2 2 2 6" xfId="2631" xr:uid="{00000000-0005-0000-0000-0000071C0000}"/>
    <cellStyle name="Normal 8 2 2 2 2 2 6 2" xfId="6916" xr:uid="{00000000-0005-0000-0000-0000081C0000}"/>
    <cellStyle name="Normal 8 2 2 2 2 2 6 2 2" xfId="15345" xr:uid="{524C0BCA-53C5-4493-9042-A2F0D2422645}"/>
    <cellStyle name="Normal 8 2 2 2 2 2 6 3" xfId="11127" xr:uid="{3E8ACA46-CB9E-4B38-BF2D-AD20989D9038}"/>
    <cellStyle name="Normal 8 2 2 2 2 2 7" xfId="4851" xr:uid="{00000000-0005-0000-0000-0000091C0000}"/>
    <cellStyle name="Normal 8 2 2 2 2 2 7 2" xfId="13280" xr:uid="{1B4BBA7D-6778-4BE1-AEBD-9FE244D18A18}"/>
    <cellStyle name="Normal 8 2 2 2 2 2 8" xfId="9062" xr:uid="{0166F8C6-796B-4758-94C7-007DA332356C}"/>
    <cellStyle name="Normal 8 2 2 2 2 3" xfId="950" xr:uid="{00000000-0005-0000-0000-00000A1C0000}"/>
    <cellStyle name="Normal 8 2 2 2 2 3 2" xfId="3184" xr:uid="{00000000-0005-0000-0000-00000B1C0000}"/>
    <cellStyle name="Normal 8 2 2 2 2 3 2 2" xfId="7408" xr:uid="{00000000-0005-0000-0000-00000C1C0000}"/>
    <cellStyle name="Normal 8 2 2 2 2 3 2 2 2" xfId="15837" xr:uid="{938744D5-7FA9-4651-9F51-45F478C3A4AB}"/>
    <cellStyle name="Normal 8 2 2 2 2 3 2 3" xfId="11619" xr:uid="{7DB95847-901B-478A-8BD1-BB8DB9CAB9AA}"/>
    <cellStyle name="Normal 8 2 2 2 2 3 3" xfId="5263" xr:uid="{00000000-0005-0000-0000-00000D1C0000}"/>
    <cellStyle name="Normal 8 2 2 2 2 3 3 2" xfId="13692" xr:uid="{019A3C61-867B-4E6A-99AE-84C7D37AAFE2}"/>
    <cellStyle name="Normal 8 2 2 2 2 3 4" xfId="9474" xr:uid="{3F307EBE-32F2-4D31-9CDD-7057E31C6615}"/>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2 2 2" xfId="16250" xr:uid="{15A5E6B1-8160-4E19-B744-EB0AAB387109}"/>
    <cellStyle name="Normal 8 2 2 2 2 4 2 3" xfId="12032" xr:uid="{7897441D-4641-4FA3-A423-7F76E3E973FA}"/>
    <cellStyle name="Normal 8 2 2 2 2 4 3" xfId="5676" xr:uid="{00000000-0005-0000-0000-0000111C0000}"/>
    <cellStyle name="Normal 8 2 2 2 2 4 3 2" xfId="14105" xr:uid="{5E25892F-89F9-429B-802D-13FAD5E0F1C6}"/>
    <cellStyle name="Normal 8 2 2 2 2 4 4" xfId="9887" xr:uid="{F0584FE5-C96C-4FE6-8973-8DA01D45D975}"/>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2 2 2" xfId="16663" xr:uid="{E6E4C4EB-7197-470C-AB24-0362DE25DD56}"/>
    <cellStyle name="Normal 8 2 2 2 2 5 2 3" xfId="12445" xr:uid="{2782C9D8-F60A-4260-9584-EE27701A83F6}"/>
    <cellStyle name="Normal 8 2 2 2 2 5 3" xfId="6089" xr:uid="{00000000-0005-0000-0000-0000151C0000}"/>
    <cellStyle name="Normal 8 2 2 2 2 5 3 2" xfId="14518" xr:uid="{F12CFC4B-B991-45F8-9EE8-CA850F4B9131}"/>
    <cellStyle name="Normal 8 2 2 2 2 5 4" xfId="10300" xr:uid="{91FC7F96-E5CF-478C-9300-BA0861821C52}"/>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2 2 2" xfId="17076" xr:uid="{362D0074-8FCA-4369-B40D-ACC42F930488}"/>
    <cellStyle name="Normal 8 2 2 2 2 6 2 3" xfId="12858" xr:uid="{59E76113-879D-4F1D-A2B7-9891E8DBCF4A}"/>
    <cellStyle name="Normal 8 2 2 2 2 6 3" xfId="6502" xr:uid="{00000000-0005-0000-0000-0000191C0000}"/>
    <cellStyle name="Normal 8 2 2 2 2 6 3 2" xfId="14931" xr:uid="{E67D7F64-71CC-4F73-AC94-88B6630A19E9}"/>
    <cellStyle name="Normal 8 2 2 2 2 6 4" xfId="10713" xr:uid="{464C5B0A-9A3C-4C28-9C9A-42B5F08E667D}"/>
    <cellStyle name="Normal 8 2 2 2 2 7" xfId="2630" xr:uid="{00000000-0005-0000-0000-00001A1C0000}"/>
    <cellStyle name="Normal 8 2 2 2 2 7 2" xfId="6915" xr:uid="{00000000-0005-0000-0000-00001B1C0000}"/>
    <cellStyle name="Normal 8 2 2 2 2 7 2 2" xfId="15344" xr:uid="{4589D04E-0224-47EE-9C5B-9842EED5A1E5}"/>
    <cellStyle name="Normal 8 2 2 2 2 7 3" xfId="11126" xr:uid="{961B843C-AEF7-43E5-884F-3CAFE89D251C}"/>
    <cellStyle name="Normal 8 2 2 2 2 8" xfId="4850" xr:uid="{00000000-0005-0000-0000-00001C1C0000}"/>
    <cellStyle name="Normal 8 2 2 2 2 8 2" xfId="13279" xr:uid="{3F3DE27B-C7AE-4A15-9311-58E0F5F2B994}"/>
    <cellStyle name="Normal 8 2 2 2 2 9" xfId="9061" xr:uid="{8FA3541C-ABBA-48B6-81D0-B761B5B33FF4}"/>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2 2 2" xfId="15839" xr:uid="{8421C9F3-47E7-4841-ABD6-D3C478A9AEB3}"/>
    <cellStyle name="Normal 8 2 2 2 3 2 2 3" xfId="11621" xr:uid="{24CEC495-9BF9-4A6E-A0BA-F311C9795427}"/>
    <cellStyle name="Normal 8 2 2 2 3 2 3" xfId="5265" xr:uid="{00000000-0005-0000-0000-0000211C0000}"/>
    <cellStyle name="Normal 8 2 2 2 3 2 3 2" xfId="13694" xr:uid="{C9734DA5-81E2-4C90-9C0D-92D66A24C27F}"/>
    <cellStyle name="Normal 8 2 2 2 3 2 4" xfId="9476" xr:uid="{ADF16D1F-7B11-4984-85AC-AC8AD3AAE2AA}"/>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2 2 2" xfId="16252" xr:uid="{66F03EEE-4B16-497D-AF12-7140B3301CA6}"/>
    <cellStyle name="Normal 8 2 2 2 3 3 2 3" xfId="12034" xr:uid="{735B2491-0320-4917-AD2D-2A1145A86240}"/>
    <cellStyle name="Normal 8 2 2 2 3 3 3" xfId="5678" xr:uid="{00000000-0005-0000-0000-0000251C0000}"/>
    <cellStyle name="Normal 8 2 2 2 3 3 3 2" xfId="14107" xr:uid="{4682E9F4-0C6D-4093-A143-0048C8A16D96}"/>
    <cellStyle name="Normal 8 2 2 2 3 3 4" xfId="9889" xr:uid="{84B8A852-BA9D-4B50-909B-0316433C06B1}"/>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2 2 2" xfId="16665" xr:uid="{C57CA0FB-6548-4CEF-A092-EF307E6060CD}"/>
    <cellStyle name="Normal 8 2 2 2 3 4 2 3" xfId="12447" xr:uid="{68351790-6A1B-4DD9-93E0-F7DA9B2D6ED3}"/>
    <cellStyle name="Normal 8 2 2 2 3 4 3" xfId="6091" xr:uid="{00000000-0005-0000-0000-0000291C0000}"/>
    <cellStyle name="Normal 8 2 2 2 3 4 3 2" xfId="14520" xr:uid="{0E6AB995-CE78-4AF3-9F59-F47EFB0016A0}"/>
    <cellStyle name="Normal 8 2 2 2 3 4 4" xfId="10302" xr:uid="{F1A509C3-DFAE-4328-9B77-884143D1C5FE}"/>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2 2 2" xfId="17078" xr:uid="{E82CC0EC-B164-4D54-8593-0F17A1C783CA}"/>
    <cellStyle name="Normal 8 2 2 2 3 5 2 3" xfId="12860" xr:uid="{2D686774-CC5C-4C3E-9280-82241C79B99F}"/>
    <cellStyle name="Normal 8 2 2 2 3 5 3" xfId="6504" xr:uid="{00000000-0005-0000-0000-00002D1C0000}"/>
    <cellStyle name="Normal 8 2 2 2 3 5 3 2" xfId="14933" xr:uid="{97D85A7A-98DD-4EB5-8578-FE9DD49175D1}"/>
    <cellStyle name="Normal 8 2 2 2 3 5 4" xfId="10715" xr:uid="{E84291DA-934D-41D2-8164-B60664EFAC31}"/>
    <cellStyle name="Normal 8 2 2 2 3 6" xfId="2632" xr:uid="{00000000-0005-0000-0000-00002E1C0000}"/>
    <cellStyle name="Normal 8 2 2 2 3 6 2" xfId="6917" xr:uid="{00000000-0005-0000-0000-00002F1C0000}"/>
    <cellStyle name="Normal 8 2 2 2 3 6 2 2" xfId="15346" xr:uid="{660B8546-8CD1-43FE-B83C-011B6843A8EC}"/>
    <cellStyle name="Normal 8 2 2 2 3 6 3" xfId="11128" xr:uid="{4FE6F2AE-5A78-48E6-90CF-EA2C2975E887}"/>
    <cellStyle name="Normal 8 2 2 2 3 7" xfId="4852" xr:uid="{00000000-0005-0000-0000-0000301C0000}"/>
    <cellStyle name="Normal 8 2 2 2 3 7 2" xfId="13281" xr:uid="{FF52FC03-33E4-42AD-AFA2-564F9271418D}"/>
    <cellStyle name="Normal 8 2 2 2 3 8" xfId="9063" xr:uid="{EC79CB85-3205-4695-9373-9D60F472ACE0}"/>
    <cellStyle name="Normal 8 2 2 2 4" xfId="949" xr:uid="{00000000-0005-0000-0000-0000311C0000}"/>
    <cellStyle name="Normal 8 2 2 2 4 2" xfId="3183" xr:uid="{00000000-0005-0000-0000-0000321C0000}"/>
    <cellStyle name="Normal 8 2 2 2 4 2 2" xfId="7407" xr:uid="{00000000-0005-0000-0000-0000331C0000}"/>
    <cellStyle name="Normal 8 2 2 2 4 2 2 2" xfId="15836" xr:uid="{967B3A4E-F0F1-435E-BE3F-2C9C551F23BF}"/>
    <cellStyle name="Normal 8 2 2 2 4 2 3" xfId="11618" xr:uid="{38F1489D-D9D0-496A-83CB-7000F33D7E2A}"/>
    <cellStyle name="Normal 8 2 2 2 4 3" xfId="5262" xr:uid="{00000000-0005-0000-0000-0000341C0000}"/>
    <cellStyle name="Normal 8 2 2 2 4 3 2" xfId="13691" xr:uid="{410FE39C-38FA-4C40-A169-223F6BFD1B62}"/>
    <cellStyle name="Normal 8 2 2 2 4 4" xfId="9473" xr:uid="{B33BA622-A60B-4C59-A6D9-DF204AD6D638}"/>
    <cellStyle name="Normal 8 2 2 2 5" xfId="1366" xr:uid="{00000000-0005-0000-0000-0000351C0000}"/>
    <cellStyle name="Normal 8 2 2 2 5 2" xfId="3596" xr:uid="{00000000-0005-0000-0000-0000361C0000}"/>
    <cellStyle name="Normal 8 2 2 2 5 2 2" xfId="7820" xr:uid="{00000000-0005-0000-0000-0000371C0000}"/>
    <cellStyle name="Normal 8 2 2 2 5 2 2 2" xfId="16249" xr:uid="{A95BEA21-382C-412E-8934-3F7B5592E02F}"/>
    <cellStyle name="Normal 8 2 2 2 5 2 3" xfId="12031" xr:uid="{528AB3B7-9E94-4264-B9B3-3C2C4602C037}"/>
    <cellStyle name="Normal 8 2 2 2 5 3" xfId="5675" xr:uid="{00000000-0005-0000-0000-0000381C0000}"/>
    <cellStyle name="Normal 8 2 2 2 5 3 2" xfId="14104" xr:uid="{BE6FAB6D-656A-41A9-BCD5-A9CADDBD3001}"/>
    <cellStyle name="Normal 8 2 2 2 5 4" xfId="9886" xr:uid="{031060B1-5AB0-44D3-986C-A334A8D24E0A}"/>
    <cellStyle name="Normal 8 2 2 2 6" xfId="1779" xr:uid="{00000000-0005-0000-0000-0000391C0000}"/>
    <cellStyle name="Normal 8 2 2 2 6 2" xfId="4009" xr:uid="{00000000-0005-0000-0000-00003A1C0000}"/>
    <cellStyle name="Normal 8 2 2 2 6 2 2" xfId="8233" xr:uid="{00000000-0005-0000-0000-00003B1C0000}"/>
    <cellStyle name="Normal 8 2 2 2 6 2 2 2" xfId="16662" xr:uid="{EE220203-1B84-45AC-AC02-40A6790C8EE8}"/>
    <cellStyle name="Normal 8 2 2 2 6 2 3" xfId="12444" xr:uid="{FD73E357-471A-444F-83C7-FE75E3923EF9}"/>
    <cellStyle name="Normal 8 2 2 2 6 3" xfId="6088" xr:uid="{00000000-0005-0000-0000-00003C1C0000}"/>
    <cellStyle name="Normal 8 2 2 2 6 3 2" xfId="14517" xr:uid="{2B749A22-0DE3-4C91-98F5-499CE67B98F0}"/>
    <cellStyle name="Normal 8 2 2 2 6 4" xfId="10299" xr:uid="{830009D0-DA78-49D0-B879-77769A5F3C2B}"/>
    <cellStyle name="Normal 8 2 2 2 7" xfId="2193" xr:uid="{00000000-0005-0000-0000-00003D1C0000}"/>
    <cellStyle name="Normal 8 2 2 2 7 2" xfId="4422" xr:uid="{00000000-0005-0000-0000-00003E1C0000}"/>
    <cellStyle name="Normal 8 2 2 2 7 2 2" xfId="8646" xr:uid="{00000000-0005-0000-0000-00003F1C0000}"/>
    <cellStyle name="Normal 8 2 2 2 7 2 2 2" xfId="17075" xr:uid="{E5317DA5-0B85-4037-BE66-DE3C2FCF34A0}"/>
    <cellStyle name="Normal 8 2 2 2 7 2 3" xfId="12857" xr:uid="{F909FA96-E7BC-45A0-BDD9-24D6E7DE67BB}"/>
    <cellStyle name="Normal 8 2 2 2 7 3" xfId="6501" xr:uid="{00000000-0005-0000-0000-0000401C0000}"/>
    <cellStyle name="Normal 8 2 2 2 7 3 2" xfId="14930" xr:uid="{99CAD1A5-58D1-4BC8-BE34-10B4802ACDC4}"/>
    <cellStyle name="Normal 8 2 2 2 7 4" xfId="10712" xr:uid="{7711790B-D6ED-47A9-AA62-ABE50D826ECB}"/>
    <cellStyle name="Normal 8 2 2 2 8" xfId="2629" xr:uid="{00000000-0005-0000-0000-0000411C0000}"/>
    <cellStyle name="Normal 8 2 2 2 8 2" xfId="6914" xr:uid="{00000000-0005-0000-0000-0000421C0000}"/>
    <cellStyle name="Normal 8 2 2 2 8 2 2" xfId="15343" xr:uid="{E608FCA4-5E0A-4785-8244-3BD4C8DBD6B1}"/>
    <cellStyle name="Normal 8 2 2 2 8 3" xfId="11125" xr:uid="{56809BB3-53D3-4C56-B9AC-796151A32595}"/>
    <cellStyle name="Normal 8 2 2 2 9" xfId="4849" xr:uid="{00000000-0005-0000-0000-0000431C0000}"/>
    <cellStyle name="Normal 8 2 2 2 9 2" xfId="13278" xr:uid="{FBFB1C1D-9C4B-40D8-9B7F-CC3ADED7E43D}"/>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2 2 2" xfId="15841" xr:uid="{C5F13387-FE90-4562-B887-DAD4303D10B7}"/>
    <cellStyle name="Normal 8 2 2 3 2 2 2 3" xfId="11623" xr:uid="{75E2980D-96D6-4047-AB62-49035898BCC6}"/>
    <cellStyle name="Normal 8 2 2 3 2 2 3" xfId="5267" xr:uid="{00000000-0005-0000-0000-0000491C0000}"/>
    <cellStyle name="Normal 8 2 2 3 2 2 3 2" xfId="13696" xr:uid="{75C49E13-E677-46F9-A525-B4BB27847F8B}"/>
    <cellStyle name="Normal 8 2 2 3 2 2 4" xfId="9478" xr:uid="{E4ECB18F-77E1-4765-85FB-0BE2E549C5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2 2 2" xfId="16254" xr:uid="{1981DD06-E0E3-46C0-AE62-6F264F85F150}"/>
    <cellStyle name="Normal 8 2 2 3 2 3 2 3" xfId="12036" xr:uid="{6EE2A763-F82E-46F2-A645-94A7E48A7447}"/>
    <cellStyle name="Normal 8 2 2 3 2 3 3" xfId="5680" xr:uid="{00000000-0005-0000-0000-00004D1C0000}"/>
    <cellStyle name="Normal 8 2 2 3 2 3 3 2" xfId="14109" xr:uid="{DA9E44F9-DF98-41B2-B553-0E5FBA6AF94D}"/>
    <cellStyle name="Normal 8 2 2 3 2 3 4" xfId="9891" xr:uid="{D5398DF2-981C-4B4E-A5DB-2E147E6706ED}"/>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2 2 2" xfId="16667" xr:uid="{13C26B80-267C-42AA-9413-F1D84A38A514}"/>
    <cellStyle name="Normal 8 2 2 3 2 4 2 3" xfId="12449" xr:uid="{88E159D8-F764-4D8A-9946-49C491B5A8F0}"/>
    <cellStyle name="Normal 8 2 2 3 2 4 3" xfId="6093" xr:uid="{00000000-0005-0000-0000-0000511C0000}"/>
    <cellStyle name="Normal 8 2 2 3 2 4 3 2" xfId="14522" xr:uid="{0A7C2F3D-E0BA-48A2-8E5E-DA2488EA5C66}"/>
    <cellStyle name="Normal 8 2 2 3 2 4 4" xfId="10304" xr:uid="{2ED915E1-CA39-4E5B-B5BF-8B17847A8C21}"/>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2 2 2" xfId="17080" xr:uid="{53EE602C-9245-4A01-B030-3FE9AB25B8D7}"/>
    <cellStyle name="Normal 8 2 2 3 2 5 2 3" xfId="12862" xr:uid="{8EB10624-76B5-49F9-8809-D8564CE88E92}"/>
    <cellStyle name="Normal 8 2 2 3 2 5 3" xfId="6506" xr:uid="{00000000-0005-0000-0000-0000551C0000}"/>
    <cellStyle name="Normal 8 2 2 3 2 5 3 2" xfId="14935" xr:uid="{D0E9A926-C92B-4790-8C6F-C7855DD90712}"/>
    <cellStyle name="Normal 8 2 2 3 2 5 4" xfId="10717" xr:uid="{9D96D735-F1BA-48C8-8574-CC9D1C0B52A1}"/>
    <cellStyle name="Normal 8 2 2 3 2 6" xfId="2634" xr:uid="{00000000-0005-0000-0000-0000561C0000}"/>
    <cellStyle name="Normal 8 2 2 3 2 6 2" xfId="6919" xr:uid="{00000000-0005-0000-0000-0000571C0000}"/>
    <cellStyle name="Normal 8 2 2 3 2 6 2 2" xfId="15348" xr:uid="{232FC466-55FE-4CE2-82C3-59790943E8AA}"/>
    <cellStyle name="Normal 8 2 2 3 2 6 3" xfId="11130" xr:uid="{DFC1B1C8-CCA8-45AF-B7D9-FFBC38274D68}"/>
    <cellStyle name="Normal 8 2 2 3 2 7" xfId="4854" xr:uid="{00000000-0005-0000-0000-0000581C0000}"/>
    <cellStyle name="Normal 8 2 2 3 2 7 2" xfId="13283" xr:uid="{A4FE530D-D2D8-4D72-8FC2-5310D81E754E}"/>
    <cellStyle name="Normal 8 2 2 3 2 8" xfId="9065" xr:uid="{18745B9E-C5D5-4AF5-AC8E-AE7F120B53F6}"/>
    <cellStyle name="Normal 8 2 2 3 3" xfId="953" xr:uid="{00000000-0005-0000-0000-0000591C0000}"/>
    <cellStyle name="Normal 8 2 2 3 3 2" xfId="3187" xr:uid="{00000000-0005-0000-0000-00005A1C0000}"/>
    <cellStyle name="Normal 8 2 2 3 3 2 2" xfId="7411" xr:uid="{00000000-0005-0000-0000-00005B1C0000}"/>
    <cellStyle name="Normal 8 2 2 3 3 2 2 2" xfId="15840" xr:uid="{2C1A0546-06B8-4A96-B840-40B46A154934}"/>
    <cellStyle name="Normal 8 2 2 3 3 2 3" xfId="11622" xr:uid="{AB0EC759-E6F7-4F06-83BE-54D59C7FC752}"/>
    <cellStyle name="Normal 8 2 2 3 3 3" xfId="5266" xr:uid="{00000000-0005-0000-0000-00005C1C0000}"/>
    <cellStyle name="Normal 8 2 2 3 3 3 2" xfId="13695" xr:uid="{4EBAB072-0240-42D8-9973-225A6A95FDD9}"/>
    <cellStyle name="Normal 8 2 2 3 3 4" xfId="9477" xr:uid="{63F1A9C2-BEA1-471B-B2F2-0C93B7CF1E47}"/>
    <cellStyle name="Normal 8 2 2 3 4" xfId="1370" xr:uid="{00000000-0005-0000-0000-00005D1C0000}"/>
    <cellStyle name="Normal 8 2 2 3 4 2" xfId="3600" xr:uid="{00000000-0005-0000-0000-00005E1C0000}"/>
    <cellStyle name="Normal 8 2 2 3 4 2 2" xfId="7824" xr:uid="{00000000-0005-0000-0000-00005F1C0000}"/>
    <cellStyle name="Normal 8 2 2 3 4 2 2 2" xfId="16253" xr:uid="{A028B384-2F0F-45F4-80B9-21006DAEF1F2}"/>
    <cellStyle name="Normal 8 2 2 3 4 2 3" xfId="12035" xr:uid="{52386603-1C97-4E4B-A307-7B6F4C14ED0F}"/>
    <cellStyle name="Normal 8 2 2 3 4 3" xfId="5679" xr:uid="{00000000-0005-0000-0000-0000601C0000}"/>
    <cellStyle name="Normal 8 2 2 3 4 3 2" xfId="14108" xr:uid="{DA6381BF-3A4E-4E55-8062-576D3FC10559}"/>
    <cellStyle name="Normal 8 2 2 3 4 4" xfId="9890" xr:uid="{79B660E9-2044-4D81-8DCC-EEFB00B89BA1}"/>
    <cellStyle name="Normal 8 2 2 3 5" xfId="1783" xr:uid="{00000000-0005-0000-0000-0000611C0000}"/>
    <cellStyle name="Normal 8 2 2 3 5 2" xfId="4013" xr:uid="{00000000-0005-0000-0000-0000621C0000}"/>
    <cellStyle name="Normal 8 2 2 3 5 2 2" xfId="8237" xr:uid="{00000000-0005-0000-0000-0000631C0000}"/>
    <cellStyle name="Normal 8 2 2 3 5 2 2 2" xfId="16666" xr:uid="{9A5B6543-CFC7-4815-BE83-78D4781A0C0C}"/>
    <cellStyle name="Normal 8 2 2 3 5 2 3" xfId="12448" xr:uid="{F78ACC22-A368-474A-B8FD-CCBE9DAED34C}"/>
    <cellStyle name="Normal 8 2 2 3 5 3" xfId="6092" xr:uid="{00000000-0005-0000-0000-0000641C0000}"/>
    <cellStyle name="Normal 8 2 2 3 5 3 2" xfId="14521" xr:uid="{3423838F-F08A-444E-BB7D-FAF96479730B}"/>
    <cellStyle name="Normal 8 2 2 3 5 4" xfId="10303" xr:uid="{F49A4F4C-2020-4579-8D37-BC751FF42850}"/>
    <cellStyle name="Normal 8 2 2 3 6" xfId="2197" xr:uid="{00000000-0005-0000-0000-0000651C0000}"/>
    <cellStyle name="Normal 8 2 2 3 6 2" xfId="4426" xr:uid="{00000000-0005-0000-0000-0000661C0000}"/>
    <cellStyle name="Normal 8 2 2 3 6 2 2" xfId="8650" xr:uid="{00000000-0005-0000-0000-0000671C0000}"/>
    <cellStyle name="Normal 8 2 2 3 6 2 2 2" xfId="17079" xr:uid="{1B3A265C-4E25-4D5D-8043-D31A77D2A9CA}"/>
    <cellStyle name="Normal 8 2 2 3 6 2 3" xfId="12861" xr:uid="{E521C899-63CF-4B7F-9FFB-A9CCE4573DEE}"/>
    <cellStyle name="Normal 8 2 2 3 6 3" xfId="6505" xr:uid="{00000000-0005-0000-0000-0000681C0000}"/>
    <cellStyle name="Normal 8 2 2 3 6 3 2" xfId="14934" xr:uid="{39FE3922-7ACB-4628-AC91-6359A75BB906}"/>
    <cellStyle name="Normal 8 2 2 3 6 4" xfId="10716" xr:uid="{FD0E1BAC-CB0B-4415-BBEE-37AB3C8C5CDA}"/>
    <cellStyle name="Normal 8 2 2 3 7" xfId="2633" xr:uid="{00000000-0005-0000-0000-0000691C0000}"/>
    <cellStyle name="Normal 8 2 2 3 7 2" xfId="6918" xr:uid="{00000000-0005-0000-0000-00006A1C0000}"/>
    <cellStyle name="Normal 8 2 2 3 7 2 2" xfId="15347" xr:uid="{F5957D7D-94D4-460E-8B97-6FFB5EFB97FE}"/>
    <cellStyle name="Normal 8 2 2 3 7 3" xfId="11129" xr:uid="{DD46EBB1-5DA7-468B-A6C2-0106DBF7F54A}"/>
    <cellStyle name="Normal 8 2 2 3 8" xfId="4853" xr:uid="{00000000-0005-0000-0000-00006B1C0000}"/>
    <cellStyle name="Normal 8 2 2 3 8 2" xfId="13282" xr:uid="{26F834A2-AD3B-4493-A778-0B21E0D43064}"/>
    <cellStyle name="Normal 8 2 2 3 9" xfId="9064" xr:uid="{664AE211-15B0-4725-977A-4F90ABF2DE89}"/>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2 2 2" xfId="15842" xr:uid="{ECFFFCCE-3E08-40E2-BDC3-1B2F4B0FB761}"/>
    <cellStyle name="Normal 8 2 2 4 2 2 3" xfId="11624" xr:uid="{2C472DEC-8A5E-4245-8F35-29029A0E5736}"/>
    <cellStyle name="Normal 8 2 2 4 2 3" xfId="5268" xr:uid="{00000000-0005-0000-0000-0000701C0000}"/>
    <cellStyle name="Normal 8 2 2 4 2 3 2" xfId="13697" xr:uid="{F0EF3B3E-DDA8-4E0D-9685-A6EE528F9032}"/>
    <cellStyle name="Normal 8 2 2 4 2 4" xfId="9479" xr:uid="{7B19E193-A4D1-4DF1-B201-5758B5F99EAF}"/>
    <cellStyle name="Normal 8 2 2 4 3" xfId="1372" xr:uid="{00000000-0005-0000-0000-0000711C0000}"/>
    <cellStyle name="Normal 8 2 2 4 3 2" xfId="3602" xr:uid="{00000000-0005-0000-0000-0000721C0000}"/>
    <cellStyle name="Normal 8 2 2 4 3 2 2" xfId="7826" xr:uid="{00000000-0005-0000-0000-0000731C0000}"/>
    <cellStyle name="Normal 8 2 2 4 3 2 2 2" xfId="16255" xr:uid="{7CD87E7F-79A5-46D4-81EF-59CA71101110}"/>
    <cellStyle name="Normal 8 2 2 4 3 2 3" xfId="12037" xr:uid="{1C457335-B3D3-45C2-8D1F-CEBC24F219E8}"/>
    <cellStyle name="Normal 8 2 2 4 3 3" xfId="5681" xr:uid="{00000000-0005-0000-0000-0000741C0000}"/>
    <cellStyle name="Normal 8 2 2 4 3 3 2" xfId="14110" xr:uid="{04F2F25D-2299-4951-8BDC-9B1EBAFB2F21}"/>
    <cellStyle name="Normal 8 2 2 4 3 4" xfId="9892" xr:uid="{A6A7DA9D-DF6C-46DF-8B31-3CCD37C1DBA7}"/>
    <cellStyle name="Normal 8 2 2 4 4" xfId="1785" xr:uid="{00000000-0005-0000-0000-0000751C0000}"/>
    <cellStyle name="Normal 8 2 2 4 4 2" xfId="4015" xr:uid="{00000000-0005-0000-0000-0000761C0000}"/>
    <cellStyle name="Normal 8 2 2 4 4 2 2" xfId="8239" xr:uid="{00000000-0005-0000-0000-0000771C0000}"/>
    <cellStyle name="Normal 8 2 2 4 4 2 2 2" xfId="16668" xr:uid="{1510A360-1BA8-481C-BB3C-C9A930C487E8}"/>
    <cellStyle name="Normal 8 2 2 4 4 2 3" xfId="12450" xr:uid="{DEFACC2B-6800-4E48-8B7C-CB082132089F}"/>
    <cellStyle name="Normal 8 2 2 4 4 3" xfId="6094" xr:uid="{00000000-0005-0000-0000-0000781C0000}"/>
    <cellStyle name="Normal 8 2 2 4 4 3 2" xfId="14523" xr:uid="{A653B3FA-BFD6-40E4-8BAC-ACBA9D6C56BA}"/>
    <cellStyle name="Normal 8 2 2 4 4 4" xfId="10305" xr:uid="{88FF0E25-2F6B-4234-B154-875DE575DE7C}"/>
    <cellStyle name="Normal 8 2 2 4 5" xfId="2199" xr:uid="{00000000-0005-0000-0000-0000791C0000}"/>
    <cellStyle name="Normal 8 2 2 4 5 2" xfId="4428" xr:uid="{00000000-0005-0000-0000-00007A1C0000}"/>
    <cellStyle name="Normal 8 2 2 4 5 2 2" xfId="8652" xr:uid="{00000000-0005-0000-0000-00007B1C0000}"/>
    <cellStyle name="Normal 8 2 2 4 5 2 2 2" xfId="17081" xr:uid="{BA2C4B68-09C9-4F52-B352-C9707E0E7766}"/>
    <cellStyle name="Normal 8 2 2 4 5 2 3" xfId="12863" xr:uid="{020C125E-D4E5-4E34-89FD-215432396B7F}"/>
    <cellStyle name="Normal 8 2 2 4 5 3" xfId="6507" xr:uid="{00000000-0005-0000-0000-00007C1C0000}"/>
    <cellStyle name="Normal 8 2 2 4 5 3 2" xfId="14936" xr:uid="{6D2EE34D-8EB5-4BF6-8C08-58AC8E335BF8}"/>
    <cellStyle name="Normal 8 2 2 4 5 4" xfId="10718" xr:uid="{72900D1E-DF01-4D79-AE37-E44C5CEF64AC}"/>
    <cellStyle name="Normal 8 2 2 4 6" xfId="2635" xr:uid="{00000000-0005-0000-0000-00007D1C0000}"/>
    <cellStyle name="Normal 8 2 2 4 6 2" xfId="6920" xr:uid="{00000000-0005-0000-0000-00007E1C0000}"/>
    <cellStyle name="Normal 8 2 2 4 6 2 2" xfId="15349" xr:uid="{CDCCAC27-FC81-4664-B4B7-232FD96BB814}"/>
    <cellStyle name="Normal 8 2 2 4 6 3" xfId="11131" xr:uid="{6E6D465B-4A2C-4835-ADFF-75A209A87063}"/>
    <cellStyle name="Normal 8 2 2 4 7" xfId="4855" xr:uid="{00000000-0005-0000-0000-00007F1C0000}"/>
    <cellStyle name="Normal 8 2 2 4 7 2" xfId="13284" xr:uid="{552AF6D9-B0AC-40C4-A039-FF9F0E5715F2}"/>
    <cellStyle name="Normal 8 2 2 4 8" xfId="9066" xr:uid="{7380A210-E71D-401B-998D-C36455918A68}"/>
    <cellStyle name="Normal 8 2 2 5" xfId="948" xr:uid="{00000000-0005-0000-0000-0000801C0000}"/>
    <cellStyle name="Normal 8 2 2 5 2" xfId="3182" xr:uid="{00000000-0005-0000-0000-0000811C0000}"/>
    <cellStyle name="Normal 8 2 2 5 2 2" xfId="7406" xr:uid="{00000000-0005-0000-0000-0000821C0000}"/>
    <cellStyle name="Normal 8 2 2 5 2 2 2" xfId="15835" xr:uid="{74A4418E-CE33-4EA5-80FA-B4C18BB17EE0}"/>
    <cellStyle name="Normal 8 2 2 5 2 3" xfId="11617" xr:uid="{8707D921-FC91-4D06-B352-19131A94FD71}"/>
    <cellStyle name="Normal 8 2 2 5 3" xfId="5261" xr:uid="{00000000-0005-0000-0000-0000831C0000}"/>
    <cellStyle name="Normal 8 2 2 5 3 2" xfId="13690" xr:uid="{318FA99E-224B-4DF6-BEDD-C42755CAD122}"/>
    <cellStyle name="Normal 8 2 2 5 4" xfId="9472" xr:uid="{BD93A474-2C33-4C98-A3DC-2A16CB771480}"/>
    <cellStyle name="Normal 8 2 2 6" xfId="1365" xr:uid="{00000000-0005-0000-0000-0000841C0000}"/>
    <cellStyle name="Normal 8 2 2 6 2" xfId="3595" xr:uid="{00000000-0005-0000-0000-0000851C0000}"/>
    <cellStyle name="Normal 8 2 2 6 2 2" xfId="7819" xr:uid="{00000000-0005-0000-0000-0000861C0000}"/>
    <cellStyle name="Normal 8 2 2 6 2 2 2" xfId="16248" xr:uid="{1415A3B8-CD0C-4DD8-A169-F2AFA91F6335}"/>
    <cellStyle name="Normal 8 2 2 6 2 3" xfId="12030" xr:uid="{D42F32D9-ADC9-40ED-9734-9D291C34273D}"/>
    <cellStyle name="Normal 8 2 2 6 3" xfId="5674" xr:uid="{00000000-0005-0000-0000-0000871C0000}"/>
    <cellStyle name="Normal 8 2 2 6 3 2" xfId="14103" xr:uid="{CD9FB7CC-C2C0-4E36-AF03-26B2F8E96454}"/>
    <cellStyle name="Normal 8 2 2 6 4" xfId="9885" xr:uid="{FD9DF6E6-7104-4966-A450-7D436CB3EFFA}"/>
    <cellStyle name="Normal 8 2 2 7" xfId="1778" xr:uid="{00000000-0005-0000-0000-0000881C0000}"/>
    <cellStyle name="Normal 8 2 2 7 2" xfId="4008" xr:uid="{00000000-0005-0000-0000-0000891C0000}"/>
    <cellStyle name="Normal 8 2 2 7 2 2" xfId="8232" xr:uid="{00000000-0005-0000-0000-00008A1C0000}"/>
    <cellStyle name="Normal 8 2 2 7 2 2 2" xfId="16661" xr:uid="{84BC03B2-965E-4038-8049-2A765C0FDED7}"/>
    <cellStyle name="Normal 8 2 2 7 2 3" xfId="12443" xr:uid="{7B4D464E-4E0F-4700-A6AD-6E8B0D15516C}"/>
    <cellStyle name="Normal 8 2 2 7 3" xfId="6087" xr:uid="{00000000-0005-0000-0000-00008B1C0000}"/>
    <cellStyle name="Normal 8 2 2 7 3 2" xfId="14516" xr:uid="{B9352FA8-8C77-4055-9D90-6D5E74600502}"/>
    <cellStyle name="Normal 8 2 2 7 4" xfId="10298" xr:uid="{826AE18A-75B4-4446-8BAE-6197D02B100C}"/>
    <cellStyle name="Normal 8 2 2 8" xfId="2192" xr:uid="{00000000-0005-0000-0000-00008C1C0000}"/>
    <cellStyle name="Normal 8 2 2 8 2" xfId="4421" xr:uid="{00000000-0005-0000-0000-00008D1C0000}"/>
    <cellStyle name="Normal 8 2 2 8 2 2" xfId="8645" xr:uid="{00000000-0005-0000-0000-00008E1C0000}"/>
    <cellStyle name="Normal 8 2 2 8 2 2 2" xfId="17074" xr:uid="{D2572A1A-847C-4805-86A5-9062F9338918}"/>
    <cellStyle name="Normal 8 2 2 8 2 3" xfId="12856" xr:uid="{EB79B66A-DA7D-4058-B6DF-F6F38D7D26B9}"/>
    <cellStyle name="Normal 8 2 2 8 3" xfId="6500" xr:uid="{00000000-0005-0000-0000-00008F1C0000}"/>
    <cellStyle name="Normal 8 2 2 8 3 2" xfId="14929" xr:uid="{E4D04B83-EB1C-4F7C-AA04-D748E5D9D522}"/>
    <cellStyle name="Normal 8 2 2 8 4" xfId="10711" xr:uid="{A5BB8A42-103B-41F5-8700-1C89945A0300}"/>
    <cellStyle name="Normal 8 2 2 9" xfId="2628" xr:uid="{00000000-0005-0000-0000-0000901C0000}"/>
    <cellStyle name="Normal 8 2 2 9 2" xfId="6913" xr:uid="{00000000-0005-0000-0000-0000911C0000}"/>
    <cellStyle name="Normal 8 2 2 9 2 2" xfId="15342" xr:uid="{9887A1C4-4657-48F2-8297-5DA467B56DA3}"/>
    <cellStyle name="Normal 8 2 2 9 3" xfId="11124" xr:uid="{25E8C073-B209-4AD5-BF4B-8D8245113089}"/>
    <cellStyle name="Normal 8 2 3" xfId="488" xr:uid="{00000000-0005-0000-0000-0000921C0000}"/>
    <cellStyle name="Normal 8 2 3 10" xfId="9067" xr:uid="{E0A2B9C1-891A-4A98-83E7-56BC2EE4C591}"/>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2 2 2" xfId="15845" xr:uid="{FE7DAEB6-0985-4D77-912F-D40D9A683E9C}"/>
    <cellStyle name="Normal 8 2 3 2 2 2 2 3" xfId="11627" xr:uid="{98423A19-FE7D-493A-83C9-7E6F9C33BD66}"/>
    <cellStyle name="Normal 8 2 3 2 2 2 3" xfId="5271" xr:uid="{00000000-0005-0000-0000-0000981C0000}"/>
    <cellStyle name="Normal 8 2 3 2 2 2 3 2" xfId="13700" xr:uid="{8A366F1A-6596-4BE8-8553-8E0A784E6198}"/>
    <cellStyle name="Normal 8 2 3 2 2 2 4" xfId="9482" xr:uid="{679A7AC7-D34C-4C11-B865-558D842AF1E9}"/>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2 2 2" xfId="16258" xr:uid="{34537ADC-0B11-48A0-B761-38D7532EA6AD}"/>
    <cellStyle name="Normal 8 2 3 2 2 3 2 3" xfId="12040" xr:uid="{C78FD05C-A074-436A-847A-CAAD7738BC80}"/>
    <cellStyle name="Normal 8 2 3 2 2 3 3" xfId="5684" xr:uid="{00000000-0005-0000-0000-00009C1C0000}"/>
    <cellStyle name="Normal 8 2 3 2 2 3 3 2" xfId="14113" xr:uid="{9431731B-6BE3-4A2A-8A34-96A02C1E3B7C}"/>
    <cellStyle name="Normal 8 2 3 2 2 3 4" xfId="9895" xr:uid="{CAA17B3E-2964-4274-8C44-351D32279547}"/>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2 2 2" xfId="16671" xr:uid="{87006C3D-5BF3-4D73-9580-F989BE866E58}"/>
    <cellStyle name="Normal 8 2 3 2 2 4 2 3" xfId="12453" xr:uid="{98951ABB-8156-48A7-96D5-1B48C66A1F73}"/>
    <cellStyle name="Normal 8 2 3 2 2 4 3" xfId="6097" xr:uid="{00000000-0005-0000-0000-0000A01C0000}"/>
    <cellStyle name="Normal 8 2 3 2 2 4 3 2" xfId="14526" xr:uid="{80B60208-9299-4485-987F-9DEEFD977333}"/>
    <cellStyle name="Normal 8 2 3 2 2 4 4" xfId="10308" xr:uid="{D2609BA6-473D-4454-8533-97B44E751B88}"/>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2 2 2" xfId="17084" xr:uid="{97969E65-CFC5-4C07-BB4D-6C1C3F07EF37}"/>
    <cellStyle name="Normal 8 2 3 2 2 5 2 3" xfId="12866" xr:uid="{24F9468E-7857-4091-BBD4-09A0E7BB41C4}"/>
    <cellStyle name="Normal 8 2 3 2 2 5 3" xfId="6510" xr:uid="{00000000-0005-0000-0000-0000A41C0000}"/>
    <cellStyle name="Normal 8 2 3 2 2 5 3 2" xfId="14939" xr:uid="{067B61EF-00A9-4773-84CC-5450026D49E5}"/>
    <cellStyle name="Normal 8 2 3 2 2 5 4" xfId="10721" xr:uid="{7766670A-B7D1-40FB-8244-D6934E9A33AB}"/>
    <cellStyle name="Normal 8 2 3 2 2 6" xfId="2638" xr:uid="{00000000-0005-0000-0000-0000A51C0000}"/>
    <cellStyle name="Normal 8 2 3 2 2 6 2" xfId="6923" xr:uid="{00000000-0005-0000-0000-0000A61C0000}"/>
    <cellStyle name="Normal 8 2 3 2 2 6 2 2" xfId="15352" xr:uid="{30FEF7AD-5D9A-45A1-94A9-B25A46AF453F}"/>
    <cellStyle name="Normal 8 2 3 2 2 6 3" xfId="11134" xr:uid="{41710F80-2F20-41D7-B811-911616D29A4E}"/>
    <cellStyle name="Normal 8 2 3 2 2 7" xfId="4858" xr:uid="{00000000-0005-0000-0000-0000A71C0000}"/>
    <cellStyle name="Normal 8 2 3 2 2 7 2" xfId="13287" xr:uid="{C182EF10-1E52-4D86-BA60-A249620A2FC2}"/>
    <cellStyle name="Normal 8 2 3 2 2 8" xfId="9069" xr:uid="{CC8F86D9-068E-4F09-9518-546FAA0254B2}"/>
    <cellStyle name="Normal 8 2 3 2 3" xfId="957" xr:uid="{00000000-0005-0000-0000-0000A81C0000}"/>
    <cellStyle name="Normal 8 2 3 2 3 2" xfId="3191" xr:uid="{00000000-0005-0000-0000-0000A91C0000}"/>
    <cellStyle name="Normal 8 2 3 2 3 2 2" xfId="7415" xr:uid="{00000000-0005-0000-0000-0000AA1C0000}"/>
    <cellStyle name="Normal 8 2 3 2 3 2 2 2" xfId="15844" xr:uid="{E454CB55-1A82-4D9E-9061-D0AC36875CC1}"/>
    <cellStyle name="Normal 8 2 3 2 3 2 3" xfId="11626" xr:uid="{CA414DA0-A478-4C90-B467-F8ADF9F08230}"/>
    <cellStyle name="Normal 8 2 3 2 3 3" xfId="5270" xr:uid="{00000000-0005-0000-0000-0000AB1C0000}"/>
    <cellStyle name="Normal 8 2 3 2 3 3 2" xfId="13699" xr:uid="{2862BA03-F541-4C80-9F4C-05152169DFC7}"/>
    <cellStyle name="Normal 8 2 3 2 3 4" xfId="9481" xr:uid="{95957FED-5394-4BFE-8434-75F65B40860A}"/>
    <cellStyle name="Normal 8 2 3 2 4" xfId="1374" xr:uid="{00000000-0005-0000-0000-0000AC1C0000}"/>
    <cellStyle name="Normal 8 2 3 2 4 2" xfId="3604" xr:uid="{00000000-0005-0000-0000-0000AD1C0000}"/>
    <cellStyle name="Normal 8 2 3 2 4 2 2" xfId="7828" xr:uid="{00000000-0005-0000-0000-0000AE1C0000}"/>
    <cellStyle name="Normal 8 2 3 2 4 2 2 2" xfId="16257" xr:uid="{41AFFC5F-1EB8-462C-A64C-A3234D167153}"/>
    <cellStyle name="Normal 8 2 3 2 4 2 3" xfId="12039" xr:uid="{B6DDE6EA-4766-48BD-855E-3BE88C892DC3}"/>
    <cellStyle name="Normal 8 2 3 2 4 3" xfId="5683" xr:uid="{00000000-0005-0000-0000-0000AF1C0000}"/>
    <cellStyle name="Normal 8 2 3 2 4 3 2" xfId="14112" xr:uid="{A9818468-11E7-40A3-B453-8EB7ECBE2239}"/>
    <cellStyle name="Normal 8 2 3 2 4 4" xfId="9894" xr:uid="{B2077385-96AB-4C84-8538-E60C4F489574}"/>
    <cellStyle name="Normal 8 2 3 2 5" xfId="1787" xr:uid="{00000000-0005-0000-0000-0000B01C0000}"/>
    <cellStyle name="Normal 8 2 3 2 5 2" xfId="4017" xr:uid="{00000000-0005-0000-0000-0000B11C0000}"/>
    <cellStyle name="Normal 8 2 3 2 5 2 2" xfId="8241" xr:uid="{00000000-0005-0000-0000-0000B21C0000}"/>
    <cellStyle name="Normal 8 2 3 2 5 2 2 2" xfId="16670" xr:uid="{B396BFA9-70C0-427C-AC09-F748BA010B65}"/>
    <cellStyle name="Normal 8 2 3 2 5 2 3" xfId="12452" xr:uid="{8F6F8DA8-4E2D-4501-BA8C-044E93415625}"/>
    <cellStyle name="Normal 8 2 3 2 5 3" xfId="6096" xr:uid="{00000000-0005-0000-0000-0000B31C0000}"/>
    <cellStyle name="Normal 8 2 3 2 5 3 2" xfId="14525" xr:uid="{486E49CB-2251-4BF2-BE2E-77062543F38B}"/>
    <cellStyle name="Normal 8 2 3 2 5 4" xfId="10307" xr:uid="{B1F96388-6ABB-43DA-A9DA-E9C8488D5ED3}"/>
    <cellStyle name="Normal 8 2 3 2 6" xfId="2201" xr:uid="{00000000-0005-0000-0000-0000B41C0000}"/>
    <cellStyle name="Normal 8 2 3 2 6 2" xfId="4430" xr:uid="{00000000-0005-0000-0000-0000B51C0000}"/>
    <cellStyle name="Normal 8 2 3 2 6 2 2" xfId="8654" xr:uid="{00000000-0005-0000-0000-0000B61C0000}"/>
    <cellStyle name="Normal 8 2 3 2 6 2 2 2" xfId="17083" xr:uid="{FE7E6439-C8B2-487B-BD32-773E615BAED3}"/>
    <cellStyle name="Normal 8 2 3 2 6 2 3" xfId="12865" xr:uid="{1820FAAC-D349-402A-9D71-57B3F13D592A}"/>
    <cellStyle name="Normal 8 2 3 2 6 3" xfId="6509" xr:uid="{00000000-0005-0000-0000-0000B71C0000}"/>
    <cellStyle name="Normal 8 2 3 2 6 3 2" xfId="14938" xr:uid="{86FB1197-A606-47F3-A127-E8E1991B6512}"/>
    <cellStyle name="Normal 8 2 3 2 6 4" xfId="10720" xr:uid="{C1B4504C-D908-4BE3-8C2E-35EE94CB9E14}"/>
    <cellStyle name="Normal 8 2 3 2 7" xfId="2637" xr:uid="{00000000-0005-0000-0000-0000B81C0000}"/>
    <cellStyle name="Normal 8 2 3 2 7 2" xfId="6922" xr:uid="{00000000-0005-0000-0000-0000B91C0000}"/>
    <cellStyle name="Normal 8 2 3 2 7 2 2" xfId="15351" xr:uid="{AF5B9355-46F4-4BD5-8B53-2C892BD53D97}"/>
    <cellStyle name="Normal 8 2 3 2 7 3" xfId="11133" xr:uid="{E39DBFE6-ED43-4363-97AF-16DEDF9B6CA4}"/>
    <cellStyle name="Normal 8 2 3 2 8" xfId="4857" xr:uid="{00000000-0005-0000-0000-0000BA1C0000}"/>
    <cellStyle name="Normal 8 2 3 2 8 2" xfId="13286" xr:uid="{575D7B35-2B97-4B71-9D1F-ECB779280940}"/>
    <cellStyle name="Normal 8 2 3 2 9" xfId="9068" xr:uid="{B7B77D9B-4063-4A4E-AADC-B8ADC73EB6CB}"/>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2 2 2" xfId="15846" xr:uid="{09585801-6F9D-44EE-A502-02C895834555}"/>
    <cellStyle name="Normal 8 2 3 3 2 2 3" xfId="11628" xr:uid="{CE3146E2-4585-4F2A-BFD2-C18A61071F40}"/>
    <cellStyle name="Normal 8 2 3 3 2 3" xfId="5272" xr:uid="{00000000-0005-0000-0000-0000BF1C0000}"/>
    <cellStyle name="Normal 8 2 3 3 2 3 2" xfId="13701" xr:uid="{518F3E38-92DE-474D-AE15-E76C164FC851}"/>
    <cellStyle name="Normal 8 2 3 3 2 4" xfId="9483" xr:uid="{5DAB18E2-8E9B-4E3D-99FF-A48BF8C3200D}"/>
    <cellStyle name="Normal 8 2 3 3 3" xfId="1376" xr:uid="{00000000-0005-0000-0000-0000C01C0000}"/>
    <cellStyle name="Normal 8 2 3 3 3 2" xfId="3606" xr:uid="{00000000-0005-0000-0000-0000C11C0000}"/>
    <cellStyle name="Normal 8 2 3 3 3 2 2" xfId="7830" xr:uid="{00000000-0005-0000-0000-0000C21C0000}"/>
    <cellStyle name="Normal 8 2 3 3 3 2 2 2" xfId="16259" xr:uid="{00048355-F49C-41F6-BC18-A0B6054E3181}"/>
    <cellStyle name="Normal 8 2 3 3 3 2 3" xfId="12041" xr:uid="{AF648DEB-4E18-4A90-9D16-D8522C1D46CF}"/>
    <cellStyle name="Normal 8 2 3 3 3 3" xfId="5685" xr:uid="{00000000-0005-0000-0000-0000C31C0000}"/>
    <cellStyle name="Normal 8 2 3 3 3 3 2" xfId="14114" xr:uid="{82E2706C-F62E-40DA-AF31-EE1D6AE32713}"/>
    <cellStyle name="Normal 8 2 3 3 3 4" xfId="9896" xr:uid="{42A9895F-53E8-4D6D-BC2F-1DFD0A4CDEB0}"/>
    <cellStyle name="Normal 8 2 3 3 4" xfId="1789" xr:uid="{00000000-0005-0000-0000-0000C41C0000}"/>
    <cellStyle name="Normal 8 2 3 3 4 2" xfId="4019" xr:uid="{00000000-0005-0000-0000-0000C51C0000}"/>
    <cellStyle name="Normal 8 2 3 3 4 2 2" xfId="8243" xr:uid="{00000000-0005-0000-0000-0000C61C0000}"/>
    <cellStyle name="Normal 8 2 3 3 4 2 2 2" xfId="16672" xr:uid="{3CF96D76-43B2-4D95-8D69-8377300A02C8}"/>
    <cellStyle name="Normal 8 2 3 3 4 2 3" xfId="12454" xr:uid="{C6DCA147-5A22-41DC-9279-97E6B7DDC1DB}"/>
    <cellStyle name="Normal 8 2 3 3 4 3" xfId="6098" xr:uid="{00000000-0005-0000-0000-0000C71C0000}"/>
    <cellStyle name="Normal 8 2 3 3 4 3 2" xfId="14527" xr:uid="{A465FBA8-B5DD-4EA5-BB3F-122DEEC667FF}"/>
    <cellStyle name="Normal 8 2 3 3 4 4" xfId="10309" xr:uid="{5F67A324-6C28-4C93-A686-AEC508E024E8}"/>
    <cellStyle name="Normal 8 2 3 3 5" xfId="2203" xr:uid="{00000000-0005-0000-0000-0000C81C0000}"/>
    <cellStyle name="Normal 8 2 3 3 5 2" xfId="4432" xr:uid="{00000000-0005-0000-0000-0000C91C0000}"/>
    <cellStyle name="Normal 8 2 3 3 5 2 2" xfId="8656" xr:uid="{00000000-0005-0000-0000-0000CA1C0000}"/>
    <cellStyle name="Normal 8 2 3 3 5 2 2 2" xfId="17085" xr:uid="{C4D1FBE9-5067-4AC5-B4FE-FE23922C234F}"/>
    <cellStyle name="Normal 8 2 3 3 5 2 3" xfId="12867" xr:uid="{72A63319-4EFB-40F5-83AC-F3DED0F6DC60}"/>
    <cellStyle name="Normal 8 2 3 3 5 3" xfId="6511" xr:uid="{00000000-0005-0000-0000-0000CB1C0000}"/>
    <cellStyle name="Normal 8 2 3 3 5 3 2" xfId="14940" xr:uid="{25ED8079-B84A-4D5D-8DC5-FC32FD1C0CE3}"/>
    <cellStyle name="Normal 8 2 3 3 5 4" xfId="10722" xr:uid="{299D94D7-3451-4403-9C6E-3247B65EE1D1}"/>
    <cellStyle name="Normal 8 2 3 3 6" xfId="2639" xr:uid="{00000000-0005-0000-0000-0000CC1C0000}"/>
    <cellStyle name="Normal 8 2 3 3 6 2" xfId="6924" xr:uid="{00000000-0005-0000-0000-0000CD1C0000}"/>
    <cellStyle name="Normal 8 2 3 3 6 2 2" xfId="15353" xr:uid="{7A68BF7A-D2D2-4A26-A161-3C1647EB946B}"/>
    <cellStyle name="Normal 8 2 3 3 6 3" xfId="11135" xr:uid="{BC544923-9EA7-4239-92DA-A0A62AC9C8D5}"/>
    <cellStyle name="Normal 8 2 3 3 7" xfId="4859" xr:uid="{00000000-0005-0000-0000-0000CE1C0000}"/>
    <cellStyle name="Normal 8 2 3 3 7 2" xfId="13288" xr:uid="{50FDB40D-1C5F-43A4-8BF8-0F1E8D4C00FB}"/>
    <cellStyle name="Normal 8 2 3 3 8" xfId="9070" xr:uid="{58A5109F-0746-4164-ABC7-201AC8931F78}"/>
    <cellStyle name="Normal 8 2 3 4" xfId="956" xr:uid="{00000000-0005-0000-0000-0000CF1C0000}"/>
    <cellStyle name="Normal 8 2 3 4 2" xfId="3190" xr:uid="{00000000-0005-0000-0000-0000D01C0000}"/>
    <cellStyle name="Normal 8 2 3 4 2 2" xfId="7414" xr:uid="{00000000-0005-0000-0000-0000D11C0000}"/>
    <cellStyle name="Normal 8 2 3 4 2 2 2" xfId="15843" xr:uid="{912F00FB-DF9F-4A47-A775-F6DC5931C161}"/>
    <cellStyle name="Normal 8 2 3 4 2 3" xfId="11625" xr:uid="{7C3040CB-E26F-4243-AC85-36F813976E29}"/>
    <cellStyle name="Normal 8 2 3 4 3" xfId="5269" xr:uid="{00000000-0005-0000-0000-0000D21C0000}"/>
    <cellStyle name="Normal 8 2 3 4 3 2" xfId="13698" xr:uid="{9F3A5AC0-E49D-4C8A-BFA5-E6CCF45B6393}"/>
    <cellStyle name="Normal 8 2 3 4 4" xfId="9480" xr:uid="{E149F2A0-54A2-4D60-BC60-1B1686E16D62}"/>
    <cellStyle name="Normal 8 2 3 5" xfId="1373" xr:uid="{00000000-0005-0000-0000-0000D31C0000}"/>
    <cellStyle name="Normal 8 2 3 5 2" xfId="3603" xr:uid="{00000000-0005-0000-0000-0000D41C0000}"/>
    <cellStyle name="Normal 8 2 3 5 2 2" xfId="7827" xr:uid="{00000000-0005-0000-0000-0000D51C0000}"/>
    <cellStyle name="Normal 8 2 3 5 2 2 2" xfId="16256" xr:uid="{B9492A7A-9DC1-4D68-ADB4-D935A5220A43}"/>
    <cellStyle name="Normal 8 2 3 5 2 3" xfId="12038" xr:uid="{E4E40DD6-DFC7-4F67-AA3B-E4C1DA3A879B}"/>
    <cellStyle name="Normal 8 2 3 5 3" xfId="5682" xr:uid="{00000000-0005-0000-0000-0000D61C0000}"/>
    <cellStyle name="Normal 8 2 3 5 3 2" xfId="14111" xr:uid="{3967D503-AFAC-4BC2-873B-2F54D0A686F8}"/>
    <cellStyle name="Normal 8 2 3 5 4" xfId="9893" xr:uid="{F78AA6E5-C3E5-456E-AB6C-122B535D159D}"/>
    <cellStyle name="Normal 8 2 3 6" xfId="1786" xr:uid="{00000000-0005-0000-0000-0000D71C0000}"/>
    <cellStyle name="Normal 8 2 3 6 2" xfId="4016" xr:uid="{00000000-0005-0000-0000-0000D81C0000}"/>
    <cellStyle name="Normal 8 2 3 6 2 2" xfId="8240" xr:uid="{00000000-0005-0000-0000-0000D91C0000}"/>
    <cellStyle name="Normal 8 2 3 6 2 2 2" xfId="16669" xr:uid="{9831D0BD-9AC2-4FB2-911C-ABCBF5395C54}"/>
    <cellStyle name="Normal 8 2 3 6 2 3" xfId="12451" xr:uid="{BC4BECA7-83E3-4A2F-AACF-CBFF76151EBF}"/>
    <cellStyle name="Normal 8 2 3 6 3" xfId="6095" xr:uid="{00000000-0005-0000-0000-0000DA1C0000}"/>
    <cellStyle name="Normal 8 2 3 6 3 2" xfId="14524" xr:uid="{16C15790-CBE8-4F8A-8099-3AD1D8E14181}"/>
    <cellStyle name="Normal 8 2 3 6 4" xfId="10306" xr:uid="{D9776165-B1BE-437B-849F-AE5F6E29DD95}"/>
    <cellStyle name="Normal 8 2 3 7" xfId="2200" xr:uid="{00000000-0005-0000-0000-0000DB1C0000}"/>
    <cellStyle name="Normal 8 2 3 7 2" xfId="4429" xr:uid="{00000000-0005-0000-0000-0000DC1C0000}"/>
    <cellStyle name="Normal 8 2 3 7 2 2" xfId="8653" xr:uid="{00000000-0005-0000-0000-0000DD1C0000}"/>
    <cellStyle name="Normal 8 2 3 7 2 2 2" xfId="17082" xr:uid="{E33491B5-B711-4977-820E-BEC063D1A5FD}"/>
    <cellStyle name="Normal 8 2 3 7 2 3" xfId="12864" xr:uid="{93C204ED-B24A-4E68-9550-8F6EA490C099}"/>
    <cellStyle name="Normal 8 2 3 7 3" xfId="6508" xr:uid="{00000000-0005-0000-0000-0000DE1C0000}"/>
    <cellStyle name="Normal 8 2 3 7 3 2" xfId="14937" xr:uid="{00477389-8FAA-4D4E-846A-41ABEED494A7}"/>
    <cellStyle name="Normal 8 2 3 7 4" xfId="10719" xr:uid="{493DD3C7-5590-4274-ACC1-3E989FCA57E4}"/>
    <cellStyle name="Normal 8 2 3 8" xfId="2636" xr:uid="{00000000-0005-0000-0000-0000DF1C0000}"/>
    <cellStyle name="Normal 8 2 3 8 2" xfId="6921" xr:uid="{00000000-0005-0000-0000-0000E01C0000}"/>
    <cellStyle name="Normal 8 2 3 8 2 2" xfId="15350" xr:uid="{A53AA286-05DB-4122-B59A-B667F1369A8C}"/>
    <cellStyle name="Normal 8 2 3 8 3" xfId="11132" xr:uid="{CAE05A57-F47C-4F90-ACBA-EDBCCF076604}"/>
    <cellStyle name="Normal 8 2 3 9" xfId="4856" xr:uid="{00000000-0005-0000-0000-0000E11C0000}"/>
    <cellStyle name="Normal 8 2 3 9 2" xfId="13285" xr:uid="{75726FBD-D804-4EA5-B413-E614E1B467D5}"/>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2 2 2" xfId="15848" xr:uid="{24DE3ACA-D4F0-47DE-A0BB-EFCAE9E8B5C7}"/>
    <cellStyle name="Normal 8 2 4 2 2 2 3" xfId="11630" xr:uid="{AC4E0E0B-86BB-4927-B6B9-10BC2D23ADA6}"/>
    <cellStyle name="Normal 8 2 4 2 2 3" xfId="5274" xr:uid="{00000000-0005-0000-0000-0000E71C0000}"/>
    <cellStyle name="Normal 8 2 4 2 2 3 2" xfId="13703" xr:uid="{87BF8536-1266-4458-8D0E-6E79A895D85B}"/>
    <cellStyle name="Normal 8 2 4 2 2 4" xfId="9485" xr:uid="{1CF4B598-B5CC-459F-B0A4-B1351F1494E2}"/>
    <cellStyle name="Normal 8 2 4 2 3" xfId="1378" xr:uid="{00000000-0005-0000-0000-0000E81C0000}"/>
    <cellStyle name="Normal 8 2 4 2 3 2" xfId="3608" xr:uid="{00000000-0005-0000-0000-0000E91C0000}"/>
    <cellStyle name="Normal 8 2 4 2 3 2 2" xfId="7832" xr:uid="{00000000-0005-0000-0000-0000EA1C0000}"/>
    <cellStyle name="Normal 8 2 4 2 3 2 2 2" xfId="16261" xr:uid="{5C7C7468-D9A9-4F35-B9EF-FD275F871979}"/>
    <cellStyle name="Normal 8 2 4 2 3 2 3" xfId="12043" xr:uid="{5FB52738-CE43-41B7-A5A2-1C0A9353F36E}"/>
    <cellStyle name="Normal 8 2 4 2 3 3" xfId="5687" xr:uid="{00000000-0005-0000-0000-0000EB1C0000}"/>
    <cellStyle name="Normal 8 2 4 2 3 3 2" xfId="14116" xr:uid="{591F8C28-EEC7-4204-A0F4-C7CDC4154B30}"/>
    <cellStyle name="Normal 8 2 4 2 3 4" xfId="9898" xr:uid="{A2A27F10-7D34-424F-A738-10A2727BA148}"/>
    <cellStyle name="Normal 8 2 4 2 4" xfId="1791" xr:uid="{00000000-0005-0000-0000-0000EC1C0000}"/>
    <cellStyle name="Normal 8 2 4 2 4 2" xfId="4021" xr:uid="{00000000-0005-0000-0000-0000ED1C0000}"/>
    <cellStyle name="Normal 8 2 4 2 4 2 2" xfId="8245" xr:uid="{00000000-0005-0000-0000-0000EE1C0000}"/>
    <cellStyle name="Normal 8 2 4 2 4 2 2 2" xfId="16674" xr:uid="{99998946-7494-4D0B-96D7-4BDE779142B1}"/>
    <cellStyle name="Normal 8 2 4 2 4 2 3" xfId="12456" xr:uid="{1AB9353C-674A-45BB-B08D-3FB9E1E86651}"/>
    <cellStyle name="Normal 8 2 4 2 4 3" xfId="6100" xr:uid="{00000000-0005-0000-0000-0000EF1C0000}"/>
    <cellStyle name="Normal 8 2 4 2 4 3 2" xfId="14529" xr:uid="{F53D0FE0-33DA-4BFB-91CB-647DA98805F0}"/>
    <cellStyle name="Normal 8 2 4 2 4 4" xfId="10311" xr:uid="{21E01DF4-E3E0-4E79-969D-E1AF72E5185B}"/>
    <cellStyle name="Normal 8 2 4 2 5" xfId="2205" xr:uid="{00000000-0005-0000-0000-0000F01C0000}"/>
    <cellStyle name="Normal 8 2 4 2 5 2" xfId="4434" xr:uid="{00000000-0005-0000-0000-0000F11C0000}"/>
    <cellStyle name="Normal 8 2 4 2 5 2 2" xfId="8658" xr:uid="{00000000-0005-0000-0000-0000F21C0000}"/>
    <cellStyle name="Normal 8 2 4 2 5 2 2 2" xfId="17087" xr:uid="{DA8AC3FF-88E0-4DF5-A641-0882AE94DE0B}"/>
    <cellStyle name="Normal 8 2 4 2 5 2 3" xfId="12869" xr:uid="{FFB1500F-C060-4E12-B0D1-3CA5F476A99A}"/>
    <cellStyle name="Normal 8 2 4 2 5 3" xfId="6513" xr:uid="{00000000-0005-0000-0000-0000F31C0000}"/>
    <cellStyle name="Normal 8 2 4 2 5 3 2" xfId="14942" xr:uid="{11C39685-5EA3-491C-8C75-2DDE3F757667}"/>
    <cellStyle name="Normal 8 2 4 2 5 4" xfId="10724" xr:uid="{CDD303A0-D349-4F15-BF0F-D1463CBF96AF}"/>
    <cellStyle name="Normal 8 2 4 2 6" xfId="2641" xr:uid="{00000000-0005-0000-0000-0000F41C0000}"/>
    <cellStyle name="Normal 8 2 4 2 6 2" xfId="6926" xr:uid="{00000000-0005-0000-0000-0000F51C0000}"/>
    <cellStyle name="Normal 8 2 4 2 6 2 2" xfId="15355" xr:uid="{20F91CD2-AAD6-46C2-B792-04AD2763F6AA}"/>
    <cellStyle name="Normal 8 2 4 2 6 3" xfId="11137" xr:uid="{476AE15E-0E6D-4D12-97DE-6B2E29A7820C}"/>
    <cellStyle name="Normal 8 2 4 2 7" xfId="4861" xr:uid="{00000000-0005-0000-0000-0000F61C0000}"/>
    <cellStyle name="Normal 8 2 4 2 7 2" xfId="13290" xr:uid="{5DFE95CC-FBBB-4E5E-A409-A7FDB3F24E9B}"/>
    <cellStyle name="Normal 8 2 4 2 8" xfId="9072" xr:uid="{5987476A-BF75-4F6C-8CA7-0139E0969409}"/>
    <cellStyle name="Normal 8 2 4 3" xfId="960" xr:uid="{00000000-0005-0000-0000-0000F71C0000}"/>
    <cellStyle name="Normal 8 2 4 3 2" xfId="3194" xr:uid="{00000000-0005-0000-0000-0000F81C0000}"/>
    <cellStyle name="Normal 8 2 4 3 2 2" xfId="7418" xr:uid="{00000000-0005-0000-0000-0000F91C0000}"/>
    <cellStyle name="Normal 8 2 4 3 2 2 2" xfId="15847" xr:uid="{2BA84129-2780-4850-A8F3-BF466A800A35}"/>
    <cellStyle name="Normal 8 2 4 3 2 3" xfId="11629" xr:uid="{C7D6CA07-0F41-4C28-8B7E-BDCB0A76FADD}"/>
    <cellStyle name="Normal 8 2 4 3 3" xfId="5273" xr:uid="{00000000-0005-0000-0000-0000FA1C0000}"/>
    <cellStyle name="Normal 8 2 4 3 3 2" xfId="13702" xr:uid="{4426EDD3-D0EA-4743-925F-781F7B98B6BD}"/>
    <cellStyle name="Normal 8 2 4 3 4" xfId="9484" xr:uid="{9C751BB4-6E60-43D8-AC55-730CB42A2730}"/>
    <cellStyle name="Normal 8 2 4 4" xfId="1377" xr:uid="{00000000-0005-0000-0000-0000FB1C0000}"/>
    <cellStyle name="Normal 8 2 4 4 2" xfId="3607" xr:uid="{00000000-0005-0000-0000-0000FC1C0000}"/>
    <cellStyle name="Normal 8 2 4 4 2 2" xfId="7831" xr:uid="{00000000-0005-0000-0000-0000FD1C0000}"/>
    <cellStyle name="Normal 8 2 4 4 2 2 2" xfId="16260" xr:uid="{148C8885-397D-481F-92FD-E9DA47EFFEA4}"/>
    <cellStyle name="Normal 8 2 4 4 2 3" xfId="12042" xr:uid="{AB39E6FF-D7FF-4913-8244-3DB073332C42}"/>
    <cellStyle name="Normal 8 2 4 4 3" xfId="5686" xr:uid="{00000000-0005-0000-0000-0000FE1C0000}"/>
    <cellStyle name="Normal 8 2 4 4 3 2" xfId="14115" xr:uid="{08DE68C2-F742-4DD3-9E26-F28999A90DBF}"/>
    <cellStyle name="Normal 8 2 4 4 4" xfId="9897" xr:uid="{FE75331B-36B5-4950-A2DF-234C2CB6C33B}"/>
    <cellStyle name="Normal 8 2 4 5" xfId="1790" xr:uid="{00000000-0005-0000-0000-0000FF1C0000}"/>
    <cellStyle name="Normal 8 2 4 5 2" xfId="4020" xr:uid="{00000000-0005-0000-0000-0000001D0000}"/>
    <cellStyle name="Normal 8 2 4 5 2 2" xfId="8244" xr:uid="{00000000-0005-0000-0000-0000011D0000}"/>
    <cellStyle name="Normal 8 2 4 5 2 2 2" xfId="16673" xr:uid="{77DDA598-4438-40E6-9427-E3D5B27909A4}"/>
    <cellStyle name="Normal 8 2 4 5 2 3" xfId="12455" xr:uid="{F54DC1CC-DEC8-447D-B4FE-E06A32D27276}"/>
    <cellStyle name="Normal 8 2 4 5 3" xfId="6099" xr:uid="{00000000-0005-0000-0000-0000021D0000}"/>
    <cellStyle name="Normal 8 2 4 5 3 2" xfId="14528" xr:uid="{9C2985B9-9B95-4CFF-BC12-F0D9D4011BEE}"/>
    <cellStyle name="Normal 8 2 4 5 4" xfId="10310" xr:uid="{2CC729FE-F8ED-42AB-B947-8D26FB02E2CA}"/>
    <cellStyle name="Normal 8 2 4 6" xfId="2204" xr:uid="{00000000-0005-0000-0000-0000031D0000}"/>
    <cellStyle name="Normal 8 2 4 6 2" xfId="4433" xr:uid="{00000000-0005-0000-0000-0000041D0000}"/>
    <cellStyle name="Normal 8 2 4 6 2 2" xfId="8657" xr:uid="{00000000-0005-0000-0000-0000051D0000}"/>
    <cellStyle name="Normal 8 2 4 6 2 2 2" xfId="17086" xr:uid="{466B807E-ACB4-42DF-AD32-1D824A57684B}"/>
    <cellStyle name="Normal 8 2 4 6 2 3" xfId="12868" xr:uid="{010B93BA-F99A-46DB-B692-B3DEECD77124}"/>
    <cellStyle name="Normal 8 2 4 6 3" xfId="6512" xr:uid="{00000000-0005-0000-0000-0000061D0000}"/>
    <cellStyle name="Normal 8 2 4 6 3 2" xfId="14941" xr:uid="{A689681A-1B20-4AD3-BF81-93DAB859BB9E}"/>
    <cellStyle name="Normal 8 2 4 6 4" xfId="10723" xr:uid="{D744E482-6861-4C6C-97D8-A0693FBAF3EC}"/>
    <cellStyle name="Normal 8 2 4 7" xfId="2640" xr:uid="{00000000-0005-0000-0000-0000071D0000}"/>
    <cellStyle name="Normal 8 2 4 7 2" xfId="6925" xr:uid="{00000000-0005-0000-0000-0000081D0000}"/>
    <cellStyle name="Normal 8 2 4 7 2 2" xfId="15354" xr:uid="{352E3A76-B9E3-4511-99DB-45B16513C64E}"/>
    <cellStyle name="Normal 8 2 4 7 3" xfId="11136" xr:uid="{4D25FF4E-1FE9-4C7C-AA94-48AC1C7B7A63}"/>
    <cellStyle name="Normal 8 2 4 8" xfId="4860" xr:uid="{00000000-0005-0000-0000-0000091D0000}"/>
    <cellStyle name="Normal 8 2 4 8 2" xfId="13289" xr:uid="{D46E7487-3B35-4A8A-B2B6-07379B638EE7}"/>
    <cellStyle name="Normal 8 2 4 9" xfId="9071" xr:uid="{EFD7E6E3-4FE3-4D3B-9875-48661C1C85A7}"/>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2 2 2" xfId="15849" xr:uid="{2ED6E426-C23C-433B-8B96-F96A3AB7F1B2}"/>
    <cellStyle name="Normal 8 2 5 2 2 3" xfId="11631" xr:uid="{0C1C78E6-A952-49EA-8C75-2BBEDC5EE6AC}"/>
    <cellStyle name="Normal 8 2 5 2 3" xfId="5275" xr:uid="{00000000-0005-0000-0000-00000E1D0000}"/>
    <cellStyle name="Normal 8 2 5 2 3 2" xfId="13704" xr:uid="{D1CE6E50-756F-4C1B-92E6-E01A13B3D602}"/>
    <cellStyle name="Normal 8 2 5 2 4" xfId="9486" xr:uid="{C74CB940-78E5-4176-8976-CC869439575A}"/>
    <cellStyle name="Normal 8 2 5 3" xfId="1379" xr:uid="{00000000-0005-0000-0000-00000F1D0000}"/>
    <cellStyle name="Normal 8 2 5 3 2" xfId="3609" xr:uid="{00000000-0005-0000-0000-0000101D0000}"/>
    <cellStyle name="Normal 8 2 5 3 2 2" xfId="7833" xr:uid="{00000000-0005-0000-0000-0000111D0000}"/>
    <cellStyle name="Normal 8 2 5 3 2 2 2" xfId="16262" xr:uid="{4267728B-B547-4983-87ED-F25014182F43}"/>
    <cellStyle name="Normal 8 2 5 3 2 3" xfId="12044" xr:uid="{A8DCE7F0-7F9E-4601-B123-632AC90D6360}"/>
    <cellStyle name="Normal 8 2 5 3 3" xfId="5688" xr:uid="{00000000-0005-0000-0000-0000121D0000}"/>
    <cellStyle name="Normal 8 2 5 3 3 2" xfId="14117" xr:uid="{33A485D3-CAFE-4D3B-8994-6499163EF7F6}"/>
    <cellStyle name="Normal 8 2 5 3 4" xfId="9899" xr:uid="{A6224F52-846C-40B5-AD22-35D0F0468E17}"/>
    <cellStyle name="Normal 8 2 5 4" xfId="1792" xr:uid="{00000000-0005-0000-0000-0000131D0000}"/>
    <cellStyle name="Normal 8 2 5 4 2" xfId="4022" xr:uid="{00000000-0005-0000-0000-0000141D0000}"/>
    <cellStyle name="Normal 8 2 5 4 2 2" xfId="8246" xr:uid="{00000000-0005-0000-0000-0000151D0000}"/>
    <cellStyle name="Normal 8 2 5 4 2 2 2" xfId="16675" xr:uid="{9C366E2E-0E1C-4523-84F3-57A76471CCD5}"/>
    <cellStyle name="Normal 8 2 5 4 2 3" xfId="12457" xr:uid="{56AE021F-CA1C-4D56-A3D8-42C8E141AE4F}"/>
    <cellStyle name="Normal 8 2 5 4 3" xfId="6101" xr:uid="{00000000-0005-0000-0000-0000161D0000}"/>
    <cellStyle name="Normal 8 2 5 4 3 2" xfId="14530" xr:uid="{60B738E2-118B-406E-84CE-C58E59C79942}"/>
    <cellStyle name="Normal 8 2 5 4 4" xfId="10312" xr:uid="{9C39D904-A17C-4242-901D-0F698D0CE65E}"/>
    <cellStyle name="Normal 8 2 5 5" xfId="2206" xr:uid="{00000000-0005-0000-0000-0000171D0000}"/>
    <cellStyle name="Normal 8 2 5 5 2" xfId="4435" xr:uid="{00000000-0005-0000-0000-0000181D0000}"/>
    <cellStyle name="Normal 8 2 5 5 2 2" xfId="8659" xr:uid="{00000000-0005-0000-0000-0000191D0000}"/>
    <cellStyle name="Normal 8 2 5 5 2 2 2" xfId="17088" xr:uid="{476FA85F-0BDC-4EA9-9B64-0B796C01E488}"/>
    <cellStyle name="Normal 8 2 5 5 2 3" xfId="12870" xr:uid="{BFF8665D-0173-4D09-8B2B-B83A516CBF40}"/>
    <cellStyle name="Normal 8 2 5 5 3" xfId="6514" xr:uid="{00000000-0005-0000-0000-00001A1D0000}"/>
    <cellStyle name="Normal 8 2 5 5 3 2" xfId="14943" xr:uid="{0F689601-5EEB-4548-9889-E268BE5DB448}"/>
    <cellStyle name="Normal 8 2 5 5 4" xfId="10725" xr:uid="{CA9EFFA6-91AC-4426-BAC3-372E81667662}"/>
    <cellStyle name="Normal 8 2 5 6" xfId="2642" xr:uid="{00000000-0005-0000-0000-00001B1D0000}"/>
    <cellStyle name="Normal 8 2 5 6 2" xfId="6927" xr:uid="{00000000-0005-0000-0000-00001C1D0000}"/>
    <cellStyle name="Normal 8 2 5 6 2 2" xfId="15356" xr:uid="{1A6BC006-5C6D-4BAB-956C-317E51205210}"/>
    <cellStyle name="Normal 8 2 5 6 3" xfId="11138" xr:uid="{B90A746D-1BE5-4497-9AD5-99405053E77F}"/>
    <cellStyle name="Normal 8 2 5 7" xfId="4862" xr:uid="{00000000-0005-0000-0000-00001D1D0000}"/>
    <cellStyle name="Normal 8 2 5 7 2" xfId="13291" xr:uid="{516D677F-F3F3-4DE4-B556-7F2421403B46}"/>
    <cellStyle name="Normal 8 2 5 8" xfId="9073" xr:uid="{7CA66169-EB18-4D4A-82AA-50C00A16D284}"/>
    <cellStyle name="Normal 8 2 6" xfId="947" xr:uid="{00000000-0005-0000-0000-00001E1D0000}"/>
    <cellStyle name="Normal 8 2 6 2" xfId="3181" xr:uid="{00000000-0005-0000-0000-00001F1D0000}"/>
    <cellStyle name="Normal 8 2 6 2 2" xfId="7405" xr:uid="{00000000-0005-0000-0000-0000201D0000}"/>
    <cellStyle name="Normal 8 2 6 2 2 2" xfId="15834" xr:uid="{A0B3A550-6E1B-48F7-AF46-C6382ABAA453}"/>
    <cellStyle name="Normal 8 2 6 2 3" xfId="11616" xr:uid="{4835F5BB-40D6-44DC-B540-D7227DCE14FC}"/>
    <cellStyle name="Normal 8 2 6 3" xfId="5260" xr:uid="{00000000-0005-0000-0000-0000211D0000}"/>
    <cellStyle name="Normal 8 2 6 3 2" xfId="13689" xr:uid="{5F9D0079-6167-4B26-8086-815387CB0176}"/>
    <cellStyle name="Normal 8 2 6 4" xfId="9471" xr:uid="{5459B3F0-6AE5-4E6C-BD3A-DCE459B44E29}"/>
    <cellStyle name="Normal 8 2 7" xfId="1364" xr:uid="{00000000-0005-0000-0000-0000221D0000}"/>
    <cellStyle name="Normal 8 2 7 2" xfId="3594" xr:uid="{00000000-0005-0000-0000-0000231D0000}"/>
    <cellStyle name="Normal 8 2 7 2 2" xfId="7818" xr:uid="{00000000-0005-0000-0000-0000241D0000}"/>
    <cellStyle name="Normal 8 2 7 2 2 2" xfId="16247" xr:uid="{521294EF-3E55-4027-B06D-A0538B58E5BD}"/>
    <cellStyle name="Normal 8 2 7 2 3" xfId="12029" xr:uid="{B9E736E7-56F4-454A-8D90-E977F92CF326}"/>
    <cellStyle name="Normal 8 2 7 3" xfId="5673" xr:uid="{00000000-0005-0000-0000-0000251D0000}"/>
    <cellStyle name="Normal 8 2 7 3 2" xfId="14102" xr:uid="{5F1F4FAA-C274-4420-B3C1-698597E85CA5}"/>
    <cellStyle name="Normal 8 2 7 4" xfId="9884" xr:uid="{5E1E4965-1EF2-4770-A84F-45E9D964EEE5}"/>
    <cellStyle name="Normal 8 2 8" xfId="1777" xr:uid="{00000000-0005-0000-0000-0000261D0000}"/>
    <cellStyle name="Normal 8 2 8 2" xfId="4007" xr:uid="{00000000-0005-0000-0000-0000271D0000}"/>
    <cellStyle name="Normal 8 2 8 2 2" xfId="8231" xr:uid="{00000000-0005-0000-0000-0000281D0000}"/>
    <cellStyle name="Normal 8 2 8 2 2 2" xfId="16660" xr:uid="{A307D2BF-2623-47E4-863A-781E635E2B2B}"/>
    <cellStyle name="Normal 8 2 8 2 3" xfId="12442" xr:uid="{A9CF63DB-DD46-44DA-8816-A13432FC5218}"/>
    <cellStyle name="Normal 8 2 8 3" xfId="6086" xr:uid="{00000000-0005-0000-0000-0000291D0000}"/>
    <cellStyle name="Normal 8 2 8 3 2" xfId="14515" xr:uid="{2B952D58-73F6-4F67-B7F0-E21D05852775}"/>
    <cellStyle name="Normal 8 2 8 4" xfId="10297" xr:uid="{264AA825-BCB2-4FF5-AA7E-35965FB996C1}"/>
    <cellStyle name="Normal 8 2 9" xfId="2191" xr:uid="{00000000-0005-0000-0000-00002A1D0000}"/>
    <cellStyle name="Normal 8 2 9 2" xfId="4420" xr:uid="{00000000-0005-0000-0000-00002B1D0000}"/>
    <cellStyle name="Normal 8 2 9 2 2" xfId="8644" xr:uid="{00000000-0005-0000-0000-00002C1D0000}"/>
    <cellStyle name="Normal 8 2 9 2 2 2" xfId="17073" xr:uid="{4AD26C93-EB74-4542-826F-7A7EB249124D}"/>
    <cellStyle name="Normal 8 2 9 2 3" xfId="12855" xr:uid="{298C25E4-EC39-42E2-970E-4B72D98BF88E}"/>
    <cellStyle name="Normal 8 2 9 3" xfId="6499" xr:uid="{00000000-0005-0000-0000-00002D1D0000}"/>
    <cellStyle name="Normal 8 2 9 3 2" xfId="14928" xr:uid="{92E9209E-2845-40C5-97E9-F4FC31EDED8D}"/>
    <cellStyle name="Normal 8 2 9 4" xfId="10710" xr:uid="{6301953E-6B5F-481E-B235-191959367BC6}"/>
    <cellStyle name="Normal 8 3" xfId="495" xr:uid="{00000000-0005-0000-0000-00002E1D0000}"/>
    <cellStyle name="Normal 8 3 10" xfId="4863" xr:uid="{00000000-0005-0000-0000-00002F1D0000}"/>
    <cellStyle name="Normal 8 3 10 2" xfId="13292" xr:uid="{6FF23A99-0A91-4C57-BDC5-1C6464D24154}"/>
    <cellStyle name="Normal 8 3 11" xfId="9074" xr:uid="{312739B5-83EC-4183-A9B7-182B01FA3EA1}"/>
    <cellStyle name="Normal 8 3 2" xfId="496" xr:uid="{00000000-0005-0000-0000-0000301D0000}"/>
    <cellStyle name="Normal 8 3 2 10" xfId="9075" xr:uid="{249407D8-DD79-4DEA-9EB7-FAFECB82C23A}"/>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2 2 2" xfId="15853" xr:uid="{1D78375E-6845-4E8A-BAF0-74EDF6271348}"/>
    <cellStyle name="Normal 8 3 2 2 2 2 2 3" xfId="11635" xr:uid="{E7DF8AE5-07FC-4F6D-8BB1-77979954312B}"/>
    <cellStyle name="Normal 8 3 2 2 2 2 3" xfId="5279" xr:uid="{00000000-0005-0000-0000-0000361D0000}"/>
    <cellStyle name="Normal 8 3 2 2 2 2 3 2" xfId="13708" xr:uid="{D81080DB-D722-4ACD-8492-5694D885A5D4}"/>
    <cellStyle name="Normal 8 3 2 2 2 2 4" xfId="9490" xr:uid="{02E5BF80-BBFB-4815-BEDB-63FF0C345B46}"/>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2 2 2" xfId="16266" xr:uid="{FFB25377-D857-486A-9302-4E30DC20C633}"/>
    <cellStyle name="Normal 8 3 2 2 2 3 2 3" xfId="12048" xr:uid="{36D903A4-E278-4E8F-AEE5-7D701E8DD03B}"/>
    <cellStyle name="Normal 8 3 2 2 2 3 3" xfId="5692" xr:uid="{00000000-0005-0000-0000-00003A1D0000}"/>
    <cellStyle name="Normal 8 3 2 2 2 3 3 2" xfId="14121" xr:uid="{8CF407DD-A620-44D1-977B-65ACAA1F66DA}"/>
    <cellStyle name="Normal 8 3 2 2 2 3 4" xfId="9903" xr:uid="{B738AA72-952C-4137-A422-FD375139388B}"/>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2 2 2" xfId="16679" xr:uid="{F23FDDC3-49F9-44BE-B064-14874BC17EF2}"/>
    <cellStyle name="Normal 8 3 2 2 2 4 2 3" xfId="12461" xr:uid="{76BBF223-D410-496F-B405-0D31F6A174BC}"/>
    <cellStyle name="Normal 8 3 2 2 2 4 3" xfId="6105" xr:uid="{00000000-0005-0000-0000-00003E1D0000}"/>
    <cellStyle name="Normal 8 3 2 2 2 4 3 2" xfId="14534" xr:uid="{F89A0CE3-DA6C-44FF-A9DA-08A623C4E6FB}"/>
    <cellStyle name="Normal 8 3 2 2 2 4 4" xfId="10316" xr:uid="{F9471941-5C01-4C63-A4E4-0D7BA6D7F642}"/>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2 2 2" xfId="17092" xr:uid="{20DCD798-0AFA-4B78-8892-EFCEA8D2A4A2}"/>
    <cellStyle name="Normal 8 3 2 2 2 5 2 3" xfId="12874" xr:uid="{58CEC29D-FAEF-4753-89BB-62DAE34BEC21}"/>
    <cellStyle name="Normal 8 3 2 2 2 5 3" xfId="6518" xr:uid="{00000000-0005-0000-0000-0000421D0000}"/>
    <cellStyle name="Normal 8 3 2 2 2 5 3 2" xfId="14947" xr:uid="{875E2E01-4405-4830-96A3-3F4B3F4FB70A}"/>
    <cellStyle name="Normal 8 3 2 2 2 5 4" xfId="10729" xr:uid="{1FFCAE64-DFB1-405A-9594-75B74E80F8BC}"/>
    <cellStyle name="Normal 8 3 2 2 2 6" xfId="2646" xr:uid="{00000000-0005-0000-0000-0000431D0000}"/>
    <cellStyle name="Normal 8 3 2 2 2 6 2" xfId="6931" xr:uid="{00000000-0005-0000-0000-0000441D0000}"/>
    <cellStyle name="Normal 8 3 2 2 2 6 2 2" xfId="15360" xr:uid="{A9B44FE9-5023-4EB7-AFBF-CC52ABEC94C8}"/>
    <cellStyle name="Normal 8 3 2 2 2 6 3" xfId="11142" xr:uid="{998D113D-4918-47DD-9760-D423FC59CAD3}"/>
    <cellStyle name="Normal 8 3 2 2 2 7" xfId="4866" xr:uid="{00000000-0005-0000-0000-0000451D0000}"/>
    <cellStyle name="Normal 8 3 2 2 2 7 2" xfId="13295" xr:uid="{ED291F68-4A28-411E-B313-E089ADD46CAC}"/>
    <cellStyle name="Normal 8 3 2 2 2 8" xfId="9077" xr:uid="{88EAF41D-9A7A-4B57-96D5-E067C602EBAC}"/>
    <cellStyle name="Normal 8 3 2 2 3" xfId="965" xr:uid="{00000000-0005-0000-0000-0000461D0000}"/>
    <cellStyle name="Normal 8 3 2 2 3 2" xfId="3199" xr:uid="{00000000-0005-0000-0000-0000471D0000}"/>
    <cellStyle name="Normal 8 3 2 2 3 2 2" xfId="7423" xr:uid="{00000000-0005-0000-0000-0000481D0000}"/>
    <cellStyle name="Normal 8 3 2 2 3 2 2 2" xfId="15852" xr:uid="{B58EB58B-9939-41AF-9435-072664DCD799}"/>
    <cellStyle name="Normal 8 3 2 2 3 2 3" xfId="11634" xr:uid="{E0E43C8C-0BC4-4791-AA16-331B5FF64B91}"/>
    <cellStyle name="Normal 8 3 2 2 3 3" xfId="5278" xr:uid="{00000000-0005-0000-0000-0000491D0000}"/>
    <cellStyle name="Normal 8 3 2 2 3 3 2" xfId="13707" xr:uid="{70E2CD5B-D927-484A-ADD8-55DE4CDA98D2}"/>
    <cellStyle name="Normal 8 3 2 2 3 4" xfId="9489" xr:uid="{157E3FCE-0560-44BE-8AF8-1B69A3767F1C}"/>
    <cellStyle name="Normal 8 3 2 2 4" xfId="1382" xr:uid="{00000000-0005-0000-0000-00004A1D0000}"/>
    <cellStyle name="Normal 8 3 2 2 4 2" xfId="3612" xr:uid="{00000000-0005-0000-0000-00004B1D0000}"/>
    <cellStyle name="Normal 8 3 2 2 4 2 2" xfId="7836" xr:uid="{00000000-0005-0000-0000-00004C1D0000}"/>
    <cellStyle name="Normal 8 3 2 2 4 2 2 2" xfId="16265" xr:uid="{64C3AA4D-C422-4267-8373-CFF3B79CBACD}"/>
    <cellStyle name="Normal 8 3 2 2 4 2 3" xfId="12047" xr:uid="{2C8AF653-14B2-4D51-8663-028B441AC80D}"/>
    <cellStyle name="Normal 8 3 2 2 4 3" xfId="5691" xr:uid="{00000000-0005-0000-0000-00004D1D0000}"/>
    <cellStyle name="Normal 8 3 2 2 4 3 2" xfId="14120" xr:uid="{9FD9B8E8-D04B-4BD8-B83B-8DE865072703}"/>
    <cellStyle name="Normal 8 3 2 2 4 4" xfId="9902" xr:uid="{437CD2FF-D5B1-480A-8D33-A97BD66DEB17}"/>
    <cellStyle name="Normal 8 3 2 2 5" xfId="1795" xr:uid="{00000000-0005-0000-0000-00004E1D0000}"/>
    <cellStyle name="Normal 8 3 2 2 5 2" xfId="4025" xr:uid="{00000000-0005-0000-0000-00004F1D0000}"/>
    <cellStyle name="Normal 8 3 2 2 5 2 2" xfId="8249" xr:uid="{00000000-0005-0000-0000-0000501D0000}"/>
    <cellStyle name="Normal 8 3 2 2 5 2 2 2" xfId="16678" xr:uid="{B4CBA0BB-1010-48A0-AD66-E4589595FC2B}"/>
    <cellStyle name="Normal 8 3 2 2 5 2 3" xfId="12460" xr:uid="{0FAAFD4F-99CF-4BB8-A02B-11A020952837}"/>
    <cellStyle name="Normal 8 3 2 2 5 3" xfId="6104" xr:uid="{00000000-0005-0000-0000-0000511D0000}"/>
    <cellStyle name="Normal 8 3 2 2 5 3 2" xfId="14533" xr:uid="{7D203F64-9FE4-47CE-9FAD-9CBDC3B54D4C}"/>
    <cellStyle name="Normal 8 3 2 2 5 4" xfId="10315" xr:uid="{AF310BE5-E06B-41AC-807C-5734D8388706}"/>
    <cellStyle name="Normal 8 3 2 2 6" xfId="2209" xr:uid="{00000000-0005-0000-0000-0000521D0000}"/>
    <cellStyle name="Normal 8 3 2 2 6 2" xfId="4438" xr:uid="{00000000-0005-0000-0000-0000531D0000}"/>
    <cellStyle name="Normal 8 3 2 2 6 2 2" xfId="8662" xr:uid="{00000000-0005-0000-0000-0000541D0000}"/>
    <cellStyle name="Normal 8 3 2 2 6 2 2 2" xfId="17091" xr:uid="{4FCFF6B3-AC65-4291-8243-29F8BA102C15}"/>
    <cellStyle name="Normal 8 3 2 2 6 2 3" xfId="12873" xr:uid="{C20124B6-5524-4EA1-B473-50682D94BED6}"/>
    <cellStyle name="Normal 8 3 2 2 6 3" xfId="6517" xr:uid="{00000000-0005-0000-0000-0000551D0000}"/>
    <cellStyle name="Normal 8 3 2 2 6 3 2" xfId="14946" xr:uid="{61C3F0FD-2ED4-4879-A1D9-1A29DFC3A012}"/>
    <cellStyle name="Normal 8 3 2 2 6 4" xfId="10728" xr:uid="{70856D8F-E738-43EE-9B7A-74B1CFA2B992}"/>
    <cellStyle name="Normal 8 3 2 2 7" xfId="2645" xr:uid="{00000000-0005-0000-0000-0000561D0000}"/>
    <cellStyle name="Normal 8 3 2 2 7 2" xfId="6930" xr:uid="{00000000-0005-0000-0000-0000571D0000}"/>
    <cellStyle name="Normal 8 3 2 2 7 2 2" xfId="15359" xr:uid="{FAB9AF5F-C145-458C-94CA-4D1F89E39FBC}"/>
    <cellStyle name="Normal 8 3 2 2 7 3" xfId="11141" xr:uid="{897A4304-870E-4CE2-A5A7-E05586368643}"/>
    <cellStyle name="Normal 8 3 2 2 8" xfId="4865" xr:uid="{00000000-0005-0000-0000-0000581D0000}"/>
    <cellStyle name="Normal 8 3 2 2 8 2" xfId="13294" xr:uid="{B53CB190-69A9-40F0-9222-C28DB9956E29}"/>
    <cellStyle name="Normal 8 3 2 2 9" xfId="9076" xr:uid="{91DD4792-2501-49A1-89E3-1D2E511454D7}"/>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2 2 2" xfId="15854" xr:uid="{3737BF78-4152-437B-B74F-71FAB4878D78}"/>
    <cellStyle name="Normal 8 3 2 3 2 2 3" xfId="11636" xr:uid="{4CA4A0CC-8C15-4F64-B7CC-A58DA9C9EFDB}"/>
    <cellStyle name="Normal 8 3 2 3 2 3" xfId="5280" xr:uid="{00000000-0005-0000-0000-00005D1D0000}"/>
    <cellStyle name="Normal 8 3 2 3 2 3 2" xfId="13709" xr:uid="{CB65AA42-78F3-4D85-8BE5-BBDDFF28A9D4}"/>
    <cellStyle name="Normal 8 3 2 3 2 4" xfId="9491" xr:uid="{C36A9847-C3EE-473E-94A0-8A2C3B0D51EE}"/>
    <cellStyle name="Normal 8 3 2 3 3" xfId="1384" xr:uid="{00000000-0005-0000-0000-00005E1D0000}"/>
    <cellStyle name="Normal 8 3 2 3 3 2" xfId="3614" xr:uid="{00000000-0005-0000-0000-00005F1D0000}"/>
    <cellStyle name="Normal 8 3 2 3 3 2 2" xfId="7838" xr:uid="{00000000-0005-0000-0000-0000601D0000}"/>
    <cellStyle name="Normal 8 3 2 3 3 2 2 2" xfId="16267" xr:uid="{72FB2907-1977-4866-8F3B-B812C2BB719C}"/>
    <cellStyle name="Normal 8 3 2 3 3 2 3" xfId="12049" xr:uid="{4E913A23-5D6D-45FF-B042-CBDDF5A945A8}"/>
    <cellStyle name="Normal 8 3 2 3 3 3" xfId="5693" xr:uid="{00000000-0005-0000-0000-0000611D0000}"/>
    <cellStyle name="Normal 8 3 2 3 3 3 2" xfId="14122" xr:uid="{AE4AC748-C1DF-47C7-BFA0-5BB50A94045E}"/>
    <cellStyle name="Normal 8 3 2 3 3 4" xfId="9904" xr:uid="{5F748BC7-6C05-4446-9940-B4495EAF5525}"/>
    <cellStyle name="Normal 8 3 2 3 4" xfId="1797" xr:uid="{00000000-0005-0000-0000-0000621D0000}"/>
    <cellStyle name="Normal 8 3 2 3 4 2" xfId="4027" xr:uid="{00000000-0005-0000-0000-0000631D0000}"/>
    <cellStyle name="Normal 8 3 2 3 4 2 2" xfId="8251" xr:uid="{00000000-0005-0000-0000-0000641D0000}"/>
    <cellStyle name="Normal 8 3 2 3 4 2 2 2" xfId="16680" xr:uid="{E46280A7-EA33-44C6-BA98-3BDF530E90E7}"/>
    <cellStyle name="Normal 8 3 2 3 4 2 3" xfId="12462" xr:uid="{A16F4BB6-7F92-4B41-988D-69923D75F060}"/>
    <cellStyle name="Normal 8 3 2 3 4 3" xfId="6106" xr:uid="{00000000-0005-0000-0000-0000651D0000}"/>
    <cellStyle name="Normal 8 3 2 3 4 3 2" xfId="14535" xr:uid="{E8F7234E-0467-4943-AC48-835CA3B021E2}"/>
    <cellStyle name="Normal 8 3 2 3 4 4" xfId="10317" xr:uid="{3E8BD757-A468-43A5-9AB1-EB7C59B1A4C3}"/>
    <cellStyle name="Normal 8 3 2 3 5" xfId="2211" xr:uid="{00000000-0005-0000-0000-0000661D0000}"/>
    <cellStyle name="Normal 8 3 2 3 5 2" xfId="4440" xr:uid="{00000000-0005-0000-0000-0000671D0000}"/>
    <cellStyle name="Normal 8 3 2 3 5 2 2" xfId="8664" xr:uid="{00000000-0005-0000-0000-0000681D0000}"/>
    <cellStyle name="Normal 8 3 2 3 5 2 2 2" xfId="17093" xr:uid="{BFAE2A71-EEEF-44D0-9D2A-87F0DB7223D5}"/>
    <cellStyle name="Normal 8 3 2 3 5 2 3" xfId="12875" xr:uid="{880B576F-C895-42B8-A757-D1C0297622AC}"/>
    <cellStyle name="Normal 8 3 2 3 5 3" xfId="6519" xr:uid="{00000000-0005-0000-0000-0000691D0000}"/>
    <cellStyle name="Normal 8 3 2 3 5 3 2" xfId="14948" xr:uid="{AD160AA0-4031-4C41-936E-13CF8833AAAE}"/>
    <cellStyle name="Normal 8 3 2 3 5 4" xfId="10730" xr:uid="{F0CC2AF9-798A-45F8-9302-4CDD052EAD3E}"/>
    <cellStyle name="Normal 8 3 2 3 6" xfId="2647" xr:uid="{00000000-0005-0000-0000-00006A1D0000}"/>
    <cellStyle name="Normal 8 3 2 3 6 2" xfId="6932" xr:uid="{00000000-0005-0000-0000-00006B1D0000}"/>
    <cellStyle name="Normal 8 3 2 3 6 2 2" xfId="15361" xr:uid="{797474F1-7A4C-4CDC-B3CB-F14E3DC6A44F}"/>
    <cellStyle name="Normal 8 3 2 3 6 3" xfId="11143" xr:uid="{DA7980D2-84E1-420B-B42D-BB0429903433}"/>
    <cellStyle name="Normal 8 3 2 3 7" xfId="4867" xr:uid="{00000000-0005-0000-0000-00006C1D0000}"/>
    <cellStyle name="Normal 8 3 2 3 7 2" xfId="13296" xr:uid="{CA0A6A56-E07C-48D7-AE79-B0162A9CB42B}"/>
    <cellStyle name="Normal 8 3 2 3 8" xfId="9078" xr:uid="{07E0EAB1-7B5B-40F8-B78E-030C58E13D7F}"/>
    <cellStyle name="Normal 8 3 2 4" xfId="964" xr:uid="{00000000-0005-0000-0000-00006D1D0000}"/>
    <cellStyle name="Normal 8 3 2 4 2" xfId="3198" xr:uid="{00000000-0005-0000-0000-00006E1D0000}"/>
    <cellStyle name="Normal 8 3 2 4 2 2" xfId="7422" xr:uid="{00000000-0005-0000-0000-00006F1D0000}"/>
    <cellStyle name="Normal 8 3 2 4 2 2 2" xfId="15851" xr:uid="{15DB40C9-B73E-4785-9D49-30299173C7C8}"/>
    <cellStyle name="Normal 8 3 2 4 2 3" xfId="11633" xr:uid="{C2B19334-4FF6-4F07-854E-E5AB193778C4}"/>
    <cellStyle name="Normal 8 3 2 4 3" xfId="5277" xr:uid="{00000000-0005-0000-0000-0000701D0000}"/>
    <cellStyle name="Normal 8 3 2 4 3 2" xfId="13706" xr:uid="{18E0F105-814E-4526-BC54-C88FECA5008A}"/>
    <cellStyle name="Normal 8 3 2 4 4" xfId="9488" xr:uid="{25F9D354-D65D-405C-8492-765AA05DBC80}"/>
    <cellStyle name="Normal 8 3 2 5" xfId="1381" xr:uid="{00000000-0005-0000-0000-0000711D0000}"/>
    <cellStyle name="Normal 8 3 2 5 2" xfId="3611" xr:uid="{00000000-0005-0000-0000-0000721D0000}"/>
    <cellStyle name="Normal 8 3 2 5 2 2" xfId="7835" xr:uid="{00000000-0005-0000-0000-0000731D0000}"/>
    <cellStyle name="Normal 8 3 2 5 2 2 2" xfId="16264" xr:uid="{124B857E-8912-45E1-BDA9-70B950BCCD6D}"/>
    <cellStyle name="Normal 8 3 2 5 2 3" xfId="12046" xr:uid="{9DB85943-DE5E-4B65-9693-AA74AD824C57}"/>
    <cellStyle name="Normal 8 3 2 5 3" xfId="5690" xr:uid="{00000000-0005-0000-0000-0000741D0000}"/>
    <cellStyle name="Normal 8 3 2 5 3 2" xfId="14119" xr:uid="{1047E391-9234-4EA7-9E30-01AE3BF885B1}"/>
    <cellStyle name="Normal 8 3 2 5 4" xfId="9901" xr:uid="{4CF4153C-751E-4D86-B59F-D357AC95AC9E}"/>
    <cellStyle name="Normal 8 3 2 6" xfId="1794" xr:uid="{00000000-0005-0000-0000-0000751D0000}"/>
    <cellStyle name="Normal 8 3 2 6 2" xfId="4024" xr:uid="{00000000-0005-0000-0000-0000761D0000}"/>
    <cellStyle name="Normal 8 3 2 6 2 2" xfId="8248" xr:uid="{00000000-0005-0000-0000-0000771D0000}"/>
    <cellStyle name="Normal 8 3 2 6 2 2 2" xfId="16677" xr:uid="{E5155ED2-559A-43E1-BC35-48D61E9FE96C}"/>
    <cellStyle name="Normal 8 3 2 6 2 3" xfId="12459" xr:uid="{814411BF-2542-4C0D-87C3-FC391ECFDDE6}"/>
    <cellStyle name="Normal 8 3 2 6 3" xfId="6103" xr:uid="{00000000-0005-0000-0000-0000781D0000}"/>
    <cellStyle name="Normal 8 3 2 6 3 2" xfId="14532" xr:uid="{FF26BC30-42B7-45FC-905B-BCCB58F82DFD}"/>
    <cellStyle name="Normal 8 3 2 6 4" xfId="10314" xr:uid="{712A5809-B0BC-4D76-9387-0BAB7F4F3EF6}"/>
    <cellStyle name="Normal 8 3 2 7" xfId="2208" xr:uid="{00000000-0005-0000-0000-0000791D0000}"/>
    <cellStyle name="Normal 8 3 2 7 2" xfId="4437" xr:uid="{00000000-0005-0000-0000-00007A1D0000}"/>
    <cellStyle name="Normal 8 3 2 7 2 2" xfId="8661" xr:uid="{00000000-0005-0000-0000-00007B1D0000}"/>
    <cellStyle name="Normal 8 3 2 7 2 2 2" xfId="17090" xr:uid="{29661F6A-19A8-45D9-BBF9-5173AE219902}"/>
    <cellStyle name="Normal 8 3 2 7 2 3" xfId="12872" xr:uid="{2A0F61C3-B3DE-4CC9-B64D-3F5790D63031}"/>
    <cellStyle name="Normal 8 3 2 7 3" xfId="6516" xr:uid="{00000000-0005-0000-0000-00007C1D0000}"/>
    <cellStyle name="Normal 8 3 2 7 3 2" xfId="14945" xr:uid="{6957F71C-BC16-4CE5-B53D-85F4C788BB9E}"/>
    <cellStyle name="Normal 8 3 2 7 4" xfId="10727" xr:uid="{1879672F-48E4-44E7-8C18-454CB55BBED2}"/>
    <cellStyle name="Normal 8 3 2 8" xfId="2644" xr:uid="{00000000-0005-0000-0000-00007D1D0000}"/>
    <cellStyle name="Normal 8 3 2 8 2" xfId="6929" xr:uid="{00000000-0005-0000-0000-00007E1D0000}"/>
    <cellStyle name="Normal 8 3 2 8 2 2" xfId="15358" xr:uid="{1B6391F3-1968-4289-891F-E867B8B79EDC}"/>
    <cellStyle name="Normal 8 3 2 8 3" xfId="11140" xr:uid="{F19E147A-1B99-4DDA-84A8-DC08DF3F62E2}"/>
    <cellStyle name="Normal 8 3 2 9" xfId="4864" xr:uid="{00000000-0005-0000-0000-00007F1D0000}"/>
    <cellStyle name="Normal 8 3 2 9 2" xfId="13293" xr:uid="{EBAA9EBF-B0EA-44DE-97AB-60406655BA3C}"/>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2 2 2" xfId="15856" xr:uid="{B2A511F5-1117-4172-8D24-789FC5F2E169}"/>
    <cellStyle name="Normal 8 3 3 2 2 2 3" xfId="11638" xr:uid="{20B8BCC7-FDFD-464B-A0B1-ABC7A68EA542}"/>
    <cellStyle name="Normal 8 3 3 2 2 3" xfId="5282" xr:uid="{00000000-0005-0000-0000-0000851D0000}"/>
    <cellStyle name="Normal 8 3 3 2 2 3 2" xfId="13711" xr:uid="{D5F269A1-3CC3-483B-B532-78AA43D2E8D5}"/>
    <cellStyle name="Normal 8 3 3 2 2 4" xfId="9493" xr:uid="{3FBAF0C1-7DE7-48C6-BD5E-62623DC1FDE6}"/>
    <cellStyle name="Normal 8 3 3 2 3" xfId="1386" xr:uid="{00000000-0005-0000-0000-0000861D0000}"/>
    <cellStyle name="Normal 8 3 3 2 3 2" xfId="3616" xr:uid="{00000000-0005-0000-0000-0000871D0000}"/>
    <cellStyle name="Normal 8 3 3 2 3 2 2" xfId="7840" xr:uid="{00000000-0005-0000-0000-0000881D0000}"/>
    <cellStyle name="Normal 8 3 3 2 3 2 2 2" xfId="16269" xr:uid="{D0478BE8-F7A3-4B86-8218-436A7314E0D4}"/>
    <cellStyle name="Normal 8 3 3 2 3 2 3" xfId="12051" xr:uid="{6A1FB5D5-AF15-4E37-8CA2-EA630C17FE26}"/>
    <cellStyle name="Normal 8 3 3 2 3 3" xfId="5695" xr:uid="{00000000-0005-0000-0000-0000891D0000}"/>
    <cellStyle name="Normal 8 3 3 2 3 3 2" xfId="14124" xr:uid="{882D4064-0E2A-4B29-849B-C215F0A839FE}"/>
    <cellStyle name="Normal 8 3 3 2 3 4" xfId="9906" xr:uid="{1CA9E163-6333-43E0-96EB-FA50E497A52D}"/>
    <cellStyle name="Normal 8 3 3 2 4" xfId="1799" xr:uid="{00000000-0005-0000-0000-00008A1D0000}"/>
    <cellStyle name="Normal 8 3 3 2 4 2" xfId="4029" xr:uid="{00000000-0005-0000-0000-00008B1D0000}"/>
    <cellStyle name="Normal 8 3 3 2 4 2 2" xfId="8253" xr:uid="{00000000-0005-0000-0000-00008C1D0000}"/>
    <cellStyle name="Normal 8 3 3 2 4 2 2 2" xfId="16682" xr:uid="{05A4431F-AC83-4BE7-9152-06C9FE91E688}"/>
    <cellStyle name="Normal 8 3 3 2 4 2 3" xfId="12464" xr:uid="{D21162E5-9359-4848-8D86-CE38221EDF0F}"/>
    <cellStyle name="Normal 8 3 3 2 4 3" xfId="6108" xr:uid="{00000000-0005-0000-0000-00008D1D0000}"/>
    <cellStyle name="Normal 8 3 3 2 4 3 2" xfId="14537" xr:uid="{2CC71DBF-B43B-4D2F-BBBB-D7519F8F4960}"/>
    <cellStyle name="Normal 8 3 3 2 4 4" xfId="10319" xr:uid="{57F69228-AC45-4E82-854F-FD4BBB510D45}"/>
    <cellStyle name="Normal 8 3 3 2 5" xfId="2213" xr:uid="{00000000-0005-0000-0000-00008E1D0000}"/>
    <cellStyle name="Normal 8 3 3 2 5 2" xfId="4442" xr:uid="{00000000-0005-0000-0000-00008F1D0000}"/>
    <cellStyle name="Normal 8 3 3 2 5 2 2" xfId="8666" xr:uid="{00000000-0005-0000-0000-0000901D0000}"/>
    <cellStyle name="Normal 8 3 3 2 5 2 2 2" xfId="17095" xr:uid="{3457160D-B8C0-4D11-9F53-3E6ABC6CA31F}"/>
    <cellStyle name="Normal 8 3 3 2 5 2 3" xfId="12877" xr:uid="{FD7E154A-6D59-4D40-95A2-45528FED938B}"/>
    <cellStyle name="Normal 8 3 3 2 5 3" xfId="6521" xr:uid="{00000000-0005-0000-0000-0000911D0000}"/>
    <cellStyle name="Normal 8 3 3 2 5 3 2" xfId="14950" xr:uid="{838CAC09-3F14-4FE4-8018-50503D82BC8E}"/>
    <cellStyle name="Normal 8 3 3 2 5 4" xfId="10732" xr:uid="{8607B797-A732-4B2D-8667-D05C3AE8439E}"/>
    <cellStyle name="Normal 8 3 3 2 6" xfId="2649" xr:uid="{00000000-0005-0000-0000-0000921D0000}"/>
    <cellStyle name="Normal 8 3 3 2 6 2" xfId="6934" xr:uid="{00000000-0005-0000-0000-0000931D0000}"/>
    <cellStyle name="Normal 8 3 3 2 6 2 2" xfId="15363" xr:uid="{833B0886-C7B4-49AD-BD03-31A339AE486C}"/>
    <cellStyle name="Normal 8 3 3 2 6 3" xfId="11145" xr:uid="{172D2998-227A-4209-BBFE-98F33A371956}"/>
    <cellStyle name="Normal 8 3 3 2 7" xfId="4869" xr:uid="{00000000-0005-0000-0000-0000941D0000}"/>
    <cellStyle name="Normal 8 3 3 2 7 2" xfId="13298" xr:uid="{A01BF3AF-A203-42ED-B692-D9E3171C0CF2}"/>
    <cellStyle name="Normal 8 3 3 2 8" xfId="9080" xr:uid="{B1543A4D-E362-406C-BBB6-CBE557577BBE}"/>
    <cellStyle name="Normal 8 3 3 3" xfId="968" xr:uid="{00000000-0005-0000-0000-0000951D0000}"/>
    <cellStyle name="Normal 8 3 3 3 2" xfId="3202" xr:uid="{00000000-0005-0000-0000-0000961D0000}"/>
    <cellStyle name="Normal 8 3 3 3 2 2" xfId="7426" xr:uid="{00000000-0005-0000-0000-0000971D0000}"/>
    <cellStyle name="Normal 8 3 3 3 2 2 2" xfId="15855" xr:uid="{013B20DD-F449-4706-8582-39913C082692}"/>
    <cellStyle name="Normal 8 3 3 3 2 3" xfId="11637" xr:uid="{79EFA160-037C-40BF-8C42-C0F745F7DCE5}"/>
    <cellStyle name="Normal 8 3 3 3 3" xfId="5281" xr:uid="{00000000-0005-0000-0000-0000981D0000}"/>
    <cellStyle name="Normal 8 3 3 3 3 2" xfId="13710" xr:uid="{2431703E-F69C-4D0F-A4EB-D41FD197CFEB}"/>
    <cellStyle name="Normal 8 3 3 3 4" xfId="9492" xr:uid="{9BA71856-8777-4ABC-832A-8BE0C28FE7BD}"/>
    <cellStyle name="Normal 8 3 3 4" xfId="1385" xr:uid="{00000000-0005-0000-0000-0000991D0000}"/>
    <cellStyle name="Normal 8 3 3 4 2" xfId="3615" xr:uid="{00000000-0005-0000-0000-00009A1D0000}"/>
    <cellStyle name="Normal 8 3 3 4 2 2" xfId="7839" xr:uid="{00000000-0005-0000-0000-00009B1D0000}"/>
    <cellStyle name="Normal 8 3 3 4 2 2 2" xfId="16268" xr:uid="{4ED1AA19-AFE6-4019-AE44-389FA4638FEA}"/>
    <cellStyle name="Normal 8 3 3 4 2 3" xfId="12050" xr:uid="{D60B172F-0B51-428D-BCFE-02AE136512D7}"/>
    <cellStyle name="Normal 8 3 3 4 3" xfId="5694" xr:uid="{00000000-0005-0000-0000-00009C1D0000}"/>
    <cellStyle name="Normal 8 3 3 4 3 2" xfId="14123" xr:uid="{556F0104-110A-4D07-8017-E5059A8D41A5}"/>
    <cellStyle name="Normal 8 3 3 4 4" xfId="9905" xr:uid="{644280D4-7A3E-4AF4-AF43-B36B066CC49F}"/>
    <cellStyle name="Normal 8 3 3 5" xfId="1798" xr:uid="{00000000-0005-0000-0000-00009D1D0000}"/>
    <cellStyle name="Normal 8 3 3 5 2" xfId="4028" xr:uid="{00000000-0005-0000-0000-00009E1D0000}"/>
    <cellStyle name="Normal 8 3 3 5 2 2" xfId="8252" xr:uid="{00000000-0005-0000-0000-00009F1D0000}"/>
    <cellStyle name="Normal 8 3 3 5 2 2 2" xfId="16681" xr:uid="{A80A48C5-B5D1-46DE-A08D-1E8BD914DB1B}"/>
    <cellStyle name="Normal 8 3 3 5 2 3" xfId="12463" xr:uid="{BD6EFFF4-D654-4F73-8982-B01F2070E55E}"/>
    <cellStyle name="Normal 8 3 3 5 3" xfId="6107" xr:uid="{00000000-0005-0000-0000-0000A01D0000}"/>
    <cellStyle name="Normal 8 3 3 5 3 2" xfId="14536" xr:uid="{67271C8C-A9A9-4D73-9603-EDA7B2B8F691}"/>
    <cellStyle name="Normal 8 3 3 5 4" xfId="10318" xr:uid="{80A752E0-43ED-4F00-8D8E-596AD1530C29}"/>
    <cellStyle name="Normal 8 3 3 6" xfId="2212" xr:uid="{00000000-0005-0000-0000-0000A11D0000}"/>
    <cellStyle name="Normal 8 3 3 6 2" xfId="4441" xr:uid="{00000000-0005-0000-0000-0000A21D0000}"/>
    <cellStyle name="Normal 8 3 3 6 2 2" xfId="8665" xr:uid="{00000000-0005-0000-0000-0000A31D0000}"/>
    <cellStyle name="Normal 8 3 3 6 2 2 2" xfId="17094" xr:uid="{9DD9D557-F1C1-4791-B542-98B5DACFA7D0}"/>
    <cellStyle name="Normal 8 3 3 6 2 3" xfId="12876" xr:uid="{6E57DDFA-70A3-4F29-B57C-F45ECE79452D}"/>
    <cellStyle name="Normal 8 3 3 6 3" xfId="6520" xr:uid="{00000000-0005-0000-0000-0000A41D0000}"/>
    <cellStyle name="Normal 8 3 3 6 3 2" xfId="14949" xr:uid="{D2D5AF13-B1B7-4A26-9A02-86C0823D4D0E}"/>
    <cellStyle name="Normal 8 3 3 6 4" xfId="10731" xr:uid="{988EA676-3C63-44F6-B3A1-8807BFAA6521}"/>
    <cellStyle name="Normal 8 3 3 7" xfId="2648" xr:uid="{00000000-0005-0000-0000-0000A51D0000}"/>
    <cellStyle name="Normal 8 3 3 7 2" xfId="6933" xr:uid="{00000000-0005-0000-0000-0000A61D0000}"/>
    <cellStyle name="Normal 8 3 3 7 2 2" xfId="15362" xr:uid="{FE0E9B28-B61B-43B2-9347-461FC0176B31}"/>
    <cellStyle name="Normal 8 3 3 7 3" xfId="11144" xr:uid="{F24F7CD7-1FC4-4267-948E-7017A3AADA51}"/>
    <cellStyle name="Normal 8 3 3 8" xfId="4868" xr:uid="{00000000-0005-0000-0000-0000A71D0000}"/>
    <cellStyle name="Normal 8 3 3 8 2" xfId="13297" xr:uid="{5952D588-7C3F-4075-B4E9-77D9A232BE31}"/>
    <cellStyle name="Normal 8 3 3 9" xfId="9079" xr:uid="{6F8265FE-FBF8-4D06-8960-4B4B7AF55F0A}"/>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2 2 2" xfId="15857" xr:uid="{262F3D66-1E9F-4B87-ADF4-F0F4E9ADE2DE}"/>
    <cellStyle name="Normal 8 3 4 2 2 3" xfId="11639" xr:uid="{F392F81D-3CAD-488C-9386-EB4B923BDA71}"/>
    <cellStyle name="Normal 8 3 4 2 3" xfId="5283" xr:uid="{00000000-0005-0000-0000-0000AC1D0000}"/>
    <cellStyle name="Normal 8 3 4 2 3 2" xfId="13712" xr:uid="{912E1816-DA02-4B84-AC5A-38F997B345D9}"/>
    <cellStyle name="Normal 8 3 4 2 4" xfId="9494" xr:uid="{2DFDA2E5-4975-4511-80F2-1431ECE1BE8D}"/>
    <cellStyle name="Normal 8 3 4 3" xfId="1387" xr:uid="{00000000-0005-0000-0000-0000AD1D0000}"/>
    <cellStyle name="Normal 8 3 4 3 2" xfId="3617" xr:uid="{00000000-0005-0000-0000-0000AE1D0000}"/>
    <cellStyle name="Normal 8 3 4 3 2 2" xfId="7841" xr:uid="{00000000-0005-0000-0000-0000AF1D0000}"/>
    <cellStyle name="Normal 8 3 4 3 2 2 2" xfId="16270" xr:uid="{88575DE4-4BA9-4D0C-8AB9-0F4CD70AD7E7}"/>
    <cellStyle name="Normal 8 3 4 3 2 3" xfId="12052" xr:uid="{7EC4B45B-7655-4C06-98DD-7530CAC15DD8}"/>
    <cellStyle name="Normal 8 3 4 3 3" xfId="5696" xr:uid="{00000000-0005-0000-0000-0000B01D0000}"/>
    <cellStyle name="Normal 8 3 4 3 3 2" xfId="14125" xr:uid="{75BFDBFB-2C64-40F5-844A-CEF0B40BDDA5}"/>
    <cellStyle name="Normal 8 3 4 3 4" xfId="9907" xr:uid="{73949A90-11CE-4857-986C-E0E05FE774C6}"/>
    <cellStyle name="Normal 8 3 4 4" xfId="1800" xr:uid="{00000000-0005-0000-0000-0000B11D0000}"/>
    <cellStyle name="Normal 8 3 4 4 2" xfId="4030" xr:uid="{00000000-0005-0000-0000-0000B21D0000}"/>
    <cellStyle name="Normal 8 3 4 4 2 2" xfId="8254" xr:uid="{00000000-0005-0000-0000-0000B31D0000}"/>
    <cellStyle name="Normal 8 3 4 4 2 2 2" xfId="16683" xr:uid="{EC01145D-862D-4F62-946B-D2BC1B8D0426}"/>
    <cellStyle name="Normal 8 3 4 4 2 3" xfId="12465" xr:uid="{FBA210AB-6BC9-4415-A3E4-635FF39FA260}"/>
    <cellStyle name="Normal 8 3 4 4 3" xfId="6109" xr:uid="{00000000-0005-0000-0000-0000B41D0000}"/>
    <cellStyle name="Normal 8 3 4 4 3 2" xfId="14538" xr:uid="{67947A9E-6C53-4E99-8A02-D1E705EE1020}"/>
    <cellStyle name="Normal 8 3 4 4 4" xfId="10320" xr:uid="{BA9B92A1-F644-4594-A63F-6C81D741618D}"/>
    <cellStyle name="Normal 8 3 4 5" xfId="2214" xr:uid="{00000000-0005-0000-0000-0000B51D0000}"/>
    <cellStyle name="Normal 8 3 4 5 2" xfId="4443" xr:uid="{00000000-0005-0000-0000-0000B61D0000}"/>
    <cellStyle name="Normal 8 3 4 5 2 2" xfId="8667" xr:uid="{00000000-0005-0000-0000-0000B71D0000}"/>
    <cellStyle name="Normal 8 3 4 5 2 2 2" xfId="17096" xr:uid="{6E068638-6442-4BDD-ABFC-E50017779C91}"/>
    <cellStyle name="Normal 8 3 4 5 2 3" xfId="12878" xr:uid="{C65CC5B4-BABA-47C6-8B3C-6D2E06411112}"/>
    <cellStyle name="Normal 8 3 4 5 3" xfId="6522" xr:uid="{00000000-0005-0000-0000-0000B81D0000}"/>
    <cellStyle name="Normal 8 3 4 5 3 2" xfId="14951" xr:uid="{B855AE8F-2188-4419-99EC-C9918379F569}"/>
    <cellStyle name="Normal 8 3 4 5 4" xfId="10733" xr:uid="{323C38B3-EEDD-4CDE-AB5A-FB4388AE7FF8}"/>
    <cellStyle name="Normal 8 3 4 6" xfId="2650" xr:uid="{00000000-0005-0000-0000-0000B91D0000}"/>
    <cellStyle name="Normal 8 3 4 6 2" xfId="6935" xr:uid="{00000000-0005-0000-0000-0000BA1D0000}"/>
    <cellStyle name="Normal 8 3 4 6 2 2" xfId="15364" xr:uid="{1F5D41FF-1E14-46F5-BF82-1159D9E011AC}"/>
    <cellStyle name="Normal 8 3 4 6 3" xfId="11146" xr:uid="{C959BF0D-8479-4F55-950D-708056E9D8B8}"/>
    <cellStyle name="Normal 8 3 4 7" xfId="4870" xr:uid="{00000000-0005-0000-0000-0000BB1D0000}"/>
    <cellStyle name="Normal 8 3 4 7 2" xfId="13299" xr:uid="{371E2E8A-63BF-44AD-A1FB-25AD3DF6BC2E}"/>
    <cellStyle name="Normal 8 3 4 8" xfId="9081" xr:uid="{6733C050-D197-40B3-BA41-540D17A2C0C2}"/>
    <cellStyle name="Normal 8 3 5" xfId="963" xr:uid="{00000000-0005-0000-0000-0000BC1D0000}"/>
    <cellStyle name="Normal 8 3 5 2" xfId="3197" xr:uid="{00000000-0005-0000-0000-0000BD1D0000}"/>
    <cellStyle name="Normal 8 3 5 2 2" xfId="7421" xr:uid="{00000000-0005-0000-0000-0000BE1D0000}"/>
    <cellStyle name="Normal 8 3 5 2 2 2" xfId="15850" xr:uid="{4A0E4E5C-9821-4974-8512-597A944A1F55}"/>
    <cellStyle name="Normal 8 3 5 2 3" xfId="11632" xr:uid="{BCE575DC-44F3-4218-8347-90B0CAE7FC32}"/>
    <cellStyle name="Normal 8 3 5 3" xfId="5276" xr:uid="{00000000-0005-0000-0000-0000BF1D0000}"/>
    <cellStyle name="Normal 8 3 5 3 2" xfId="13705" xr:uid="{01DC6DA8-47E6-4664-A319-69397384C8FB}"/>
    <cellStyle name="Normal 8 3 5 4" xfId="9487" xr:uid="{6777B153-A3E8-4BF3-B443-B891D96DA444}"/>
    <cellStyle name="Normal 8 3 6" xfId="1380" xr:uid="{00000000-0005-0000-0000-0000C01D0000}"/>
    <cellStyle name="Normal 8 3 6 2" xfId="3610" xr:uid="{00000000-0005-0000-0000-0000C11D0000}"/>
    <cellStyle name="Normal 8 3 6 2 2" xfId="7834" xr:uid="{00000000-0005-0000-0000-0000C21D0000}"/>
    <cellStyle name="Normal 8 3 6 2 2 2" xfId="16263" xr:uid="{224BCF74-DE45-498E-A39A-F24C5B8C28F6}"/>
    <cellStyle name="Normal 8 3 6 2 3" xfId="12045" xr:uid="{0AE1C769-2A36-41A2-B919-16B0F316F6C0}"/>
    <cellStyle name="Normal 8 3 6 3" xfId="5689" xr:uid="{00000000-0005-0000-0000-0000C31D0000}"/>
    <cellStyle name="Normal 8 3 6 3 2" xfId="14118" xr:uid="{C6A0918A-9D81-45C3-A3E3-0CD50B247435}"/>
    <cellStyle name="Normal 8 3 6 4" xfId="9900" xr:uid="{2C95A100-8082-486A-AAEC-D413FE469268}"/>
    <cellStyle name="Normal 8 3 7" xfId="1793" xr:uid="{00000000-0005-0000-0000-0000C41D0000}"/>
    <cellStyle name="Normal 8 3 7 2" xfId="4023" xr:uid="{00000000-0005-0000-0000-0000C51D0000}"/>
    <cellStyle name="Normal 8 3 7 2 2" xfId="8247" xr:uid="{00000000-0005-0000-0000-0000C61D0000}"/>
    <cellStyle name="Normal 8 3 7 2 2 2" xfId="16676" xr:uid="{4CF2DD97-4EE3-4FD7-9471-84B223771525}"/>
    <cellStyle name="Normal 8 3 7 2 3" xfId="12458" xr:uid="{0DF0C9CA-1EDE-4C6F-AB6B-3FAEA80172A0}"/>
    <cellStyle name="Normal 8 3 7 3" xfId="6102" xr:uid="{00000000-0005-0000-0000-0000C71D0000}"/>
    <cellStyle name="Normal 8 3 7 3 2" xfId="14531" xr:uid="{E72EF434-9A11-415B-A273-7094CBF1BA42}"/>
    <cellStyle name="Normal 8 3 7 4" xfId="10313" xr:uid="{330418F0-DC3B-42FA-97F9-7356FE3E34F3}"/>
    <cellStyle name="Normal 8 3 8" xfId="2207" xr:uid="{00000000-0005-0000-0000-0000C81D0000}"/>
    <cellStyle name="Normal 8 3 8 2" xfId="4436" xr:uid="{00000000-0005-0000-0000-0000C91D0000}"/>
    <cellStyle name="Normal 8 3 8 2 2" xfId="8660" xr:uid="{00000000-0005-0000-0000-0000CA1D0000}"/>
    <cellStyle name="Normal 8 3 8 2 2 2" xfId="17089" xr:uid="{BE13F197-11AF-46F5-B49E-6194A01B1385}"/>
    <cellStyle name="Normal 8 3 8 2 3" xfId="12871" xr:uid="{C635E0BA-B1BF-4978-B3A5-148EA840622E}"/>
    <cellStyle name="Normal 8 3 8 3" xfId="6515" xr:uid="{00000000-0005-0000-0000-0000CB1D0000}"/>
    <cellStyle name="Normal 8 3 8 3 2" xfId="14944" xr:uid="{CD6FC6DC-0F1D-4010-AB85-D28E057465EE}"/>
    <cellStyle name="Normal 8 3 8 4" xfId="10726" xr:uid="{A310B8B2-7EA6-48A1-BB99-BB0E1B799655}"/>
    <cellStyle name="Normal 8 3 9" xfId="2643" xr:uid="{00000000-0005-0000-0000-0000CC1D0000}"/>
    <cellStyle name="Normal 8 3 9 2" xfId="6928" xr:uid="{00000000-0005-0000-0000-0000CD1D0000}"/>
    <cellStyle name="Normal 8 3 9 2 2" xfId="15357" xr:uid="{7AF66112-4880-41D2-BE8A-429CB82190A2}"/>
    <cellStyle name="Normal 8 3 9 3" xfId="11139" xr:uid="{C8C4C0FB-1833-42FE-910B-0651244CF6C6}"/>
    <cellStyle name="Normal 8 4" xfId="503" xr:uid="{00000000-0005-0000-0000-0000CE1D0000}"/>
    <cellStyle name="Normal 8 4 10" xfId="9082" xr:uid="{2E3F3EEA-CBEA-4E5F-AF49-60F396BE2162}"/>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2 2 2" xfId="15860" xr:uid="{4FAEA753-64BD-45A6-9C40-50E2341475BE}"/>
    <cellStyle name="Normal 8 4 2 2 2 2 3" xfId="11642" xr:uid="{A2184EDD-D726-4537-9469-A793B91D6C76}"/>
    <cellStyle name="Normal 8 4 2 2 2 3" xfId="5286" xr:uid="{00000000-0005-0000-0000-0000D41D0000}"/>
    <cellStyle name="Normal 8 4 2 2 2 3 2" xfId="13715" xr:uid="{067EE2E1-8C08-4759-88A7-3F4606C354BE}"/>
    <cellStyle name="Normal 8 4 2 2 2 4" xfId="9497" xr:uid="{7D01CE33-8035-4838-83CE-69BFB68399B2}"/>
    <cellStyle name="Normal 8 4 2 2 3" xfId="1390" xr:uid="{00000000-0005-0000-0000-0000D51D0000}"/>
    <cellStyle name="Normal 8 4 2 2 3 2" xfId="3620" xr:uid="{00000000-0005-0000-0000-0000D61D0000}"/>
    <cellStyle name="Normal 8 4 2 2 3 2 2" xfId="7844" xr:uid="{00000000-0005-0000-0000-0000D71D0000}"/>
    <cellStyle name="Normal 8 4 2 2 3 2 2 2" xfId="16273" xr:uid="{D1CDFCFE-7CF8-4E6F-B68B-2193D9B6AABA}"/>
    <cellStyle name="Normal 8 4 2 2 3 2 3" xfId="12055" xr:uid="{F29F0000-62CA-42E1-A539-C33A5B20BD32}"/>
    <cellStyle name="Normal 8 4 2 2 3 3" xfId="5699" xr:uid="{00000000-0005-0000-0000-0000D81D0000}"/>
    <cellStyle name="Normal 8 4 2 2 3 3 2" xfId="14128" xr:uid="{16256050-03D3-4DB0-8A97-BD4FB0781A74}"/>
    <cellStyle name="Normal 8 4 2 2 3 4" xfId="9910" xr:uid="{36DD8150-DA85-44A3-A985-1975D707951D}"/>
    <cellStyle name="Normal 8 4 2 2 4" xfId="1803" xr:uid="{00000000-0005-0000-0000-0000D91D0000}"/>
    <cellStyle name="Normal 8 4 2 2 4 2" xfId="4033" xr:uid="{00000000-0005-0000-0000-0000DA1D0000}"/>
    <cellStyle name="Normal 8 4 2 2 4 2 2" xfId="8257" xr:uid="{00000000-0005-0000-0000-0000DB1D0000}"/>
    <cellStyle name="Normal 8 4 2 2 4 2 2 2" xfId="16686" xr:uid="{3D2DBC56-9702-4981-BCED-287E940FCA49}"/>
    <cellStyle name="Normal 8 4 2 2 4 2 3" xfId="12468" xr:uid="{1A9C6A68-5919-493E-BC64-1E7E891481F3}"/>
    <cellStyle name="Normal 8 4 2 2 4 3" xfId="6112" xr:uid="{00000000-0005-0000-0000-0000DC1D0000}"/>
    <cellStyle name="Normal 8 4 2 2 4 3 2" xfId="14541" xr:uid="{AF6D4520-5618-479E-82D1-9FD5D9491D29}"/>
    <cellStyle name="Normal 8 4 2 2 4 4" xfId="10323" xr:uid="{B510D089-3A89-49DA-8BE2-157F8FD6E1EB}"/>
    <cellStyle name="Normal 8 4 2 2 5" xfId="2217" xr:uid="{00000000-0005-0000-0000-0000DD1D0000}"/>
    <cellStyle name="Normal 8 4 2 2 5 2" xfId="4446" xr:uid="{00000000-0005-0000-0000-0000DE1D0000}"/>
    <cellStyle name="Normal 8 4 2 2 5 2 2" xfId="8670" xr:uid="{00000000-0005-0000-0000-0000DF1D0000}"/>
    <cellStyle name="Normal 8 4 2 2 5 2 2 2" xfId="17099" xr:uid="{F5D5D9B7-B80D-4406-8A2D-6087FEF0F4CE}"/>
    <cellStyle name="Normal 8 4 2 2 5 2 3" xfId="12881" xr:uid="{FD7761AF-97B3-41A9-A4BA-DA73959988A8}"/>
    <cellStyle name="Normal 8 4 2 2 5 3" xfId="6525" xr:uid="{00000000-0005-0000-0000-0000E01D0000}"/>
    <cellStyle name="Normal 8 4 2 2 5 3 2" xfId="14954" xr:uid="{6781A763-A02A-46B1-AABE-277CCDEE99E7}"/>
    <cellStyle name="Normal 8 4 2 2 5 4" xfId="10736" xr:uid="{A620DD41-8554-4166-9FC3-363F232161BB}"/>
    <cellStyle name="Normal 8 4 2 2 6" xfId="2653" xr:uid="{00000000-0005-0000-0000-0000E11D0000}"/>
    <cellStyle name="Normal 8 4 2 2 6 2" xfId="6938" xr:uid="{00000000-0005-0000-0000-0000E21D0000}"/>
    <cellStyle name="Normal 8 4 2 2 6 2 2" xfId="15367" xr:uid="{108CDFF7-E271-4435-AB17-11966AF038DE}"/>
    <cellStyle name="Normal 8 4 2 2 6 3" xfId="11149" xr:uid="{46F6BFD6-2331-4583-8884-606D761286A6}"/>
    <cellStyle name="Normal 8 4 2 2 7" xfId="4873" xr:uid="{00000000-0005-0000-0000-0000E31D0000}"/>
    <cellStyle name="Normal 8 4 2 2 7 2" xfId="13302" xr:uid="{06A80FFF-22AF-43DB-B24A-CB93B3C03A9F}"/>
    <cellStyle name="Normal 8 4 2 2 8" xfId="9084" xr:uid="{5E01E84F-8687-450E-B1FE-000AD61ABF58}"/>
    <cellStyle name="Normal 8 4 2 3" xfId="972" xr:uid="{00000000-0005-0000-0000-0000E41D0000}"/>
    <cellStyle name="Normal 8 4 2 3 2" xfId="3206" xr:uid="{00000000-0005-0000-0000-0000E51D0000}"/>
    <cellStyle name="Normal 8 4 2 3 2 2" xfId="7430" xr:uid="{00000000-0005-0000-0000-0000E61D0000}"/>
    <cellStyle name="Normal 8 4 2 3 2 2 2" xfId="15859" xr:uid="{86C8FDFD-255E-47BA-B9CE-126577AA18C7}"/>
    <cellStyle name="Normal 8 4 2 3 2 3" xfId="11641" xr:uid="{F53F08F2-D661-444C-8F9F-AF014651D042}"/>
    <cellStyle name="Normal 8 4 2 3 3" xfId="5285" xr:uid="{00000000-0005-0000-0000-0000E71D0000}"/>
    <cellStyle name="Normal 8 4 2 3 3 2" xfId="13714" xr:uid="{A1DA4261-81BB-47A0-B190-5E063A3A0BF7}"/>
    <cellStyle name="Normal 8 4 2 3 4" xfId="9496" xr:uid="{E02E1FEB-D3CF-4F73-95BF-725F8823C922}"/>
    <cellStyle name="Normal 8 4 2 4" xfId="1389" xr:uid="{00000000-0005-0000-0000-0000E81D0000}"/>
    <cellStyle name="Normal 8 4 2 4 2" xfId="3619" xr:uid="{00000000-0005-0000-0000-0000E91D0000}"/>
    <cellStyle name="Normal 8 4 2 4 2 2" xfId="7843" xr:uid="{00000000-0005-0000-0000-0000EA1D0000}"/>
    <cellStyle name="Normal 8 4 2 4 2 2 2" xfId="16272" xr:uid="{7D4FCA9B-E786-413F-821B-85D75B3D787B}"/>
    <cellStyle name="Normal 8 4 2 4 2 3" xfId="12054" xr:uid="{405D308C-6763-4D9C-88DF-9CECE576AC6C}"/>
    <cellStyle name="Normal 8 4 2 4 3" xfId="5698" xr:uid="{00000000-0005-0000-0000-0000EB1D0000}"/>
    <cellStyle name="Normal 8 4 2 4 3 2" xfId="14127" xr:uid="{5868F865-6308-4734-BA88-B188E7241805}"/>
    <cellStyle name="Normal 8 4 2 4 4" xfId="9909" xr:uid="{EA9B0811-72C5-4319-AC6A-CFCF5C136A65}"/>
    <cellStyle name="Normal 8 4 2 5" xfId="1802" xr:uid="{00000000-0005-0000-0000-0000EC1D0000}"/>
    <cellStyle name="Normal 8 4 2 5 2" xfId="4032" xr:uid="{00000000-0005-0000-0000-0000ED1D0000}"/>
    <cellStyle name="Normal 8 4 2 5 2 2" xfId="8256" xr:uid="{00000000-0005-0000-0000-0000EE1D0000}"/>
    <cellStyle name="Normal 8 4 2 5 2 2 2" xfId="16685" xr:uid="{556A3ECF-40E8-4449-8CEF-310D575570E4}"/>
    <cellStyle name="Normal 8 4 2 5 2 3" xfId="12467" xr:uid="{ABB3E48A-2464-4339-ABD4-DA920A5D5D12}"/>
    <cellStyle name="Normal 8 4 2 5 3" xfId="6111" xr:uid="{00000000-0005-0000-0000-0000EF1D0000}"/>
    <cellStyle name="Normal 8 4 2 5 3 2" xfId="14540" xr:uid="{CF726B27-25F9-41CE-9BCA-6DA54E385665}"/>
    <cellStyle name="Normal 8 4 2 5 4" xfId="10322" xr:uid="{93424CC1-E7CC-4467-AF84-B93754457287}"/>
    <cellStyle name="Normal 8 4 2 6" xfId="2216" xr:uid="{00000000-0005-0000-0000-0000F01D0000}"/>
    <cellStyle name="Normal 8 4 2 6 2" xfId="4445" xr:uid="{00000000-0005-0000-0000-0000F11D0000}"/>
    <cellStyle name="Normal 8 4 2 6 2 2" xfId="8669" xr:uid="{00000000-0005-0000-0000-0000F21D0000}"/>
    <cellStyle name="Normal 8 4 2 6 2 2 2" xfId="17098" xr:uid="{0DDCFB04-CD15-4D5C-921B-7692AFAC617F}"/>
    <cellStyle name="Normal 8 4 2 6 2 3" xfId="12880" xr:uid="{4179C09B-AD0D-4A04-9EAA-20A307C979BE}"/>
    <cellStyle name="Normal 8 4 2 6 3" xfId="6524" xr:uid="{00000000-0005-0000-0000-0000F31D0000}"/>
    <cellStyle name="Normal 8 4 2 6 3 2" xfId="14953" xr:uid="{A34826C0-06E2-46FA-8E08-D3112F6D9715}"/>
    <cellStyle name="Normal 8 4 2 6 4" xfId="10735" xr:uid="{D049C278-1A70-43E0-9B1C-294C31D7B855}"/>
    <cellStyle name="Normal 8 4 2 7" xfId="2652" xr:uid="{00000000-0005-0000-0000-0000F41D0000}"/>
    <cellStyle name="Normal 8 4 2 7 2" xfId="6937" xr:uid="{00000000-0005-0000-0000-0000F51D0000}"/>
    <cellStyle name="Normal 8 4 2 7 2 2" xfId="15366" xr:uid="{20EB012F-8F9A-47FA-962C-F9EE06450090}"/>
    <cellStyle name="Normal 8 4 2 7 3" xfId="11148" xr:uid="{087F1DBF-C40F-426F-87E3-7D336760E9F9}"/>
    <cellStyle name="Normal 8 4 2 8" xfId="4872" xr:uid="{00000000-0005-0000-0000-0000F61D0000}"/>
    <cellStyle name="Normal 8 4 2 8 2" xfId="13301" xr:uid="{5A5F67A0-7C77-4731-8004-272E5980B173}"/>
    <cellStyle name="Normal 8 4 2 9" xfId="9083" xr:uid="{63AD5E13-F8F4-47A0-9F06-16541ABE431D}"/>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2 2 2" xfId="15861" xr:uid="{C831ECE0-908E-49B1-A8A5-82B81794D2A6}"/>
    <cellStyle name="Normal 8 4 3 2 2 3" xfId="11643" xr:uid="{604B20E7-7E8D-4961-A7CA-B7F084B84485}"/>
    <cellStyle name="Normal 8 4 3 2 3" xfId="5287" xr:uid="{00000000-0005-0000-0000-0000FB1D0000}"/>
    <cellStyle name="Normal 8 4 3 2 3 2" xfId="13716" xr:uid="{50B78907-9BF9-49EB-AF46-3C0428D7394B}"/>
    <cellStyle name="Normal 8 4 3 2 4" xfId="9498" xr:uid="{7DBA90D4-96A0-4CB9-8A4D-60AF53E5E4DC}"/>
    <cellStyle name="Normal 8 4 3 3" xfId="1391" xr:uid="{00000000-0005-0000-0000-0000FC1D0000}"/>
    <cellStyle name="Normal 8 4 3 3 2" xfId="3621" xr:uid="{00000000-0005-0000-0000-0000FD1D0000}"/>
    <cellStyle name="Normal 8 4 3 3 2 2" xfId="7845" xr:uid="{00000000-0005-0000-0000-0000FE1D0000}"/>
    <cellStyle name="Normal 8 4 3 3 2 2 2" xfId="16274" xr:uid="{7587308B-847A-41E7-B670-DECA398933AB}"/>
    <cellStyle name="Normal 8 4 3 3 2 3" xfId="12056" xr:uid="{B6898EC0-5A17-49A2-BBD2-14B6D2778B4C}"/>
    <cellStyle name="Normal 8 4 3 3 3" xfId="5700" xr:uid="{00000000-0005-0000-0000-0000FF1D0000}"/>
    <cellStyle name="Normal 8 4 3 3 3 2" xfId="14129" xr:uid="{C93C7197-14F4-4F0B-869D-99922D3DE39D}"/>
    <cellStyle name="Normal 8 4 3 3 4" xfId="9911" xr:uid="{ADF94F2B-2E89-4DE7-9F28-611F648487F8}"/>
    <cellStyle name="Normal 8 4 3 4" xfId="1804" xr:uid="{00000000-0005-0000-0000-0000001E0000}"/>
    <cellStyle name="Normal 8 4 3 4 2" xfId="4034" xr:uid="{00000000-0005-0000-0000-0000011E0000}"/>
    <cellStyle name="Normal 8 4 3 4 2 2" xfId="8258" xr:uid="{00000000-0005-0000-0000-0000021E0000}"/>
    <cellStyle name="Normal 8 4 3 4 2 2 2" xfId="16687" xr:uid="{F476E00F-F0A4-4394-A49D-B74EB87EF11F}"/>
    <cellStyle name="Normal 8 4 3 4 2 3" xfId="12469" xr:uid="{2DE1749C-C6BF-4E9D-8E2A-EE7DECA78D24}"/>
    <cellStyle name="Normal 8 4 3 4 3" xfId="6113" xr:uid="{00000000-0005-0000-0000-0000031E0000}"/>
    <cellStyle name="Normal 8 4 3 4 3 2" xfId="14542" xr:uid="{2A0D4887-2451-41D9-A556-00494F6EF82E}"/>
    <cellStyle name="Normal 8 4 3 4 4" xfId="10324" xr:uid="{CE7D6FCF-58FE-4FC8-BD3B-2398BD37D387}"/>
    <cellStyle name="Normal 8 4 3 5" xfId="2218" xr:uid="{00000000-0005-0000-0000-0000041E0000}"/>
    <cellStyle name="Normal 8 4 3 5 2" xfId="4447" xr:uid="{00000000-0005-0000-0000-0000051E0000}"/>
    <cellStyle name="Normal 8 4 3 5 2 2" xfId="8671" xr:uid="{00000000-0005-0000-0000-0000061E0000}"/>
    <cellStyle name="Normal 8 4 3 5 2 2 2" xfId="17100" xr:uid="{37DB2E91-D069-4016-94AE-8987CE9DA421}"/>
    <cellStyle name="Normal 8 4 3 5 2 3" xfId="12882" xr:uid="{104D3A7F-F865-4D18-A42C-CABD5AF83FD6}"/>
    <cellStyle name="Normal 8 4 3 5 3" xfId="6526" xr:uid="{00000000-0005-0000-0000-0000071E0000}"/>
    <cellStyle name="Normal 8 4 3 5 3 2" xfId="14955" xr:uid="{3C6EC47A-6351-47A9-9442-D033CE9A36F9}"/>
    <cellStyle name="Normal 8 4 3 5 4" xfId="10737" xr:uid="{16FE7194-9753-4AB8-81A4-74C2F9A3A792}"/>
    <cellStyle name="Normal 8 4 3 6" xfId="2654" xr:uid="{00000000-0005-0000-0000-0000081E0000}"/>
    <cellStyle name="Normal 8 4 3 6 2" xfId="6939" xr:uid="{00000000-0005-0000-0000-0000091E0000}"/>
    <cellStyle name="Normal 8 4 3 6 2 2" xfId="15368" xr:uid="{D31FED9B-9921-43A9-9D97-4BD230299A2B}"/>
    <cellStyle name="Normal 8 4 3 6 3" xfId="11150" xr:uid="{CB3B1F0F-999C-42A2-8A3F-E94CBF7EE074}"/>
    <cellStyle name="Normal 8 4 3 7" xfId="4874" xr:uid="{00000000-0005-0000-0000-00000A1E0000}"/>
    <cellStyle name="Normal 8 4 3 7 2" xfId="13303" xr:uid="{0A78B71B-510D-4558-9815-6AB8C14E89D2}"/>
    <cellStyle name="Normal 8 4 3 8" xfId="9085" xr:uid="{9B4CC453-91EE-461E-8A6C-0BB970E61CC0}"/>
    <cellStyle name="Normal 8 4 4" xfId="971" xr:uid="{00000000-0005-0000-0000-00000B1E0000}"/>
    <cellStyle name="Normal 8 4 4 2" xfId="3205" xr:uid="{00000000-0005-0000-0000-00000C1E0000}"/>
    <cellStyle name="Normal 8 4 4 2 2" xfId="7429" xr:uid="{00000000-0005-0000-0000-00000D1E0000}"/>
    <cellStyle name="Normal 8 4 4 2 2 2" xfId="15858" xr:uid="{308741B2-2DDA-48D8-A109-B59E96BABFA5}"/>
    <cellStyle name="Normal 8 4 4 2 3" xfId="11640" xr:uid="{9EBD6E31-4466-4A61-AB80-2F2BCE8F1FBF}"/>
    <cellStyle name="Normal 8 4 4 3" xfId="5284" xr:uid="{00000000-0005-0000-0000-00000E1E0000}"/>
    <cellStyle name="Normal 8 4 4 3 2" xfId="13713" xr:uid="{94F26E1D-5882-444F-A2B0-BC6F0DF4C0C0}"/>
    <cellStyle name="Normal 8 4 4 4" xfId="9495" xr:uid="{7D077531-03DB-4166-8875-C1252D86D85F}"/>
    <cellStyle name="Normal 8 4 5" xfId="1388" xr:uid="{00000000-0005-0000-0000-00000F1E0000}"/>
    <cellStyle name="Normal 8 4 5 2" xfId="3618" xr:uid="{00000000-0005-0000-0000-0000101E0000}"/>
    <cellStyle name="Normal 8 4 5 2 2" xfId="7842" xr:uid="{00000000-0005-0000-0000-0000111E0000}"/>
    <cellStyle name="Normal 8 4 5 2 2 2" xfId="16271" xr:uid="{8E8F0733-815C-43AF-80E6-4136D4EBF046}"/>
    <cellStyle name="Normal 8 4 5 2 3" xfId="12053" xr:uid="{14709940-E902-4D0C-AEDD-13E2058CAA33}"/>
    <cellStyle name="Normal 8 4 5 3" xfId="5697" xr:uid="{00000000-0005-0000-0000-0000121E0000}"/>
    <cellStyle name="Normal 8 4 5 3 2" xfId="14126" xr:uid="{5C51649A-FDB1-47F8-A17A-9B9AC4587102}"/>
    <cellStyle name="Normal 8 4 5 4" xfId="9908" xr:uid="{EE56DB55-C6C1-4CD7-8FAF-8A73F4587FE7}"/>
    <cellStyle name="Normal 8 4 6" xfId="1801" xr:uid="{00000000-0005-0000-0000-0000131E0000}"/>
    <cellStyle name="Normal 8 4 6 2" xfId="4031" xr:uid="{00000000-0005-0000-0000-0000141E0000}"/>
    <cellStyle name="Normal 8 4 6 2 2" xfId="8255" xr:uid="{00000000-0005-0000-0000-0000151E0000}"/>
    <cellStyle name="Normal 8 4 6 2 2 2" xfId="16684" xr:uid="{B8DE937C-7BCC-4590-89FC-877F5AAA6B47}"/>
    <cellStyle name="Normal 8 4 6 2 3" xfId="12466" xr:uid="{DD0899C9-F21A-4D14-8E9A-6CA123A96F3F}"/>
    <cellStyle name="Normal 8 4 6 3" xfId="6110" xr:uid="{00000000-0005-0000-0000-0000161E0000}"/>
    <cellStyle name="Normal 8 4 6 3 2" xfId="14539" xr:uid="{23AB7FF9-1823-48D4-A44E-7ED75D66E2DB}"/>
    <cellStyle name="Normal 8 4 6 4" xfId="10321" xr:uid="{5598EC02-0AEA-4C49-B9E8-90C93A2FF87E}"/>
    <cellStyle name="Normal 8 4 7" xfId="2215" xr:uid="{00000000-0005-0000-0000-0000171E0000}"/>
    <cellStyle name="Normal 8 4 7 2" xfId="4444" xr:uid="{00000000-0005-0000-0000-0000181E0000}"/>
    <cellStyle name="Normal 8 4 7 2 2" xfId="8668" xr:uid="{00000000-0005-0000-0000-0000191E0000}"/>
    <cellStyle name="Normal 8 4 7 2 2 2" xfId="17097" xr:uid="{646B97D5-5F1F-4FAC-9969-789A48E5E679}"/>
    <cellStyle name="Normal 8 4 7 2 3" xfId="12879" xr:uid="{78B51C0A-B8D4-4F96-8C3E-F79D8CA8557C}"/>
    <cellStyle name="Normal 8 4 7 3" xfId="6523" xr:uid="{00000000-0005-0000-0000-00001A1E0000}"/>
    <cellStyle name="Normal 8 4 7 3 2" xfId="14952" xr:uid="{04DB9A4F-9348-4ED4-B2ED-7512B7E896FF}"/>
    <cellStyle name="Normal 8 4 7 4" xfId="10734" xr:uid="{5E070575-0150-4B1C-BD71-AA53A5DCD523}"/>
    <cellStyle name="Normal 8 4 8" xfId="2651" xr:uid="{00000000-0005-0000-0000-00001B1E0000}"/>
    <cellStyle name="Normal 8 4 8 2" xfId="6936" xr:uid="{00000000-0005-0000-0000-00001C1E0000}"/>
    <cellStyle name="Normal 8 4 8 2 2" xfId="15365" xr:uid="{0D33B8D3-FF61-47CA-9D62-79A9031A5FD3}"/>
    <cellStyle name="Normal 8 4 8 3" xfId="11147" xr:uid="{020EF4EE-D659-409E-A275-B11F16086474}"/>
    <cellStyle name="Normal 8 4 9" xfId="4871" xr:uid="{00000000-0005-0000-0000-00001D1E0000}"/>
    <cellStyle name="Normal 8 4 9 2" xfId="13300" xr:uid="{A237D93D-BC91-432E-B53E-0676EE2960ED}"/>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2 2 2" xfId="15863" xr:uid="{D4624480-05DF-491C-8723-FF145CB2C49E}"/>
    <cellStyle name="Normal 8 5 2 2 2 3" xfId="11645" xr:uid="{E6DE19EA-BCF4-4A75-B5D7-1E5124F3E1CC}"/>
    <cellStyle name="Normal 8 5 2 2 3" xfId="5289" xr:uid="{00000000-0005-0000-0000-0000231E0000}"/>
    <cellStyle name="Normal 8 5 2 2 3 2" xfId="13718" xr:uid="{22CDD5E9-A657-460A-AE00-11F14F1ECEDC}"/>
    <cellStyle name="Normal 8 5 2 2 4" xfId="9500" xr:uid="{23C134E1-B9A8-48E2-BF1D-2A6337A70163}"/>
    <cellStyle name="Normal 8 5 2 3" xfId="1393" xr:uid="{00000000-0005-0000-0000-0000241E0000}"/>
    <cellStyle name="Normal 8 5 2 3 2" xfId="3623" xr:uid="{00000000-0005-0000-0000-0000251E0000}"/>
    <cellStyle name="Normal 8 5 2 3 2 2" xfId="7847" xr:uid="{00000000-0005-0000-0000-0000261E0000}"/>
    <cellStyle name="Normal 8 5 2 3 2 2 2" xfId="16276" xr:uid="{B4F1964C-16B3-4BED-8700-340917D77F50}"/>
    <cellStyle name="Normal 8 5 2 3 2 3" xfId="12058" xr:uid="{3A9C644C-9771-4254-8024-C98A1B127F97}"/>
    <cellStyle name="Normal 8 5 2 3 3" xfId="5702" xr:uid="{00000000-0005-0000-0000-0000271E0000}"/>
    <cellStyle name="Normal 8 5 2 3 3 2" xfId="14131" xr:uid="{77BEADEE-39A4-4739-826E-D72D5C9C2B3E}"/>
    <cellStyle name="Normal 8 5 2 3 4" xfId="9913" xr:uid="{84A0A5F6-6B54-46CD-9601-82473A6D19FA}"/>
    <cellStyle name="Normal 8 5 2 4" xfId="1806" xr:uid="{00000000-0005-0000-0000-0000281E0000}"/>
    <cellStyle name="Normal 8 5 2 4 2" xfId="4036" xr:uid="{00000000-0005-0000-0000-0000291E0000}"/>
    <cellStyle name="Normal 8 5 2 4 2 2" xfId="8260" xr:uid="{00000000-0005-0000-0000-00002A1E0000}"/>
    <cellStyle name="Normal 8 5 2 4 2 2 2" xfId="16689" xr:uid="{618C5BDC-9FE0-4F26-A99C-FD02443466D6}"/>
    <cellStyle name="Normal 8 5 2 4 2 3" xfId="12471" xr:uid="{11019E74-76C5-4FD7-8B13-065C97BA990F}"/>
    <cellStyle name="Normal 8 5 2 4 3" xfId="6115" xr:uid="{00000000-0005-0000-0000-00002B1E0000}"/>
    <cellStyle name="Normal 8 5 2 4 3 2" xfId="14544" xr:uid="{49657450-8963-457B-9B23-00321B833CE0}"/>
    <cellStyle name="Normal 8 5 2 4 4" xfId="10326" xr:uid="{20E27AF5-8118-4FEA-B587-750B9A32EE83}"/>
    <cellStyle name="Normal 8 5 2 5" xfId="2220" xr:uid="{00000000-0005-0000-0000-00002C1E0000}"/>
    <cellStyle name="Normal 8 5 2 5 2" xfId="4449" xr:uid="{00000000-0005-0000-0000-00002D1E0000}"/>
    <cellStyle name="Normal 8 5 2 5 2 2" xfId="8673" xr:uid="{00000000-0005-0000-0000-00002E1E0000}"/>
    <cellStyle name="Normal 8 5 2 5 2 2 2" xfId="17102" xr:uid="{1C66BF79-919A-4B5C-8E69-E9FF21FBF572}"/>
    <cellStyle name="Normal 8 5 2 5 2 3" xfId="12884" xr:uid="{CE2791FE-48B8-4BBC-A131-C656D262EA7E}"/>
    <cellStyle name="Normal 8 5 2 5 3" xfId="6528" xr:uid="{00000000-0005-0000-0000-00002F1E0000}"/>
    <cellStyle name="Normal 8 5 2 5 3 2" xfId="14957" xr:uid="{B5EC27CD-7231-4AEB-AA03-2985629CE00D}"/>
    <cellStyle name="Normal 8 5 2 5 4" xfId="10739" xr:uid="{FB8458E6-3BDE-4D98-9CB2-53BB17AC5B4E}"/>
    <cellStyle name="Normal 8 5 2 6" xfId="2656" xr:uid="{00000000-0005-0000-0000-0000301E0000}"/>
    <cellStyle name="Normal 8 5 2 6 2" xfId="6941" xr:uid="{00000000-0005-0000-0000-0000311E0000}"/>
    <cellStyle name="Normal 8 5 2 6 2 2" xfId="15370" xr:uid="{E7A2A80F-2496-4724-8209-A86B636E6638}"/>
    <cellStyle name="Normal 8 5 2 6 3" xfId="11152" xr:uid="{E03956F4-4042-4EFC-A2F2-6F22B7040C64}"/>
    <cellStyle name="Normal 8 5 2 7" xfId="4876" xr:uid="{00000000-0005-0000-0000-0000321E0000}"/>
    <cellStyle name="Normal 8 5 2 7 2" xfId="13305" xr:uid="{3F17FF0A-690E-421A-A556-BB7E527DC29C}"/>
    <cellStyle name="Normal 8 5 2 8" xfId="9087" xr:uid="{10BC2402-0596-463F-A013-DCFEF78D94E4}"/>
    <cellStyle name="Normal 8 5 3" xfId="975" xr:uid="{00000000-0005-0000-0000-0000331E0000}"/>
    <cellStyle name="Normal 8 5 3 2" xfId="3209" xr:uid="{00000000-0005-0000-0000-0000341E0000}"/>
    <cellStyle name="Normal 8 5 3 2 2" xfId="7433" xr:uid="{00000000-0005-0000-0000-0000351E0000}"/>
    <cellStyle name="Normal 8 5 3 2 2 2" xfId="15862" xr:uid="{A8664B29-4C76-482C-9DB5-59925CD365F6}"/>
    <cellStyle name="Normal 8 5 3 2 3" xfId="11644" xr:uid="{5E0BD3B5-B9C6-4682-89EC-31BADC44ED58}"/>
    <cellStyle name="Normal 8 5 3 3" xfId="5288" xr:uid="{00000000-0005-0000-0000-0000361E0000}"/>
    <cellStyle name="Normal 8 5 3 3 2" xfId="13717" xr:uid="{681611EA-C121-4385-834B-B8D712AE7DD4}"/>
    <cellStyle name="Normal 8 5 3 4" xfId="9499" xr:uid="{3F9ABDD2-8B04-410F-814B-B08431A7E1A7}"/>
    <cellStyle name="Normal 8 5 4" xfId="1392" xr:uid="{00000000-0005-0000-0000-0000371E0000}"/>
    <cellStyle name="Normal 8 5 4 2" xfId="3622" xr:uid="{00000000-0005-0000-0000-0000381E0000}"/>
    <cellStyle name="Normal 8 5 4 2 2" xfId="7846" xr:uid="{00000000-0005-0000-0000-0000391E0000}"/>
    <cellStyle name="Normal 8 5 4 2 2 2" xfId="16275" xr:uid="{8F802F81-8F76-4CC0-B62E-240558EFF5A0}"/>
    <cellStyle name="Normal 8 5 4 2 3" xfId="12057" xr:uid="{5644180B-548A-4797-B7EA-0CDC6E539453}"/>
    <cellStyle name="Normal 8 5 4 3" xfId="5701" xr:uid="{00000000-0005-0000-0000-00003A1E0000}"/>
    <cellStyle name="Normal 8 5 4 3 2" xfId="14130" xr:uid="{FB3A85ED-AFEB-4E8F-B9D6-89609920366E}"/>
    <cellStyle name="Normal 8 5 4 4" xfId="9912" xr:uid="{39937350-4DC4-4DCD-A987-CEA262B9DA29}"/>
    <cellStyle name="Normal 8 5 5" xfId="1805" xr:uid="{00000000-0005-0000-0000-00003B1E0000}"/>
    <cellStyle name="Normal 8 5 5 2" xfId="4035" xr:uid="{00000000-0005-0000-0000-00003C1E0000}"/>
    <cellStyle name="Normal 8 5 5 2 2" xfId="8259" xr:uid="{00000000-0005-0000-0000-00003D1E0000}"/>
    <cellStyle name="Normal 8 5 5 2 2 2" xfId="16688" xr:uid="{48F262C4-C718-439D-A53B-E04FB6303283}"/>
    <cellStyle name="Normal 8 5 5 2 3" xfId="12470" xr:uid="{F0A9BACB-3867-4746-B53D-FB410FE938F0}"/>
    <cellStyle name="Normal 8 5 5 3" xfId="6114" xr:uid="{00000000-0005-0000-0000-00003E1E0000}"/>
    <cellStyle name="Normal 8 5 5 3 2" xfId="14543" xr:uid="{B719E39E-0B8B-40C4-9F15-7F281649C369}"/>
    <cellStyle name="Normal 8 5 5 4" xfId="10325" xr:uid="{1953995F-176B-48EF-996A-C38D63B46F0E}"/>
    <cellStyle name="Normal 8 5 6" xfId="2219" xr:uid="{00000000-0005-0000-0000-00003F1E0000}"/>
    <cellStyle name="Normal 8 5 6 2" xfId="4448" xr:uid="{00000000-0005-0000-0000-0000401E0000}"/>
    <cellStyle name="Normal 8 5 6 2 2" xfId="8672" xr:uid="{00000000-0005-0000-0000-0000411E0000}"/>
    <cellStyle name="Normal 8 5 6 2 2 2" xfId="17101" xr:uid="{D3A0E370-F5AC-49F9-A9BA-7674C59A0A52}"/>
    <cellStyle name="Normal 8 5 6 2 3" xfId="12883" xr:uid="{5EF60FD5-E344-41F3-934F-B9DB8FA962E9}"/>
    <cellStyle name="Normal 8 5 6 3" xfId="6527" xr:uid="{00000000-0005-0000-0000-0000421E0000}"/>
    <cellStyle name="Normal 8 5 6 3 2" xfId="14956" xr:uid="{539A5CF5-96BA-4BB2-A363-09E1E3C52AEF}"/>
    <cellStyle name="Normal 8 5 6 4" xfId="10738" xr:uid="{D0B838A2-16B6-417A-95D7-C68EFE4E9017}"/>
    <cellStyle name="Normal 8 5 7" xfId="2655" xr:uid="{00000000-0005-0000-0000-0000431E0000}"/>
    <cellStyle name="Normal 8 5 7 2" xfId="6940" xr:uid="{00000000-0005-0000-0000-0000441E0000}"/>
    <cellStyle name="Normal 8 5 7 2 2" xfId="15369" xr:uid="{FFA67A08-D624-45BB-A5B2-0CB5423A256C}"/>
    <cellStyle name="Normal 8 5 7 3" xfId="11151" xr:uid="{BEF8E5AE-4626-465B-895A-860781AA32B3}"/>
    <cellStyle name="Normal 8 5 8" xfId="4875" xr:uid="{00000000-0005-0000-0000-0000451E0000}"/>
    <cellStyle name="Normal 8 5 8 2" xfId="13304" xr:uid="{2B0372B2-B409-418D-B3B9-3D64872ACFDD}"/>
    <cellStyle name="Normal 8 5 9" xfId="9086" xr:uid="{BE458B8B-432B-45AC-B212-8827D0AA7F6C}"/>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2 2 2" xfId="15864" xr:uid="{1FD8C298-D3A2-4A18-9F53-2CCA48869164}"/>
    <cellStyle name="Normal 8 6 2 2 3" xfId="11646" xr:uid="{7F73A1CF-1469-42D7-9D2A-70A67AA04E11}"/>
    <cellStyle name="Normal 8 6 2 3" xfId="5290" xr:uid="{00000000-0005-0000-0000-00004A1E0000}"/>
    <cellStyle name="Normal 8 6 2 3 2" xfId="13719" xr:uid="{70BBB43D-92DC-4C82-AAF5-FD9F3BA7E57B}"/>
    <cellStyle name="Normal 8 6 2 4" xfId="9501" xr:uid="{BFFF3660-0547-4446-8E6C-75FDCDB4F466}"/>
    <cellStyle name="Normal 8 6 3" xfId="1394" xr:uid="{00000000-0005-0000-0000-00004B1E0000}"/>
    <cellStyle name="Normal 8 6 3 2" xfId="3624" xr:uid="{00000000-0005-0000-0000-00004C1E0000}"/>
    <cellStyle name="Normal 8 6 3 2 2" xfId="7848" xr:uid="{00000000-0005-0000-0000-00004D1E0000}"/>
    <cellStyle name="Normal 8 6 3 2 2 2" xfId="16277" xr:uid="{91EA8654-6EE3-4C30-AB8B-5418159CB985}"/>
    <cellStyle name="Normal 8 6 3 2 3" xfId="12059" xr:uid="{8B4CF95B-A5EC-41B2-B0F0-C447E92A170C}"/>
    <cellStyle name="Normal 8 6 3 3" xfId="5703" xr:uid="{00000000-0005-0000-0000-00004E1E0000}"/>
    <cellStyle name="Normal 8 6 3 3 2" xfId="14132" xr:uid="{51FCAB3A-D3B8-4C57-A57A-618EA50B07C0}"/>
    <cellStyle name="Normal 8 6 3 4" xfId="9914" xr:uid="{4CA19C36-AE0B-4177-B702-B1E6EB12DEA5}"/>
    <cellStyle name="Normal 8 6 4" xfId="1807" xr:uid="{00000000-0005-0000-0000-00004F1E0000}"/>
    <cellStyle name="Normal 8 6 4 2" xfId="4037" xr:uid="{00000000-0005-0000-0000-0000501E0000}"/>
    <cellStyle name="Normal 8 6 4 2 2" xfId="8261" xr:uid="{00000000-0005-0000-0000-0000511E0000}"/>
    <cellStyle name="Normal 8 6 4 2 2 2" xfId="16690" xr:uid="{50523298-B08D-45DB-AC1C-19DC6EE622AF}"/>
    <cellStyle name="Normal 8 6 4 2 3" xfId="12472" xr:uid="{82F16766-82EB-445E-8694-3041DE576892}"/>
    <cellStyle name="Normal 8 6 4 3" xfId="6116" xr:uid="{00000000-0005-0000-0000-0000521E0000}"/>
    <cellStyle name="Normal 8 6 4 3 2" xfId="14545" xr:uid="{623B971F-F1F4-4A4D-B74C-86E54F09DF54}"/>
    <cellStyle name="Normal 8 6 4 4" xfId="10327" xr:uid="{F12EB6E9-12C3-46CF-AE33-1AD89A4C1CF3}"/>
    <cellStyle name="Normal 8 6 5" xfId="2221" xr:uid="{00000000-0005-0000-0000-0000531E0000}"/>
    <cellStyle name="Normal 8 6 5 2" xfId="4450" xr:uid="{00000000-0005-0000-0000-0000541E0000}"/>
    <cellStyle name="Normal 8 6 5 2 2" xfId="8674" xr:uid="{00000000-0005-0000-0000-0000551E0000}"/>
    <cellStyle name="Normal 8 6 5 2 2 2" xfId="17103" xr:uid="{046B9C4F-8FCD-46AD-B109-C7C829D31D0E}"/>
    <cellStyle name="Normal 8 6 5 2 3" xfId="12885" xr:uid="{D1884B7D-9247-491E-AF54-723ADAD80832}"/>
    <cellStyle name="Normal 8 6 5 3" xfId="6529" xr:uid="{00000000-0005-0000-0000-0000561E0000}"/>
    <cellStyle name="Normal 8 6 5 3 2" xfId="14958" xr:uid="{8B49F435-EF28-4D7B-8E11-275C1238ABBD}"/>
    <cellStyle name="Normal 8 6 5 4" xfId="10740" xr:uid="{13723996-76EA-4092-9529-299A3D9183A6}"/>
    <cellStyle name="Normal 8 6 6" xfId="2657" xr:uid="{00000000-0005-0000-0000-0000571E0000}"/>
    <cellStyle name="Normal 8 6 6 2" xfId="6942" xr:uid="{00000000-0005-0000-0000-0000581E0000}"/>
    <cellStyle name="Normal 8 6 6 2 2" xfId="15371" xr:uid="{E12F1FFF-8027-416D-8AB4-1DEAE5EBA4B8}"/>
    <cellStyle name="Normal 8 6 6 3" xfId="11153" xr:uid="{114003DE-5FC4-491A-BB83-3376543153F9}"/>
    <cellStyle name="Normal 8 6 7" xfId="4877" xr:uid="{00000000-0005-0000-0000-0000591E0000}"/>
    <cellStyle name="Normal 8 6 7 2" xfId="13306" xr:uid="{0542199A-7C43-4169-A5E2-4AD0701C88EE}"/>
    <cellStyle name="Normal 8 6 8" xfId="9088" xr:uid="{19B62484-26BA-498C-876F-57069054C3D3}"/>
    <cellStyle name="Normal 8 7" xfId="946" xr:uid="{00000000-0005-0000-0000-00005A1E0000}"/>
    <cellStyle name="Normal 8 7 2" xfId="3180" xr:uid="{00000000-0005-0000-0000-00005B1E0000}"/>
    <cellStyle name="Normal 8 7 2 2" xfId="7404" xr:uid="{00000000-0005-0000-0000-00005C1E0000}"/>
    <cellStyle name="Normal 8 7 2 2 2" xfId="15833" xr:uid="{E8415897-B116-4BE2-A3E0-F6ECA431F00E}"/>
    <cellStyle name="Normal 8 7 2 3" xfId="11615" xr:uid="{0FC62EB7-3328-46E7-A551-F41BBC7E0062}"/>
    <cellStyle name="Normal 8 7 3" xfId="5259" xr:uid="{00000000-0005-0000-0000-00005D1E0000}"/>
    <cellStyle name="Normal 8 7 3 2" xfId="13688" xr:uid="{F1CE3D8B-4A2B-42E0-BECC-87ACDB6DD939}"/>
    <cellStyle name="Normal 8 7 4" xfId="9470" xr:uid="{08D1F169-DAA2-4FF2-941A-AFF7F6A9C17B}"/>
    <cellStyle name="Normal 8 8" xfId="1363" xr:uid="{00000000-0005-0000-0000-00005E1E0000}"/>
    <cellStyle name="Normal 8 8 2" xfId="3593" xr:uid="{00000000-0005-0000-0000-00005F1E0000}"/>
    <cellStyle name="Normal 8 8 2 2" xfId="7817" xr:uid="{00000000-0005-0000-0000-0000601E0000}"/>
    <cellStyle name="Normal 8 8 2 2 2" xfId="16246" xr:uid="{C9B7410D-F32F-44AA-8C0B-279BE92F17D3}"/>
    <cellStyle name="Normal 8 8 2 3" xfId="12028" xr:uid="{B0A58EEA-B3E2-4536-9888-87FF38D87AFA}"/>
    <cellStyle name="Normal 8 8 3" xfId="5672" xr:uid="{00000000-0005-0000-0000-0000611E0000}"/>
    <cellStyle name="Normal 8 8 3 2" xfId="14101" xr:uid="{6C99E29D-97D8-42FE-BE0E-68F5BE8E5790}"/>
    <cellStyle name="Normal 8 8 4" xfId="9883" xr:uid="{87578623-1210-4BD0-A3C4-F7252A8308DE}"/>
    <cellStyle name="Normal 8 9" xfId="1776" xr:uid="{00000000-0005-0000-0000-0000621E0000}"/>
    <cellStyle name="Normal 8 9 2" xfId="4006" xr:uid="{00000000-0005-0000-0000-0000631E0000}"/>
    <cellStyle name="Normal 8 9 2 2" xfId="8230" xr:uid="{00000000-0005-0000-0000-0000641E0000}"/>
    <cellStyle name="Normal 8 9 2 2 2" xfId="16659" xr:uid="{E8A3851C-52DB-415D-B1D6-756CDABD0C89}"/>
    <cellStyle name="Normal 8 9 2 3" xfId="12441" xr:uid="{180EC826-90A1-4288-AE31-FF8E6D48AF70}"/>
    <cellStyle name="Normal 8 9 3" xfId="6085" xr:uid="{00000000-0005-0000-0000-0000651E0000}"/>
    <cellStyle name="Normal 8 9 3 2" xfId="14514" xr:uid="{7A0E2A89-32C0-4AFB-B628-0A0A8F1AB93A}"/>
    <cellStyle name="Normal 8 9 4" xfId="10296" xr:uid="{47ECADBB-1E0A-45C6-9C12-748A4E0F1E7F}"/>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0 2 2" xfId="15372" xr:uid="{128B090B-8261-463F-AA76-97F1DE2BB6C8}"/>
    <cellStyle name="Normal 9 2 10 3" xfId="11154" xr:uid="{C14FAA16-098F-413E-AFD8-D49FE6D37E95}"/>
    <cellStyle name="Normal 9 2 11" xfId="4878" xr:uid="{00000000-0005-0000-0000-00006A1E0000}"/>
    <cellStyle name="Normal 9 2 11 2" xfId="13307" xr:uid="{1A366569-F10C-4328-9AE8-9BA12CCA387C}"/>
    <cellStyle name="Normal 9 2 12" xfId="9089" xr:uid="{0E6052DF-9216-40FF-9684-0C05D5E015B0}"/>
    <cellStyle name="Normal 9 2 2" xfId="512" xr:uid="{00000000-0005-0000-0000-00006B1E0000}"/>
    <cellStyle name="Normal 9 2 2 10" xfId="4879" xr:uid="{00000000-0005-0000-0000-00006C1E0000}"/>
    <cellStyle name="Normal 9 2 2 10 2" xfId="13308" xr:uid="{19EE304C-17E4-4491-9D30-1A1F198A841A}"/>
    <cellStyle name="Normal 9 2 2 11" xfId="9090" xr:uid="{1428CB1C-0669-431F-9811-8F090D2D6794}"/>
    <cellStyle name="Normal 9 2 2 2" xfId="513" xr:uid="{00000000-0005-0000-0000-00006D1E0000}"/>
    <cellStyle name="Normal 9 2 2 2 10" xfId="9091" xr:uid="{272617D3-1429-4103-BD37-A667AD0EBE79}"/>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2 2 2" xfId="15869" xr:uid="{155511F8-31F5-4774-A9AA-5698E1C3D8EE}"/>
    <cellStyle name="Normal 9 2 2 2 2 2 2 2 3" xfId="11651" xr:uid="{1AE77B8D-3EC4-4527-B954-0FDB472A46DF}"/>
    <cellStyle name="Normal 9 2 2 2 2 2 2 3" xfId="5295" xr:uid="{00000000-0005-0000-0000-0000731E0000}"/>
    <cellStyle name="Normal 9 2 2 2 2 2 2 3 2" xfId="13724" xr:uid="{62FD2411-69D2-478D-87F0-78314EBA54E2}"/>
    <cellStyle name="Normal 9 2 2 2 2 2 2 4" xfId="9506" xr:uid="{3EDDB9B4-0AD4-469A-8EEB-EF81AB22CFA1}"/>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2 2 2" xfId="16282" xr:uid="{4A231E3E-0DCB-4CFC-8D4D-8A7B985D8EB4}"/>
    <cellStyle name="Normal 9 2 2 2 2 2 3 2 3" xfId="12064" xr:uid="{9E03776C-857F-44C5-BFA0-8ED27CD647E1}"/>
    <cellStyle name="Normal 9 2 2 2 2 2 3 3" xfId="5708" xr:uid="{00000000-0005-0000-0000-0000771E0000}"/>
    <cellStyle name="Normal 9 2 2 2 2 2 3 3 2" xfId="14137" xr:uid="{FA0F25B7-662B-4F02-A109-4EE7C0B70C3C}"/>
    <cellStyle name="Normal 9 2 2 2 2 2 3 4" xfId="9919" xr:uid="{9A13E0FE-152D-45B8-9ADA-8B1F33729CBF}"/>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2 2 2" xfId="16695" xr:uid="{344DFDFD-3866-4FF6-91BA-1666E346495F}"/>
    <cellStyle name="Normal 9 2 2 2 2 2 4 2 3" xfId="12477" xr:uid="{D6FF9CDD-44DE-468A-8F63-95A7698FA69E}"/>
    <cellStyle name="Normal 9 2 2 2 2 2 4 3" xfId="6121" xr:uid="{00000000-0005-0000-0000-00007B1E0000}"/>
    <cellStyle name="Normal 9 2 2 2 2 2 4 3 2" xfId="14550" xr:uid="{A45B6364-000C-43AC-9639-3687B5B248C8}"/>
    <cellStyle name="Normal 9 2 2 2 2 2 4 4" xfId="10332" xr:uid="{2CB3EDFE-B081-420F-81CE-E2465CB691A3}"/>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2 2 2" xfId="17108" xr:uid="{E065D681-5FE7-48E0-8ECB-7DA08D7084F2}"/>
    <cellStyle name="Normal 9 2 2 2 2 2 5 2 3" xfId="12890" xr:uid="{ABACF333-A818-42E6-8E25-ECB520DCD766}"/>
    <cellStyle name="Normal 9 2 2 2 2 2 5 3" xfId="6534" xr:uid="{00000000-0005-0000-0000-00007F1E0000}"/>
    <cellStyle name="Normal 9 2 2 2 2 2 5 3 2" xfId="14963" xr:uid="{168C6EEB-D4B8-43DA-88CC-63CDFEB278D7}"/>
    <cellStyle name="Normal 9 2 2 2 2 2 5 4" xfId="10745" xr:uid="{FFDFFD49-619C-4F1D-8082-2F95E553CFD9}"/>
    <cellStyle name="Normal 9 2 2 2 2 2 6" xfId="2662" xr:uid="{00000000-0005-0000-0000-0000801E0000}"/>
    <cellStyle name="Normal 9 2 2 2 2 2 6 2" xfId="6947" xr:uid="{00000000-0005-0000-0000-0000811E0000}"/>
    <cellStyle name="Normal 9 2 2 2 2 2 6 2 2" xfId="15376" xr:uid="{44D9D47F-F778-4766-91F0-A09F7F515CDE}"/>
    <cellStyle name="Normal 9 2 2 2 2 2 6 3" xfId="11158" xr:uid="{736BFB39-5B21-459B-BD51-B319A20C83CD}"/>
    <cellStyle name="Normal 9 2 2 2 2 2 7" xfId="4882" xr:uid="{00000000-0005-0000-0000-0000821E0000}"/>
    <cellStyle name="Normal 9 2 2 2 2 2 7 2" xfId="13311" xr:uid="{15D084DF-8F3F-4B64-B6AD-981B474AE5DD}"/>
    <cellStyle name="Normal 9 2 2 2 2 2 8" xfId="9093" xr:uid="{AC4C9156-3ECC-4AC4-8F84-D8D08493A43F}"/>
    <cellStyle name="Normal 9 2 2 2 2 3" xfId="982" xr:uid="{00000000-0005-0000-0000-0000831E0000}"/>
    <cellStyle name="Normal 9 2 2 2 2 3 2" xfId="3215" xr:uid="{00000000-0005-0000-0000-0000841E0000}"/>
    <cellStyle name="Normal 9 2 2 2 2 3 2 2" xfId="7439" xr:uid="{00000000-0005-0000-0000-0000851E0000}"/>
    <cellStyle name="Normal 9 2 2 2 2 3 2 2 2" xfId="15868" xr:uid="{28DBC3D3-E4BD-4541-AC11-4237815890B2}"/>
    <cellStyle name="Normal 9 2 2 2 2 3 2 3" xfId="11650" xr:uid="{FB7577BC-181E-404E-8CF5-6AA046053479}"/>
    <cellStyle name="Normal 9 2 2 2 2 3 3" xfId="5294" xr:uid="{00000000-0005-0000-0000-0000861E0000}"/>
    <cellStyle name="Normal 9 2 2 2 2 3 3 2" xfId="13723" xr:uid="{0235B7C5-3A73-46B6-BEFA-E842668DD72B}"/>
    <cellStyle name="Normal 9 2 2 2 2 3 4" xfId="9505" xr:uid="{9CE14269-BCDD-4B87-AC54-195F00DA5B7E}"/>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2 2 2" xfId="16281" xr:uid="{EF9EA61E-B5DD-47C3-A056-254B7C0F0F6D}"/>
    <cellStyle name="Normal 9 2 2 2 2 4 2 3" xfId="12063" xr:uid="{C6328692-A106-41D6-B277-A87AB34E6280}"/>
    <cellStyle name="Normal 9 2 2 2 2 4 3" xfId="5707" xr:uid="{00000000-0005-0000-0000-00008A1E0000}"/>
    <cellStyle name="Normal 9 2 2 2 2 4 3 2" xfId="14136" xr:uid="{D1761076-F566-4816-8860-442A5D3CD336}"/>
    <cellStyle name="Normal 9 2 2 2 2 4 4" xfId="9918" xr:uid="{E23BB2C0-42B3-41F6-AE33-00FCA9F94EAF}"/>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2 2 2" xfId="16694" xr:uid="{1FB3F12B-231F-48B6-BF97-1C5D839F2BCD}"/>
    <cellStyle name="Normal 9 2 2 2 2 5 2 3" xfId="12476" xr:uid="{ACF373F5-9C8B-484A-BE90-241CC5A685CF}"/>
    <cellStyle name="Normal 9 2 2 2 2 5 3" xfId="6120" xr:uid="{00000000-0005-0000-0000-00008E1E0000}"/>
    <cellStyle name="Normal 9 2 2 2 2 5 3 2" xfId="14549" xr:uid="{CD630CD9-2913-4453-8D87-B8AFDCC893DA}"/>
    <cellStyle name="Normal 9 2 2 2 2 5 4" xfId="10331" xr:uid="{57D90940-AEEE-453D-914D-E9FC74CD3736}"/>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2 2 2" xfId="17107" xr:uid="{E6376FB5-B709-4CB5-B4E9-2BB59CFE43FA}"/>
    <cellStyle name="Normal 9 2 2 2 2 6 2 3" xfId="12889" xr:uid="{C3A6DD71-BA86-4363-8D0E-7AF0AF1DA0F8}"/>
    <cellStyle name="Normal 9 2 2 2 2 6 3" xfId="6533" xr:uid="{00000000-0005-0000-0000-0000921E0000}"/>
    <cellStyle name="Normal 9 2 2 2 2 6 3 2" xfId="14962" xr:uid="{54B93CA9-3042-467F-ACF1-0447C2FE8B4F}"/>
    <cellStyle name="Normal 9 2 2 2 2 6 4" xfId="10744" xr:uid="{29119B68-C346-4FEC-80F6-43C957570269}"/>
    <cellStyle name="Normal 9 2 2 2 2 7" xfId="2661" xr:uid="{00000000-0005-0000-0000-0000931E0000}"/>
    <cellStyle name="Normal 9 2 2 2 2 7 2" xfId="6946" xr:uid="{00000000-0005-0000-0000-0000941E0000}"/>
    <cellStyle name="Normal 9 2 2 2 2 7 2 2" xfId="15375" xr:uid="{C972837C-D78A-4A85-B5BF-E52AB2F07CC5}"/>
    <cellStyle name="Normal 9 2 2 2 2 7 3" xfId="11157" xr:uid="{75ABDB1C-6B92-4255-8B7F-4E1C56871947}"/>
    <cellStyle name="Normal 9 2 2 2 2 8" xfId="4881" xr:uid="{00000000-0005-0000-0000-0000951E0000}"/>
    <cellStyle name="Normal 9 2 2 2 2 8 2" xfId="13310" xr:uid="{DF351CBB-4D5F-4C28-9499-30A93980F8AD}"/>
    <cellStyle name="Normal 9 2 2 2 2 9" xfId="9092" xr:uid="{E95DD69D-412D-4706-8521-8E3EE49DF0B4}"/>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2 2 2" xfId="15870" xr:uid="{D2305419-B36A-4712-8904-3C7E12DB45DD}"/>
    <cellStyle name="Normal 9 2 2 2 3 2 2 3" xfId="11652" xr:uid="{260A5410-F2B2-4670-892B-8AFA735E33BF}"/>
    <cellStyle name="Normal 9 2 2 2 3 2 3" xfId="5296" xr:uid="{00000000-0005-0000-0000-00009A1E0000}"/>
    <cellStyle name="Normal 9 2 2 2 3 2 3 2" xfId="13725" xr:uid="{CB51C8E6-DA49-4C10-9033-C925DBB8AEE8}"/>
    <cellStyle name="Normal 9 2 2 2 3 2 4" xfId="9507" xr:uid="{E4D8B281-4E44-4D47-99B0-CDB00CF68AE9}"/>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2 2 2" xfId="16283" xr:uid="{CEC4874C-B05F-4B6F-9E02-8BF949F5716E}"/>
    <cellStyle name="Normal 9 2 2 2 3 3 2 3" xfId="12065" xr:uid="{839C2C2C-91E4-48C8-AE72-0458435DCA7D}"/>
    <cellStyle name="Normal 9 2 2 2 3 3 3" xfId="5709" xr:uid="{00000000-0005-0000-0000-00009E1E0000}"/>
    <cellStyle name="Normal 9 2 2 2 3 3 3 2" xfId="14138" xr:uid="{71E7946B-69A0-4F42-934D-AD182659E5BE}"/>
    <cellStyle name="Normal 9 2 2 2 3 3 4" xfId="9920" xr:uid="{317DC0E4-A03F-4C13-8EA8-F783ABD8F5CA}"/>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2 2 2" xfId="16696" xr:uid="{7F9FD17B-F86A-41F0-BB07-90C4F324FD16}"/>
    <cellStyle name="Normal 9 2 2 2 3 4 2 3" xfId="12478" xr:uid="{EBCB8636-30BE-4EF6-8128-15FD66E96B29}"/>
    <cellStyle name="Normal 9 2 2 2 3 4 3" xfId="6122" xr:uid="{00000000-0005-0000-0000-0000A21E0000}"/>
    <cellStyle name="Normal 9 2 2 2 3 4 3 2" xfId="14551" xr:uid="{7B3CF88C-0E76-448A-95F2-8C6FB5241C2B}"/>
    <cellStyle name="Normal 9 2 2 2 3 4 4" xfId="10333" xr:uid="{35F985D5-2EFF-4AE6-81C6-415F878B1DAE}"/>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2 2 2" xfId="17109" xr:uid="{701480E1-FF0F-4AC6-B357-3A7184078C30}"/>
    <cellStyle name="Normal 9 2 2 2 3 5 2 3" xfId="12891" xr:uid="{5DE2F0FA-0D4F-4AE5-A342-6F9B32294D84}"/>
    <cellStyle name="Normal 9 2 2 2 3 5 3" xfId="6535" xr:uid="{00000000-0005-0000-0000-0000A61E0000}"/>
    <cellStyle name="Normal 9 2 2 2 3 5 3 2" xfId="14964" xr:uid="{0F2DB81C-B8C6-42B5-9337-F201F5651470}"/>
    <cellStyle name="Normal 9 2 2 2 3 5 4" xfId="10746" xr:uid="{E6DAC1ED-6DE8-47F9-AD3D-5A7991F8A7B0}"/>
    <cellStyle name="Normal 9 2 2 2 3 6" xfId="2663" xr:uid="{00000000-0005-0000-0000-0000A71E0000}"/>
    <cellStyle name="Normal 9 2 2 2 3 6 2" xfId="6948" xr:uid="{00000000-0005-0000-0000-0000A81E0000}"/>
    <cellStyle name="Normal 9 2 2 2 3 6 2 2" xfId="15377" xr:uid="{4945B525-D53B-4791-A268-4A84C21CC523}"/>
    <cellStyle name="Normal 9 2 2 2 3 6 3" xfId="11159" xr:uid="{FFD313E6-6104-45B0-ABCA-E622FC635F18}"/>
    <cellStyle name="Normal 9 2 2 2 3 7" xfId="4883" xr:uid="{00000000-0005-0000-0000-0000A91E0000}"/>
    <cellStyle name="Normal 9 2 2 2 3 7 2" xfId="13312" xr:uid="{4DAF6F9D-60F6-4E56-A2AC-BA276FF5BF06}"/>
    <cellStyle name="Normal 9 2 2 2 3 8" xfId="9094" xr:uid="{28475749-0B69-4D3B-9136-F2D3CC6C9A1A}"/>
    <cellStyle name="Normal 9 2 2 2 4" xfId="981" xr:uid="{00000000-0005-0000-0000-0000AA1E0000}"/>
    <cellStyle name="Normal 9 2 2 2 4 2" xfId="3214" xr:uid="{00000000-0005-0000-0000-0000AB1E0000}"/>
    <cellStyle name="Normal 9 2 2 2 4 2 2" xfId="7438" xr:uid="{00000000-0005-0000-0000-0000AC1E0000}"/>
    <cellStyle name="Normal 9 2 2 2 4 2 2 2" xfId="15867" xr:uid="{D1CFE857-DB48-42C8-8905-268C14AB9ACB}"/>
    <cellStyle name="Normal 9 2 2 2 4 2 3" xfId="11649" xr:uid="{11BD98A1-B78B-4D34-B76B-D385CBD78684}"/>
    <cellStyle name="Normal 9 2 2 2 4 3" xfId="5293" xr:uid="{00000000-0005-0000-0000-0000AD1E0000}"/>
    <cellStyle name="Normal 9 2 2 2 4 3 2" xfId="13722" xr:uid="{5CECA17B-0D3F-433D-96B3-CF4A8D89D781}"/>
    <cellStyle name="Normal 9 2 2 2 4 4" xfId="9504" xr:uid="{B8238383-E45F-47D1-B83E-0757F556F741}"/>
    <cellStyle name="Normal 9 2 2 2 5" xfId="1397" xr:uid="{00000000-0005-0000-0000-0000AE1E0000}"/>
    <cellStyle name="Normal 9 2 2 2 5 2" xfId="3627" xr:uid="{00000000-0005-0000-0000-0000AF1E0000}"/>
    <cellStyle name="Normal 9 2 2 2 5 2 2" xfId="7851" xr:uid="{00000000-0005-0000-0000-0000B01E0000}"/>
    <cellStyle name="Normal 9 2 2 2 5 2 2 2" xfId="16280" xr:uid="{D4659228-CAC0-482F-ABE9-84AC886C379E}"/>
    <cellStyle name="Normal 9 2 2 2 5 2 3" xfId="12062" xr:uid="{803329CB-7ACB-4B99-BF31-1D43ACAA03DA}"/>
    <cellStyle name="Normal 9 2 2 2 5 3" xfId="5706" xr:uid="{00000000-0005-0000-0000-0000B11E0000}"/>
    <cellStyle name="Normal 9 2 2 2 5 3 2" xfId="14135" xr:uid="{98C02B33-2281-49CE-927A-F45AC16183D2}"/>
    <cellStyle name="Normal 9 2 2 2 5 4" xfId="9917" xr:uid="{0EE1A9DC-547E-4FF0-8F54-1163CA4F39E0}"/>
    <cellStyle name="Normal 9 2 2 2 6" xfId="1810" xr:uid="{00000000-0005-0000-0000-0000B21E0000}"/>
    <cellStyle name="Normal 9 2 2 2 6 2" xfId="4040" xr:uid="{00000000-0005-0000-0000-0000B31E0000}"/>
    <cellStyle name="Normal 9 2 2 2 6 2 2" xfId="8264" xr:uid="{00000000-0005-0000-0000-0000B41E0000}"/>
    <cellStyle name="Normal 9 2 2 2 6 2 2 2" xfId="16693" xr:uid="{53E350B7-EA21-411E-B461-F0E6C445354C}"/>
    <cellStyle name="Normal 9 2 2 2 6 2 3" xfId="12475" xr:uid="{04652417-C3FB-458C-A19B-DB775DC129CB}"/>
    <cellStyle name="Normal 9 2 2 2 6 3" xfId="6119" xr:uid="{00000000-0005-0000-0000-0000B51E0000}"/>
    <cellStyle name="Normal 9 2 2 2 6 3 2" xfId="14548" xr:uid="{6709E3AE-1E5B-49FB-BF18-AAE03B5F563A}"/>
    <cellStyle name="Normal 9 2 2 2 6 4" xfId="10330" xr:uid="{B0CBB911-E4B3-4F7B-84E0-E0F6ED15BA9E}"/>
    <cellStyle name="Normal 9 2 2 2 7" xfId="2224" xr:uid="{00000000-0005-0000-0000-0000B61E0000}"/>
    <cellStyle name="Normal 9 2 2 2 7 2" xfId="4453" xr:uid="{00000000-0005-0000-0000-0000B71E0000}"/>
    <cellStyle name="Normal 9 2 2 2 7 2 2" xfId="8677" xr:uid="{00000000-0005-0000-0000-0000B81E0000}"/>
    <cellStyle name="Normal 9 2 2 2 7 2 2 2" xfId="17106" xr:uid="{350D8C87-040D-457F-882C-443A579B939D}"/>
    <cellStyle name="Normal 9 2 2 2 7 2 3" xfId="12888" xr:uid="{BC232379-98C8-4762-BAAF-471F12ADA3C7}"/>
    <cellStyle name="Normal 9 2 2 2 7 3" xfId="6532" xr:uid="{00000000-0005-0000-0000-0000B91E0000}"/>
    <cellStyle name="Normal 9 2 2 2 7 3 2" xfId="14961" xr:uid="{C4BBAFE7-0962-4B72-AB2D-89EC6D2F838C}"/>
    <cellStyle name="Normal 9 2 2 2 7 4" xfId="10743" xr:uid="{59E27DE0-F7A9-49FD-8C93-3824CC60F42B}"/>
    <cellStyle name="Normal 9 2 2 2 8" xfId="2660" xr:uid="{00000000-0005-0000-0000-0000BA1E0000}"/>
    <cellStyle name="Normal 9 2 2 2 8 2" xfId="6945" xr:uid="{00000000-0005-0000-0000-0000BB1E0000}"/>
    <cellStyle name="Normal 9 2 2 2 8 2 2" xfId="15374" xr:uid="{A8C76B4A-7840-42A8-B650-D959B5DDF153}"/>
    <cellStyle name="Normal 9 2 2 2 8 3" xfId="11156" xr:uid="{7F6E58A1-66AF-4460-92EB-5D9C2874A38E}"/>
    <cellStyle name="Normal 9 2 2 2 9" xfId="4880" xr:uid="{00000000-0005-0000-0000-0000BC1E0000}"/>
    <cellStyle name="Normal 9 2 2 2 9 2" xfId="13309" xr:uid="{66E4470B-54AF-4547-B0CC-7C467819D33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2 2 2" xfId="15872" xr:uid="{41B06FAD-E185-4A6F-9999-FD66A251D18C}"/>
    <cellStyle name="Normal 9 2 2 3 2 2 2 3" xfId="11654" xr:uid="{248A352E-94FC-4037-AE7C-AF6FCF38D432}"/>
    <cellStyle name="Normal 9 2 2 3 2 2 3" xfId="5298" xr:uid="{00000000-0005-0000-0000-0000C21E0000}"/>
    <cellStyle name="Normal 9 2 2 3 2 2 3 2" xfId="13727" xr:uid="{0336F5B4-A06A-4E9F-B3E0-C1EEC1101DC6}"/>
    <cellStyle name="Normal 9 2 2 3 2 2 4" xfId="9509" xr:uid="{FCC3FD40-8DA0-4854-8E1A-F62028BAEF0B}"/>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2 2 2" xfId="16285" xr:uid="{02C808D6-E5F9-4E48-91FC-B28ABFB1C0C5}"/>
    <cellStyle name="Normal 9 2 2 3 2 3 2 3" xfId="12067" xr:uid="{88455561-DDC5-4763-B1E6-C4EFE22EC43E}"/>
    <cellStyle name="Normal 9 2 2 3 2 3 3" xfId="5711" xr:uid="{00000000-0005-0000-0000-0000C61E0000}"/>
    <cellStyle name="Normal 9 2 2 3 2 3 3 2" xfId="14140" xr:uid="{79319741-CAE7-4927-85F1-738DD38C5912}"/>
    <cellStyle name="Normal 9 2 2 3 2 3 4" xfId="9922" xr:uid="{18842FA1-5EEA-4DF9-9DF8-924CAFD80B11}"/>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2 2 2" xfId="16698" xr:uid="{E55844AE-0EE9-4034-BCF5-988E13074C47}"/>
    <cellStyle name="Normal 9 2 2 3 2 4 2 3" xfId="12480" xr:uid="{D9CB0739-05C9-4689-BBA4-7E7E3AE531DF}"/>
    <cellStyle name="Normal 9 2 2 3 2 4 3" xfId="6124" xr:uid="{00000000-0005-0000-0000-0000CA1E0000}"/>
    <cellStyle name="Normal 9 2 2 3 2 4 3 2" xfId="14553" xr:uid="{F643B0EC-7CFB-4709-A1CF-56145C9E50DD}"/>
    <cellStyle name="Normal 9 2 2 3 2 4 4" xfId="10335" xr:uid="{AC68CC4D-76B9-4D6E-A80D-431E6FC9FE7A}"/>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2 2 2" xfId="17111" xr:uid="{FBF16997-D19A-4F0F-A896-A82A60608BE0}"/>
    <cellStyle name="Normal 9 2 2 3 2 5 2 3" xfId="12893" xr:uid="{D51C1421-6514-4B24-B292-94091497EEE9}"/>
    <cellStyle name="Normal 9 2 2 3 2 5 3" xfId="6537" xr:uid="{00000000-0005-0000-0000-0000CE1E0000}"/>
    <cellStyle name="Normal 9 2 2 3 2 5 3 2" xfId="14966" xr:uid="{7748618C-108C-4313-928B-4CC6D9AF8A5E}"/>
    <cellStyle name="Normal 9 2 2 3 2 5 4" xfId="10748" xr:uid="{CD4BF859-BF6B-494B-8F40-FCEB8058A4B2}"/>
    <cellStyle name="Normal 9 2 2 3 2 6" xfId="2665" xr:uid="{00000000-0005-0000-0000-0000CF1E0000}"/>
    <cellStyle name="Normal 9 2 2 3 2 6 2" xfId="6950" xr:uid="{00000000-0005-0000-0000-0000D01E0000}"/>
    <cellStyle name="Normal 9 2 2 3 2 6 2 2" xfId="15379" xr:uid="{29873579-1DE1-4993-83C9-155B4E9B2B39}"/>
    <cellStyle name="Normal 9 2 2 3 2 6 3" xfId="11161" xr:uid="{646207A8-6E72-44A2-A72E-EDE34323E420}"/>
    <cellStyle name="Normal 9 2 2 3 2 7" xfId="4885" xr:uid="{00000000-0005-0000-0000-0000D11E0000}"/>
    <cellStyle name="Normal 9 2 2 3 2 7 2" xfId="13314" xr:uid="{5D78B9FA-B9F7-47F9-8107-FCCAFDDF1FAC}"/>
    <cellStyle name="Normal 9 2 2 3 2 8" xfId="9096" xr:uid="{0AB402A5-EC84-401B-BC5B-358C2A6BEDF3}"/>
    <cellStyle name="Normal 9 2 2 3 3" xfId="985" xr:uid="{00000000-0005-0000-0000-0000D21E0000}"/>
    <cellStyle name="Normal 9 2 2 3 3 2" xfId="3218" xr:uid="{00000000-0005-0000-0000-0000D31E0000}"/>
    <cellStyle name="Normal 9 2 2 3 3 2 2" xfId="7442" xr:uid="{00000000-0005-0000-0000-0000D41E0000}"/>
    <cellStyle name="Normal 9 2 2 3 3 2 2 2" xfId="15871" xr:uid="{F20A12EE-20E0-4E9B-9606-FF077C3864C6}"/>
    <cellStyle name="Normal 9 2 2 3 3 2 3" xfId="11653" xr:uid="{4229FBD9-8777-4BF7-ABD3-6A2653D12883}"/>
    <cellStyle name="Normal 9 2 2 3 3 3" xfId="5297" xr:uid="{00000000-0005-0000-0000-0000D51E0000}"/>
    <cellStyle name="Normal 9 2 2 3 3 3 2" xfId="13726" xr:uid="{BCFDE65B-493D-4E94-B208-0CC4AB864E88}"/>
    <cellStyle name="Normal 9 2 2 3 3 4" xfId="9508" xr:uid="{233EFE49-4E41-4674-842B-4DEF13E5B6BE}"/>
    <cellStyle name="Normal 9 2 2 3 4" xfId="1401" xr:uid="{00000000-0005-0000-0000-0000D61E0000}"/>
    <cellStyle name="Normal 9 2 2 3 4 2" xfId="3631" xr:uid="{00000000-0005-0000-0000-0000D71E0000}"/>
    <cellStyle name="Normal 9 2 2 3 4 2 2" xfId="7855" xr:uid="{00000000-0005-0000-0000-0000D81E0000}"/>
    <cellStyle name="Normal 9 2 2 3 4 2 2 2" xfId="16284" xr:uid="{6BDD34CB-ACC7-4F04-AE7F-1F8469121811}"/>
    <cellStyle name="Normal 9 2 2 3 4 2 3" xfId="12066" xr:uid="{E602F7B9-B108-4FE7-A0BC-A398C08AB94E}"/>
    <cellStyle name="Normal 9 2 2 3 4 3" xfId="5710" xr:uid="{00000000-0005-0000-0000-0000D91E0000}"/>
    <cellStyle name="Normal 9 2 2 3 4 3 2" xfId="14139" xr:uid="{EF59AD19-4F8B-44D6-8707-9435E27D0B64}"/>
    <cellStyle name="Normal 9 2 2 3 4 4" xfId="9921" xr:uid="{68CDF966-4464-40BC-BADA-1BEBD3F9912A}"/>
    <cellStyle name="Normal 9 2 2 3 5" xfId="1814" xr:uid="{00000000-0005-0000-0000-0000DA1E0000}"/>
    <cellStyle name="Normal 9 2 2 3 5 2" xfId="4044" xr:uid="{00000000-0005-0000-0000-0000DB1E0000}"/>
    <cellStyle name="Normal 9 2 2 3 5 2 2" xfId="8268" xr:uid="{00000000-0005-0000-0000-0000DC1E0000}"/>
    <cellStyle name="Normal 9 2 2 3 5 2 2 2" xfId="16697" xr:uid="{83D1332E-1C7F-49E6-97D3-2A5FF4D1474B}"/>
    <cellStyle name="Normal 9 2 2 3 5 2 3" xfId="12479" xr:uid="{A3E80A76-7C9D-486E-9A77-0ECF163D5969}"/>
    <cellStyle name="Normal 9 2 2 3 5 3" xfId="6123" xr:uid="{00000000-0005-0000-0000-0000DD1E0000}"/>
    <cellStyle name="Normal 9 2 2 3 5 3 2" xfId="14552" xr:uid="{30C72E7D-DBE8-450D-9506-7A7B325BC4FE}"/>
    <cellStyle name="Normal 9 2 2 3 5 4" xfId="10334" xr:uid="{EF1FBA93-2428-49BB-A827-AB6DB03F5BA9}"/>
    <cellStyle name="Normal 9 2 2 3 6" xfId="2228" xr:uid="{00000000-0005-0000-0000-0000DE1E0000}"/>
    <cellStyle name="Normal 9 2 2 3 6 2" xfId="4457" xr:uid="{00000000-0005-0000-0000-0000DF1E0000}"/>
    <cellStyle name="Normal 9 2 2 3 6 2 2" xfId="8681" xr:uid="{00000000-0005-0000-0000-0000E01E0000}"/>
    <cellStyle name="Normal 9 2 2 3 6 2 2 2" xfId="17110" xr:uid="{D6ED8A62-CE20-4C07-A5B5-758CCC878152}"/>
    <cellStyle name="Normal 9 2 2 3 6 2 3" xfId="12892" xr:uid="{306D26D5-9D7A-461E-B083-86DE5E1D4555}"/>
    <cellStyle name="Normal 9 2 2 3 6 3" xfId="6536" xr:uid="{00000000-0005-0000-0000-0000E11E0000}"/>
    <cellStyle name="Normal 9 2 2 3 6 3 2" xfId="14965" xr:uid="{C7892E0A-D88A-41FF-9BD0-57373D4FCCC8}"/>
    <cellStyle name="Normal 9 2 2 3 6 4" xfId="10747" xr:uid="{D8450F57-7303-4615-AF92-CE70C0BAFEF0}"/>
    <cellStyle name="Normal 9 2 2 3 7" xfId="2664" xr:uid="{00000000-0005-0000-0000-0000E21E0000}"/>
    <cellStyle name="Normal 9 2 2 3 7 2" xfId="6949" xr:uid="{00000000-0005-0000-0000-0000E31E0000}"/>
    <cellStyle name="Normal 9 2 2 3 7 2 2" xfId="15378" xr:uid="{E1DB67E0-14B1-41FE-918E-8A12558AB008}"/>
    <cellStyle name="Normal 9 2 2 3 7 3" xfId="11160" xr:uid="{0E08FB08-B203-4A8C-AD5F-7E2E48A78849}"/>
    <cellStyle name="Normal 9 2 2 3 8" xfId="4884" xr:uid="{00000000-0005-0000-0000-0000E41E0000}"/>
    <cellStyle name="Normal 9 2 2 3 8 2" xfId="13313" xr:uid="{1B1B0341-2ED3-4828-8FE2-E3543601CDF2}"/>
    <cellStyle name="Normal 9 2 2 3 9" xfId="9095" xr:uid="{3335559F-50C8-40C8-AADE-E70083661784}"/>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2 2 2" xfId="15873" xr:uid="{6F24AEB0-CACB-47AD-B32B-11F4CF20576B}"/>
    <cellStyle name="Normal 9 2 2 4 2 2 3" xfId="11655" xr:uid="{071C7841-5BE3-4ACC-82F9-4FCE3C586AC9}"/>
    <cellStyle name="Normal 9 2 2 4 2 3" xfId="5299" xr:uid="{00000000-0005-0000-0000-0000E91E0000}"/>
    <cellStyle name="Normal 9 2 2 4 2 3 2" xfId="13728" xr:uid="{71195E42-174D-4833-AFD3-AE6F8F033EEA}"/>
    <cellStyle name="Normal 9 2 2 4 2 4" xfId="9510" xr:uid="{3EF62313-F277-433E-B707-84AB6986B9AE}"/>
    <cellStyle name="Normal 9 2 2 4 3" xfId="1403" xr:uid="{00000000-0005-0000-0000-0000EA1E0000}"/>
    <cellStyle name="Normal 9 2 2 4 3 2" xfId="3633" xr:uid="{00000000-0005-0000-0000-0000EB1E0000}"/>
    <cellStyle name="Normal 9 2 2 4 3 2 2" xfId="7857" xr:uid="{00000000-0005-0000-0000-0000EC1E0000}"/>
    <cellStyle name="Normal 9 2 2 4 3 2 2 2" xfId="16286" xr:uid="{78C19508-480D-4BB1-AC93-927BD23AFE08}"/>
    <cellStyle name="Normal 9 2 2 4 3 2 3" xfId="12068" xr:uid="{2FEE8859-DE70-47A5-89AC-E8035E9F978A}"/>
    <cellStyle name="Normal 9 2 2 4 3 3" xfId="5712" xr:uid="{00000000-0005-0000-0000-0000ED1E0000}"/>
    <cellStyle name="Normal 9 2 2 4 3 3 2" xfId="14141" xr:uid="{5479C493-294B-4C9A-AA6D-0F8342BF00EF}"/>
    <cellStyle name="Normal 9 2 2 4 3 4" xfId="9923" xr:uid="{0BDD7B68-E3C9-471B-A9D7-472F481FB4D7}"/>
    <cellStyle name="Normal 9 2 2 4 4" xfId="1816" xr:uid="{00000000-0005-0000-0000-0000EE1E0000}"/>
    <cellStyle name="Normal 9 2 2 4 4 2" xfId="4046" xr:uid="{00000000-0005-0000-0000-0000EF1E0000}"/>
    <cellStyle name="Normal 9 2 2 4 4 2 2" xfId="8270" xr:uid="{00000000-0005-0000-0000-0000F01E0000}"/>
    <cellStyle name="Normal 9 2 2 4 4 2 2 2" xfId="16699" xr:uid="{C3477951-D1A9-42FD-9ADC-9342A7036ABA}"/>
    <cellStyle name="Normal 9 2 2 4 4 2 3" xfId="12481" xr:uid="{0F0A5142-A1D7-45CB-83CD-68C0EEEFDC5F}"/>
    <cellStyle name="Normal 9 2 2 4 4 3" xfId="6125" xr:uid="{00000000-0005-0000-0000-0000F11E0000}"/>
    <cellStyle name="Normal 9 2 2 4 4 3 2" xfId="14554" xr:uid="{93113AF6-BFD7-43B5-82E4-9EB215620916}"/>
    <cellStyle name="Normal 9 2 2 4 4 4" xfId="10336" xr:uid="{8B4164F5-5E20-4035-A7A2-A7CF2BFFD369}"/>
    <cellStyle name="Normal 9 2 2 4 5" xfId="2230" xr:uid="{00000000-0005-0000-0000-0000F21E0000}"/>
    <cellStyle name="Normal 9 2 2 4 5 2" xfId="4459" xr:uid="{00000000-0005-0000-0000-0000F31E0000}"/>
    <cellStyle name="Normal 9 2 2 4 5 2 2" xfId="8683" xr:uid="{00000000-0005-0000-0000-0000F41E0000}"/>
    <cellStyle name="Normal 9 2 2 4 5 2 2 2" xfId="17112" xr:uid="{7D41090B-F2F8-4F6F-B85A-A2D254105B5C}"/>
    <cellStyle name="Normal 9 2 2 4 5 2 3" xfId="12894" xr:uid="{600CC5A8-8DDE-418D-BCA1-D358DC236949}"/>
    <cellStyle name="Normal 9 2 2 4 5 3" xfId="6538" xr:uid="{00000000-0005-0000-0000-0000F51E0000}"/>
    <cellStyle name="Normal 9 2 2 4 5 3 2" xfId="14967" xr:uid="{4D9C4A59-C761-4408-B917-C6FC96406F14}"/>
    <cellStyle name="Normal 9 2 2 4 5 4" xfId="10749" xr:uid="{05D55421-2E10-4A95-A60F-5DA50282CF82}"/>
    <cellStyle name="Normal 9 2 2 4 6" xfId="2666" xr:uid="{00000000-0005-0000-0000-0000F61E0000}"/>
    <cellStyle name="Normal 9 2 2 4 6 2" xfId="6951" xr:uid="{00000000-0005-0000-0000-0000F71E0000}"/>
    <cellStyle name="Normal 9 2 2 4 6 2 2" xfId="15380" xr:uid="{7ADA9EA6-41A2-4472-AB92-41AF1CA767E9}"/>
    <cellStyle name="Normal 9 2 2 4 6 3" xfId="11162" xr:uid="{6ABAA30F-9723-4812-96F6-C7E8C7A6FA12}"/>
    <cellStyle name="Normal 9 2 2 4 7" xfId="4886" xr:uid="{00000000-0005-0000-0000-0000F81E0000}"/>
    <cellStyle name="Normal 9 2 2 4 7 2" xfId="13315" xr:uid="{731008A0-8AFA-4B45-A01F-418B36280A8C}"/>
    <cellStyle name="Normal 9 2 2 4 8" xfId="9097" xr:uid="{198D08E9-15CA-4D49-BF06-20F9B005D0E6}"/>
    <cellStyle name="Normal 9 2 2 5" xfId="980" xr:uid="{00000000-0005-0000-0000-0000F91E0000}"/>
    <cellStyle name="Normal 9 2 2 5 2" xfId="3213" xr:uid="{00000000-0005-0000-0000-0000FA1E0000}"/>
    <cellStyle name="Normal 9 2 2 5 2 2" xfId="7437" xr:uid="{00000000-0005-0000-0000-0000FB1E0000}"/>
    <cellStyle name="Normal 9 2 2 5 2 2 2" xfId="15866" xr:uid="{3757E09F-5A1F-469E-8C7E-68E8847258CD}"/>
    <cellStyle name="Normal 9 2 2 5 2 3" xfId="11648" xr:uid="{1782079E-DD5D-40DB-A426-29356B63A34E}"/>
    <cellStyle name="Normal 9 2 2 5 3" xfId="5292" xr:uid="{00000000-0005-0000-0000-0000FC1E0000}"/>
    <cellStyle name="Normal 9 2 2 5 3 2" xfId="13721" xr:uid="{EFED6C05-9D65-4DA5-854F-AE81D264B730}"/>
    <cellStyle name="Normal 9 2 2 5 4" xfId="9503" xr:uid="{DBBD4F72-F943-40D4-80DC-5B29C1065BE3}"/>
    <cellStyle name="Normal 9 2 2 6" xfId="1396" xr:uid="{00000000-0005-0000-0000-0000FD1E0000}"/>
    <cellStyle name="Normal 9 2 2 6 2" xfId="3626" xr:uid="{00000000-0005-0000-0000-0000FE1E0000}"/>
    <cellStyle name="Normal 9 2 2 6 2 2" xfId="7850" xr:uid="{00000000-0005-0000-0000-0000FF1E0000}"/>
    <cellStyle name="Normal 9 2 2 6 2 2 2" xfId="16279" xr:uid="{BEF3B57D-A5B7-4EF3-9DBA-8C97C6DB76A9}"/>
    <cellStyle name="Normal 9 2 2 6 2 3" xfId="12061" xr:uid="{0A7F6D29-C75A-4AA8-9361-06045646FCF4}"/>
    <cellStyle name="Normal 9 2 2 6 3" xfId="5705" xr:uid="{00000000-0005-0000-0000-0000001F0000}"/>
    <cellStyle name="Normal 9 2 2 6 3 2" xfId="14134" xr:uid="{886EA1AD-1CD0-4A83-A648-3A98B051764B}"/>
    <cellStyle name="Normal 9 2 2 6 4" xfId="9916" xr:uid="{428D0982-9049-4ECE-AEAE-E216764FF8AC}"/>
    <cellStyle name="Normal 9 2 2 7" xfId="1809" xr:uid="{00000000-0005-0000-0000-0000011F0000}"/>
    <cellStyle name="Normal 9 2 2 7 2" xfId="4039" xr:uid="{00000000-0005-0000-0000-0000021F0000}"/>
    <cellStyle name="Normal 9 2 2 7 2 2" xfId="8263" xr:uid="{00000000-0005-0000-0000-0000031F0000}"/>
    <cellStyle name="Normal 9 2 2 7 2 2 2" xfId="16692" xr:uid="{41F26E28-5E44-41ED-83A7-407582E7EF42}"/>
    <cellStyle name="Normal 9 2 2 7 2 3" xfId="12474" xr:uid="{384B5AE9-B7D6-4C61-BAC0-F0F65A6E5D02}"/>
    <cellStyle name="Normal 9 2 2 7 3" xfId="6118" xr:uid="{00000000-0005-0000-0000-0000041F0000}"/>
    <cellStyle name="Normal 9 2 2 7 3 2" xfId="14547" xr:uid="{3CA53983-26DD-4ABB-9A0B-ED7BBBBBAC6B}"/>
    <cellStyle name="Normal 9 2 2 7 4" xfId="10329" xr:uid="{7C850887-752E-4F43-A5CE-A488DFC01FAF}"/>
    <cellStyle name="Normal 9 2 2 8" xfId="2223" xr:uid="{00000000-0005-0000-0000-0000051F0000}"/>
    <cellStyle name="Normal 9 2 2 8 2" xfId="4452" xr:uid="{00000000-0005-0000-0000-0000061F0000}"/>
    <cellStyle name="Normal 9 2 2 8 2 2" xfId="8676" xr:uid="{00000000-0005-0000-0000-0000071F0000}"/>
    <cellStyle name="Normal 9 2 2 8 2 2 2" xfId="17105" xr:uid="{D6FE94DE-A817-4E74-B54A-01B0CAF4534B}"/>
    <cellStyle name="Normal 9 2 2 8 2 3" xfId="12887" xr:uid="{E94A74CA-EC14-455D-9C0E-5D167862FD32}"/>
    <cellStyle name="Normal 9 2 2 8 3" xfId="6531" xr:uid="{00000000-0005-0000-0000-0000081F0000}"/>
    <cellStyle name="Normal 9 2 2 8 3 2" xfId="14960" xr:uid="{2D0E7355-1931-4063-82F8-8D88085C9C3F}"/>
    <cellStyle name="Normal 9 2 2 8 4" xfId="10742" xr:uid="{30CFBA60-72CB-4746-A111-548AB2A75CEF}"/>
    <cellStyle name="Normal 9 2 2 9" xfId="2659" xr:uid="{00000000-0005-0000-0000-0000091F0000}"/>
    <cellStyle name="Normal 9 2 2 9 2" xfId="6944" xr:uid="{00000000-0005-0000-0000-00000A1F0000}"/>
    <cellStyle name="Normal 9 2 2 9 2 2" xfId="15373" xr:uid="{FA29FF4D-0715-408E-A5BD-9950FC973D4F}"/>
    <cellStyle name="Normal 9 2 2 9 3" xfId="11155" xr:uid="{0AA264BD-E754-4612-A67C-03D908C6D6C6}"/>
    <cellStyle name="Normal 9 2 3" xfId="520" xr:uid="{00000000-0005-0000-0000-00000B1F0000}"/>
    <cellStyle name="Normal 9 2 3 10" xfId="9098" xr:uid="{001240B0-81B1-46CC-9F97-2B09BD6062A5}"/>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2 2 2" xfId="15876" xr:uid="{AEA5DE39-210B-4D26-8BF7-F6916334BD23}"/>
    <cellStyle name="Normal 9 2 3 2 2 2 2 3" xfId="11658" xr:uid="{6C195145-C4C9-41DF-BF8C-A7597F58A296}"/>
    <cellStyle name="Normal 9 2 3 2 2 2 3" xfId="5302" xr:uid="{00000000-0005-0000-0000-0000111F0000}"/>
    <cellStyle name="Normal 9 2 3 2 2 2 3 2" xfId="13731" xr:uid="{A6AB603E-F780-4E6C-9954-1C547780782B}"/>
    <cellStyle name="Normal 9 2 3 2 2 2 4" xfId="9513" xr:uid="{73249AD4-4045-4AA9-84D7-8214534737CD}"/>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2 2 2" xfId="16289" xr:uid="{63066439-D83D-48F2-BE84-649902AA28B0}"/>
    <cellStyle name="Normal 9 2 3 2 2 3 2 3" xfId="12071" xr:uid="{E485A8DD-7F87-4347-9643-34974E264F50}"/>
    <cellStyle name="Normal 9 2 3 2 2 3 3" xfId="5715" xr:uid="{00000000-0005-0000-0000-0000151F0000}"/>
    <cellStyle name="Normal 9 2 3 2 2 3 3 2" xfId="14144" xr:uid="{8B9F6B9F-1B4A-49E1-A574-BE4C5122D1CD}"/>
    <cellStyle name="Normal 9 2 3 2 2 3 4" xfId="9926" xr:uid="{8DAB0787-1B6A-441B-B445-2B54083701E5}"/>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2 2 2" xfId="16702" xr:uid="{EDD7DCB2-7E3A-4809-8ACA-68682EFB18FB}"/>
    <cellStyle name="Normal 9 2 3 2 2 4 2 3" xfId="12484" xr:uid="{B857C6CF-E30C-4FC2-BB02-C746C9C44908}"/>
    <cellStyle name="Normal 9 2 3 2 2 4 3" xfId="6128" xr:uid="{00000000-0005-0000-0000-0000191F0000}"/>
    <cellStyle name="Normal 9 2 3 2 2 4 3 2" xfId="14557" xr:uid="{BF441829-CA0A-432E-B8F4-0106D97D9807}"/>
    <cellStyle name="Normal 9 2 3 2 2 4 4" xfId="10339" xr:uid="{7BB69CCE-B1C3-44C1-B984-17F7A018F5F7}"/>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2 2 2" xfId="17115" xr:uid="{84054D98-DF93-43F8-8D81-8CEFDC78F78F}"/>
    <cellStyle name="Normal 9 2 3 2 2 5 2 3" xfId="12897" xr:uid="{F821C607-3CF7-4983-A362-437FADC190BE}"/>
    <cellStyle name="Normal 9 2 3 2 2 5 3" xfId="6541" xr:uid="{00000000-0005-0000-0000-00001D1F0000}"/>
    <cellStyle name="Normal 9 2 3 2 2 5 3 2" xfId="14970" xr:uid="{11ED1677-C9FA-4F1E-8DE0-1048B0FDABA9}"/>
    <cellStyle name="Normal 9 2 3 2 2 5 4" xfId="10752" xr:uid="{17D46C21-1D71-4EFA-A95B-28DDBF552857}"/>
    <cellStyle name="Normal 9 2 3 2 2 6" xfId="2669" xr:uid="{00000000-0005-0000-0000-00001E1F0000}"/>
    <cellStyle name="Normal 9 2 3 2 2 6 2" xfId="6954" xr:uid="{00000000-0005-0000-0000-00001F1F0000}"/>
    <cellStyle name="Normal 9 2 3 2 2 6 2 2" xfId="15383" xr:uid="{9DC1FB9D-6D46-462E-A5E9-13BF63A7F46D}"/>
    <cellStyle name="Normal 9 2 3 2 2 6 3" xfId="11165" xr:uid="{709DAD9E-887F-4E94-B344-640E42B062ED}"/>
    <cellStyle name="Normal 9 2 3 2 2 7" xfId="4889" xr:uid="{00000000-0005-0000-0000-0000201F0000}"/>
    <cellStyle name="Normal 9 2 3 2 2 7 2" xfId="13318" xr:uid="{940CFF0A-BA82-4EEB-B0DE-3B18A5178DB4}"/>
    <cellStyle name="Normal 9 2 3 2 2 8" xfId="9100" xr:uid="{183FF3A9-D3A0-42CE-9E7B-A0FFCB660723}"/>
    <cellStyle name="Normal 9 2 3 2 3" xfId="989" xr:uid="{00000000-0005-0000-0000-0000211F0000}"/>
    <cellStyle name="Normal 9 2 3 2 3 2" xfId="3222" xr:uid="{00000000-0005-0000-0000-0000221F0000}"/>
    <cellStyle name="Normal 9 2 3 2 3 2 2" xfId="7446" xr:uid="{00000000-0005-0000-0000-0000231F0000}"/>
    <cellStyle name="Normal 9 2 3 2 3 2 2 2" xfId="15875" xr:uid="{8973A416-8EDB-4168-9BDC-99BB0AD68E42}"/>
    <cellStyle name="Normal 9 2 3 2 3 2 3" xfId="11657" xr:uid="{8C3D0CBD-FDA4-4D70-AF6A-A0DDB9E6BA61}"/>
    <cellStyle name="Normal 9 2 3 2 3 3" xfId="5301" xr:uid="{00000000-0005-0000-0000-0000241F0000}"/>
    <cellStyle name="Normal 9 2 3 2 3 3 2" xfId="13730" xr:uid="{36DC8288-E0B8-4744-AD20-413FBDAE9147}"/>
    <cellStyle name="Normal 9 2 3 2 3 4" xfId="9512" xr:uid="{A74517F9-3139-4EC0-94BE-EB7611B0FE75}"/>
    <cellStyle name="Normal 9 2 3 2 4" xfId="1405" xr:uid="{00000000-0005-0000-0000-0000251F0000}"/>
    <cellStyle name="Normal 9 2 3 2 4 2" xfId="3635" xr:uid="{00000000-0005-0000-0000-0000261F0000}"/>
    <cellStyle name="Normal 9 2 3 2 4 2 2" xfId="7859" xr:uid="{00000000-0005-0000-0000-0000271F0000}"/>
    <cellStyle name="Normal 9 2 3 2 4 2 2 2" xfId="16288" xr:uid="{9C13DC21-8D32-42A0-8BD8-69454AC61AC6}"/>
    <cellStyle name="Normal 9 2 3 2 4 2 3" xfId="12070" xr:uid="{7CB0DE1D-CFCA-4C9D-96EC-6976DD399F07}"/>
    <cellStyle name="Normal 9 2 3 2 4 3" xfId="5714" xr:uid="{00000000-0005-0000-0000-0000281F0000}"/>
    <cellStyle name="Normal 9 2 3 2 4 3 2" xfId="14143" xr:uid="{C96754A4-58CF-41A0-B5FD-5217B11BADD5}"/>
    <cellStyle name="Normal 9 2 3 2 4 4" xfId="9925" xr:uid="{CAFA3232-3C18-4782-9A06-986C93F5A630}"/>
    <cellStyle name="Normal 9 2 3 2 5" xfId="1818" xr:uid="{00000000-0005-0000-0000-0000291F0000}"/>
    <cellStyle name="Normal 9 2 3 2 5 2" xfId="4048" xr:uid="{00000000-0005-0000-0000-00002A1F0000}"/>
    <cellStyle name="Normal 9 2 3 2 5 2 2" xfId="8272" xr:uid="{00000000-0005-0000-0000-00002B1F0000}"/>
    <cellStyle name="Normal 9 2 3 2 5 2 2 2" xfId="16701" xr:uid="{D8EA9B41-8E6A-4992-9915-248DA2859E94}"/>
    <cellStyle name="Normal 9 2 3 2 5 2 3" xfId="12483" xr:uid="{B70A839A-E620-464F-8D91-DCD34F4521DF}"/>
    <cellStyle name="Normal 9 2 3 2 5 3" xfId="6127" xr:uid="{00000000-0005-0000-0000-00002C1F0000}"/>
    <cellStyle name="Normal 9 2 3 2 5 3 2" xfId="14556" xr:uid="{A4E544EF-7D25-430A-B589-4A0B55D316CF}"/>
    <cellStyle name="Normal 9 2 3 2 5 4" xfId="10338" xr:uid="{697D4CAB-7CF7-4101-8C8F-1B023E0A8388}"/>
    <cellStyle name="Normal 9 2 3 2 6" xfId="2232" xr:uid="{00000000-0005-0000-0000-00002D1F0000}"/>
    <cellStyle name="Normal 9 2 3 2 6 2" xfId="4461" xr:uid="{00000000-0005-0000-0000-00002E1F0000}"/>
    <cellStyle name="Normal 9 2 3 2 6 2 2" xfId="8685" xr:uid="{00000000-0005-0000-0000-00002F1F0000}"/>
    <cellStyle name="Normal 9 2 3 2 6 2 2 2" xfId="17114" xr:uid="{A647B4C7-0105-4102-B56A-F893AE6FEB72}"/>
    <cellStyle name="Normal 9 2 3 2 6 2 3" xfId="12896" xr:uid="{132A3D45-7CAB-4474-AFD6-5EA84E0E12AD}"/>
    <cellStyle name="Normal 9 2 3 2 6 3" xfId="6540" xr:uid="{00000000-0005-0000-0000-0000301F0000}"/>
    <cellStyle name="Normal 9 2 3 2 6 3 2" xfId="14969" xr:uid="{37855B0C-1A72-4CA3-B76C-AEDB57C037A2}"/>
    <cellStyle name="Normal 9 2 3 2 6 4" xfId="10751" xr:uid="{81CACC27-6A3F-47DB-925E-FA3FEFE23E94}"/>
    <cellStyle name="Normal 9 2 3 2 7" xfId="2668" xr:uid="{00000000-0005-0000-0000-0000311F0000}"/>
    <cellStyle name="Normal 9 2 3 2 7 2" xfId="6953" xr:uid="{00000000-0005-0000-0000-0000321F0000}"/>
    <cellStyle name="Normal 9 2 3 2 7 2 2" xfId="15382" xr:uid="{F5CA617C-08EE-4E00-ACDB-EFC526490C7E}"/>
    <cellStyle name="Normal 9 2 3 2 7 3" xfId="11164" xr:uid="{81E1017C-0AD1-44FB-A222-F87ABC4FE9B9}"/>
    <cellStyle name="Normal 9 2 3 2 8" xfId="4888" xr:uid="{00000000-0005-0000-0000-0000331F0000}"/>
    <cellStyle name="Normal 9 2 3 2 8 2" xfId="13317" xr:uid="{E01205EA-471A-44CA-B61F-1EE44199B614}"/>
    <cellStyle name="Normal 9 2 3 2 9" xfId="9099" xr:uid="{1604CC86-138D-4ADA-9500-28EA8344C831}"/>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2 2 2" xfId="15877" xr:uid="{2926A5EB-CBEE-428A-B44D-BDD88406D736}"/>
    <cellStyle name="Normal 9 2 3 3 2 2 3" xfId="11659" xr:uid="{E846BEB4-0C1C-4A3F-82B3-FF2A7458D457}"/>
    <cellStyle name="Normal 9 2 3 3 2 3" xfId="5303" xr:uid="{00000000-0005-0000-0000-0000381F0000}"/>
    <cellStyle name="Normal 9 2 3 3 2 3 2" xfId="13732" xr:uid="{A3A48F7D-7BBB-4A73-A471-C02249DA74EF}"/>
    <cellStyle name="Normal 9 2 3 3 2 4" xfId="9514" xr:uid="{0A20206B-824C-4C26-A4CE-46701C55AD5F}"/>
    <cellStyle name="Normal 9 2 3 3 3" xfId="1407" xr:uid="{00000000-0005-0000-0000-0000391F0000}"/>
    <cellStyle name="Normal 9 2 3 3 3 2" xfId="3637" xr:uid="{00000000-0005-0000-0000-00003A1F0000}"/>
    <cellStyle name="Normal 9 2 3 3 3 2 2" xfId="7861" xr:uid="{00000000-0005-0000-0000-00003B1F0000}"/>
    <cellStyle name="Normal 9 2 3 3 3 2 2 2" xfId="16290" xr:uid="{D13ADF4B-D699-4E18-B680-119FBEEE5D6A}"/>
    <cellStyle name="Normal 9 2 3 3 3 2 3" xfId="12072" xr:uid="{7EA9B2A1-2DAF-40B2-996D-6F453C3295DD}"/>
    <cellStyle name="Normal 9 2 3 3 3 3" xfId="5716" xr:uid="{00000000-0005-0000-0000-00003C1F0000}"/>
    <cellStyle name="Normal 9 2 3 3 3 3 2" xfId="14145" xr:uid="{5E0D1530-1399-4537-9382-E564862AE14B}"/>
    <cellStyle name="Normal 9 2 3 3 3 4" xfId="9927" xr:uid="{351C82F4-1E42-4BCE-A3AD-9C13E6A78444}"/>
    <cellStyle name="Normal 9 2 3 3 4" xfId="1820" xr:uid="{00000000-0005-0000-0000-00003D1F0000}"/>
    <cellStyle name="Normal 9 2 3 3 4 2" xfId="4050" xr:uid="{00000000-0005-0000-0000-00003E1F0000}"/>
    <cellStyle name="Normal 9 2 3 3 4 2 2" xfId="8274" xr:uid="{00000000-0005-0000-0000-00003F1F0000}"/>
    <cellStyle name="Normal 9 2 3 3 4 2 2 2" xfId="16703" xr:uid="{F68F95AD-4948-4228-9E49-C2DBD4EAE022}"/>
    <cellStyle name="Normal 9 2 3 3 4 2 3" xfId="12485" xr:uid="{9CDB5FA6-9AA1-4B19-A92B-EEE8479D5191}"/>
    <cellStyle name="Normal 9 2 3 3 4 3" xfId="6129" xr:uid="{00000000-0005-0000-0000-0000401F0000}"/>
    <cellStyle name="Normal 9 2 3 3 4 3 2" xfId="14558" xr:uid="{CC76850F-65C4-4FDF-A98B-4889B8A8CA69}"/>
    <cellStyle name="Normal 9 2 3 3 4 4" xfId="10340" xr:uid="{969B4C20-90AC-470C-AF8E-DDA76E7CC11A}"/>
    <cellStyle name="Normal 9 2 3 3 5" xfId="2234" xr:uid="{00000000-0005-0000-0000-0000411F0000}"/>
    <cellStyle name="Normal 9 2 3 3 5 2" xfId="4463" xr:uid="{00000000-0005-0000-0000-0000421F0000}"/>
    <cellStyle name="Normal 9 2 3 3 5 2 2" xfId="8687" xr:uid="{00000000-0005-0000-0000-0000431F0000}"/>
    <cellStyle name="Normal 9 2 3 3 5 2 2 2" xfId="17116" xr:uid="{7D7B0E63-69C8-40F1-82F3-A64BD1E574CA}"/>
    <cellStyle name="Normal 9 2 3 3 5 2 3" xfId="12898" xr:uid="{C24D0412-49FC-49D6-A7FB-A0D675C925BC}"/>
    <cellStyle name="Normal 9 2 3 3 5 3" xfId="6542" xr:uid="{00000000-0005-0000-0000-0000441F0000}"/>
    <cellStyle name="Normal 9 2 3 3 5 3 2" xfId="14971" xr:uid="{D3EA90D4-F824-4346-9D87-D2B96C5B8771}"/>
    <cellStyle name="Normal 9 2 3 3 5 4" xfId="10753" xr:uid="{CCFCFE32-3D67-46AF-8DFD-0FC8CCF963E3}"/>
    <cellStyle name="Normal 9 2 3 3 6" xfId="2670" xr:uid="{00000000-0005-0000-0000-0000451F0000}"/>
    <cellStyle name="Normal 9 2 3 3 6 2" xfId="6955" xr:uid="{00000000-0005-0000-0000-0000461F0000}"/>
    <cellStyle name="Normal 9 2 3 3 6 2 2" xfId="15384" xr:uid="{C5AE4D9C-E306-46B6-9E42-3D3E2F341682}"/>
    <cellStyle name="Normal 9 2 3 3 6 3" xfId="11166" xr:uid="{C24F6EE8-10DC-4353-85BC-F2D3821275D2}"/>
    <cellStyle name="Normal 9 2 3 3 7" xfId="4890" xr:uid="{00000000-0005-0000-0000-0000471F0000}"/>
    <cellStyle name="Normal 9 2 3 3 7 2" xfId="13319" xr:uid="{146AD129-1A2F-4518-A765-A8322FA2A359}"/>
    <cellStyle name="Normal 9 2 3 3 8" xfId="9101" xr:uid="{8A9FC42C-BCDD-460B-B98A-0E7826D7F553}"/>
    <cellStyle name="Normal 9 2 3 4" xfId="988" xr:uid="{00000000-0005-0000-0000-0000481F0000}"/>
    <cellStyle name="Normal 9 2 3 4 2" xfId="3221" xr:uid="{00000000-0005-0000-0000-0000491F0000}"/>
    <cellStyle name="Normal 9 2 3 4 2 2" xfId="7445" xr:uid="{00000000-0005-0000-0000-00004A1F0000}"/>
    <cellStyle name="Normal 9 2 3 4 2 2 2" xfId="15874" xr:uid="{913E9B01-F95D-44E6-92E7-F1F77C07F79C}"/>
    <cellStyle name="Normal 9 2 3 4 2 3" xfId="11656" xr:uid="{054FDE17-7F31-4BC5-B338-04D7DEC0928F}"/>
    <cellStyle name="Normal 9 2 3 4 3" xfId="5300" xr:uid="{00000000-0005-0000-0000-00004B1F0000}"/>
    <cellStyle name="Normal 9 2 3 4 3 2" xfId="13729" xr:uid="{EFA98D49-49CE-461D-92C7-E8216464A20E}"/>
    <cellStyle name="Normal 9 2 3 4 4" xfId="9511" xr:uid="{74A1DB53-3CC1-4868-8B55-F861D8D848F4}"/>
    <cellStyle name="Normal 9 2 3 5" xfId="1404" xr:uid="{00000000-0005-0000-0000-00004C1F0000}"/>
    <cellStyle name="Normal 9 2 3 5 2" xfId="3634" xr:uid="{00000000-0005-0000-0000-00004D1F0000}"/>
    <cellStyle name="Normal 9 2 3 5 2 2" xfId="7858" xr:uid="{00000000-0005-0000-0000-00004E1F0000}"/>
    <cellStyle name="Normal 9 2 3 5 2 2 2" xfId="16287" xr:uid="{92192921-5841-4C91-8BB3-BDA466D84923}"/>
    <cellStyle name="Normal 9 2 3 5 2 3" xfId="12069" xr:uid="{A8D06D45-AA5F-48F4-85DF-E5146B827059}"/>
    <cellStyle name="Normal 9 2 3 5 3" xfId="5713" xr:uid="{00000000-0005-0000-0000-00004F1F0000}"/>
    <cellStyle name="Normal 9 2 3 5 3 2" xfId="14142" xr:uid="{651DA43B-EC19-4FCD-B632-89D4B2D8362C}"/>
    <cellStyle name="Normal 9 2 3 5 4" xfId="9924" xr:uid="{8B7B5F0B-90E5-40DB-8DD3-418385889344}"/>
    <cellStyle name="Normal 9 2 3 6" xfId="1817" xr:uid="{00000000-0005-0000-0000-0000501F0000}"/>
    <cellStyle name="Normal 9 2 3 6 2" xfId="4047" xr:uid="{00000000-0005-0000-0000-0000511F0000}"/>
    <cellStyle name="Normal 9 2 3 6 2 2" xfId="8271" xr:uid="{00000000-0005-0000-0000-0000521F0000}"/>
    <cellStyle name="Normal 9 2 3 6 2 2 2" xfId="16700" xr:uid="{E62A00C7-2332-46AC-908D-B325A60C69C8}"/>
    <cellStyle name="Normal 9 2 3 6 2 3" xfId="12482" xr:uid="{53B79690-C1EF-4710-BA8B-FFE194F0EE9D}"/>
    <cellStyle name="Normal 9 2 3 6 3" xfId="6126" xr:uid="{00000000-0005-0000-0000-0000531F0000}"/>
    <cellStyle name="Normal 9 2 3 6 3 2" xfId="14555" xr:uid="{0EF1B47B-E5A8-4632-A18B-CDE21D8CF8DD}"/>
    <cellStyle name="Normal 9 2 3 6 4" xfId="10337" xr:uid="{B21A73D9-8273-4B30-B12D-DCB8D8F12541}"/>
    <cellStyle name="Normal 9 2 3 7" xfId="2231" xr:uid="{00000000-0005-0000-0000-0000541F0000}"/>
    <cellStyle name="Normal 9 2 3 7 2" xfId="4460" xr:uid="{00000000-0005-0000-0000-0000551F0000}"/>
    <cellStyle name="Normal 9 2 3 7 2 2" xfId="8684" xr:uid="{00000000-0005-0000-0000-0000561F0000}"/>
    <cellStyle name="Normal 9 2 3 7 2 2 2" xfId="17113" xr:uid="{7CCC902A-8A1B-481E-AFBE-0EF6C259436A}"/>
    <cellStyle name="Normal 9 2 3 7 2 3" xfId="12895" xr:uid="{783503BD-4F5F-45BC-A7A8-DFB19DE23FC1}"/>
    <cellStyle name="Normal 9 2 3 7 3" xfId="6539" xr:uid="{00000000-0005-0000-0000-0000571F0000}"/>
    <cellStyle name="Normal 9 2 3 7 3 2" xfId="14968" xr:uid="{A3F91232-C87D-4B15-918B-E5423DC974C1}"/>
    <cellStyle name="Normal 9 2 3 7 4" xfId="10750" xr:uid="{53672037-A2E5-42B2-BDA3-7451623FD390}"/>
    <cellStyle name="Normal 9 2 3 8" xfId="2667" xr:uid="{00000000-0005-0000-0000-0000581F0000}"/>
    <cellStyle name="Normal 9 2 3 8 2" xfId="6952" xr:uid="{00000000-0005-0000-0000-0000591F0000}"/>
    <cellStyle name="Normal 9 2 3 8 2 2" xfId="15381" xr:uid="{90CE7A75-7019-4176-97EA-BB66065F932F}"/>
    <cellStyle name="Normal 9 2 3 8 3" xfId="11163" xr:uid="{724296BE-8F0C-41DA-80A2-4C9DAB588B19}"/>
    <cellStyle name="Normal 9 2 3 9" xfId="4887" xr:uid="{00000000-0005-0000-0000-00005A1F0000}"/>
    <cellStyle name="Normal 9 2 3 9 2" xfId="13316" xr:uid="{5D58452A-5E5A-4C8E-9690-C9BCF1D385EB}"/>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2 2 2" xfId="15879" xr:uid="{736CCFFF-C45B-454B-9B18-2BE905C43FA1}"/>
    <cellStyle name="Normal 9 2 4 2 2 2 3" xfId="11661" xr:uid="{E0A0C02D-592E-4857-9BB8-F24AA9BCCF73}"/>
    <cellStyle name="Normal 9 2 4 2 2 3" xfId="5305" xr:uid="{00000000-0005-0000-0000-0000601F0000}"/>
    <cellStyle name="Normal 9 2 4 2 2 3 2" xfId="13734" xr:uid="{9BE93034-63BC-4394-A591-415CAF6A9F64}"/>
    <cellStyle name="Normal 9 2 4 2 2 4" xfId="9516" xr:uid="{07143F80-40CF-4B79-B9AE-E6B5A156C9DD}"/>
    <cellStyle name="Normal 9 2 4 2 3" xfId="1409" xr:uid="{00000000-0005-0000-0000-0000611F0000}"/>
    <cellStyle name="Normal 9 2 4 2 3 2" xfId="3639" xr:uid="{00000000-0005-0000-0000-0000621F0000}"/>
    <cellStyle name="Normal 9 2 4 2 3 2 2" xfId="7863" xr:uid="{00000000-0005-0000-0000-0000631F0000}"/>
    <cellStyle name="Normal 9 2 4 2 3 2 2 2" xfId="16292" xr:uid="{EB483A5A-6601-4648-A641-FEE9F782D26A}"/>
    <cellStyle name="Normal 9 2 4 2 3 2 3" xfId="12074" xr:uid="{84429319-0255-4F57-BA12-33126BCF929C}"/>
    <cellStyle name="Normal 9 2 4 2 3 3" xfId="5718" xr:uid="{00000000-0005-0000-0000-0000641F0000}"/>
    <cellStyle name="Normal 9 2 4 2 3 3 2" xfId="14147" xr:uid="{A26BFE90-18B8-458D-A7CA-C2CA9371FC1B}"/>
    <cellStyle name="Normal 9 2 4 2 3 4" xfId="9929" xr:uid="{FC003C98-9701-4044-8E6C-C66D0125A8CB}"/>
    <cellStyle name="Normal 9 2 4 2 4" xfId="1822" xr:uid="{00000000-0005-0000-0000-0000651F0000}"/>
    <cellStyle name="Normal 9 2 4 2 4 2" xfId="4052" xr:uid="{00000000-0005-0000-0000-0000661F0000}"/>
    <cellStyle name="Normal 9 2 4 2 4 2 2" xfId="8276" xr:uid="{00000000-0005-0000-0000-0000671F0000}"/>
    <cellStyle name="Normal 9 2 4 2 4 2 2 2" xfId="16705" xr:uid="{3BA4D3D7-156E-4CBB-90E6-9BE984782C88}"/>
    <cellStyle name="Normal 9 2 4 2 4 2 3" xfId="12487" xr:uid="{5228CFF2-4CE7-493E-9780-9D4626B13016}"/>
    <cellStyle name="Normal 9 2 4 2 4 3" xfId="6131" xr:uid="{00000000-0005-0000-0000-0000681F0000}"/>
    <cellStyle name="Normal 9 2 4 2 4 3 2" xfId="14560" xr:uid="{A6B01C78-010D-4F38-9A76-3DC0A886EFDB}"/>
    <cellStyle name="Normal 9 2 4 2 4 4" xfId="10342" xr:uid="{972E8020-6514-4E9A-BF01-AC09656C2A2B}"/>
    <cellStyle name="Normal 9 2 4 2 5" xfId="2236" xr:uid="{00000000-0005-0000-0000-0000691F0000}"/>
    <cellStyle name="Normal 9 2 4 2 5 2" xfId="4465" xr:uid="{00000000-0005-0000-0000-00006A1F0000}"/>
    <cellStyle name="Normal 9 2 4 2 5 2 2" xfId="8689" xr:uid="{00000000-0005-0000-0000-00006B1F0000}"/>
    <cellStyle name="Normal 9 2 4 2 5 2 2 2" xfId="17118" xr:uid="{DC6DF779-66D0-4E24-A83A-55D1FEAD5913}"/>
    <cellStyle name="Normal 9 2 4 2 5 2 3" xfId="12900" xr:uid="{EF034483-9321-4268-BB14-8C35D77BDA40}"/>
    <cellStyle name="Normal 9 2 4 2 5 3" xfId="6544" xr:uid="{00000000-0005-0000-0000-00006C1F0000}"/>
    <cellStyle name="Normal 9 2 4 2 5 3 2" xfId="14973" xr:uid="{5CB65D11-ED21-4041-BCAD-AB5EBE05490B}"/>
    <cellStyle name="Normal 9 2 4 2 5 4" xfId="10755" xr:uid="{9589B1E1-1AE0-48F3-A295-2768AFE89C5B}"/>
    <cellStyle name="Normal 9 2 4 2 6" xfId="2672" xr:uid="{00000000-0005-0000-0000-00006D1F0000}"/>
    <cellStyle name="Normal 9 2 4 2 6 2" xfId="6957" xr:uid="{00000000-0005-0000-0000-00006E1F0000}"/>
    <cellStyle name="Normal 9 2 4 2 6 2 2" xfId="15386" xr:uid="{5E17FCAC-729E-4CC8-8045-C5CD7169F4E1}"/>
    <cellStyle name="Normal 9 2 4 2 6 3" xfId="11168" xr:uid="{9DA635AC-8AAF-4703-BA3E-FFB56F0284DC}"/>
    <cellStyle name="Normal 9 2 4 2 7" xfId="4892" xr:uid="{00000000-0005-0000-0000-00006F1F0000}"/>
    <cellStyle name="Normal 9 2 4 2 7 2" xfId="13321" xr:uid="{C18B7C1B-8574-4C95-98D6-067DB330A5C9}"/>
    <cellStyle name="Normal 9 2 4 2 8" xfId="9103" xr:uid="{5789E633-F77D-47C7-8BE9-9C0A61AB9FE8}"/>
    <cellStyle name="Normal 9 2 4 3" xfId="992" xr:uid="{00000000-0005-0000-0000-0000701F0000}"/>
    <cellStyle name="Normal 9 2 4 3 2" xfId="3225" xr:uid="{00000000-0005-0000-0000-0000711F0000}"/>
    <cellStyle name="Normal 9 2 4 3 2 2" xfId="7449" xr:uid="{00000000-0005-0000-0000-0000721F0000}"/>
    <cellStyle name="Normal 9 2 4 3 2 2 2" xfId="15878" xr:uid="{B35FFAA3-C09C-460E-BB25-5202F519F405}"/>
    <cellStyle name="Normal 9 2 4 3 2 3" xfId="11660" xr:uid="{237950AD-A327-4AB8-846C-D42FE259DB21}"/>
    <cellStyle name="Normal 9 2 4 3 3" xfId="5304" xr:uid="{00000000-0005-0000-0000-0000731F0000}"/>
    <cellStyle name="Normal 9 2 4 3 3 2" xfId="13733" xr:uid="{6B93A6CD-6267-4F46-9387-076640576103}"/>
    <cellStyle name="Normal 9 2 4 3 4" xfId="9515" xr:uid="{7A240B07-34E9-4330-BF23-9B87F8D4F3B7}"/>
    <cellStyle name="Normal 9 2 4 4" xfId="1408" xr:uid="{00000000-0005-0000-0000-0000741F0000}"/>
    <cellStyle name="Normal 9 2 4 4 2" xfId="3638" xr:uid="{00000000-0005-0000-0000-0000751F0000}"/>
    <cellStyle name="Normal 9 2 4 4 2 2" xfId="7862" xr:uid="{00000000-0005-0000-0000-0000761F0000}"/>
    <cellStyle name="Normal 9 2 4 4 2 2 2" xfId="16291" xr:uid="{F4042B3B-601B-4870-875F-68F015E11BC7}"/>
    <cellStyle name="Normal 9 2 4 4 2 3" xfId="12073" xr:uid="{E98C47F5-2AD7-454A-836E-EC081CB8D4CA}"/>
    <cellStyle name="Normal 9 2 4 4 3" xfId="5717" xr:uid="{00000000-0005-0000-0000-0000771F0000}"/>
    <cellStyle name="Normal 9 2 4 4 3 2" xfId="14146" xr:uid="{C394E10C-9A98-4138-8459-3A3671D51E32}"/>
    <cellStyle name="Normal 9 2 4 4 4" xfId="9928" xr:uid="{7388FA7B-6BBA-4D14-83E1-9EFFA6B8E874}"/>
    <cellStyle name="Normal 9 2 4 5" xfId="1821" xr:uid="{00000000-0005-0000-0000-0000781F0000}"/>
    <cellStyle name="Normal 9 2 4 5 2" xfId="4051" xr:uid="{00000000-0005-0000-0000-0000791F0000}"/>
    <cellStyle name="Normal 9 2 4 5 2 2" xfId="8275" xr:uid="{00000000-0005-0000-0000-00007A1F0000}"/>
    <cellStyle name="Normal 9 2 4 5 2 2 2" xfId="16704" xr:uid="{682EC201-EE54-488A-AD34-73A74D72C1B0}"/>
    <cellStyle name="Normal 9 2 4 5 2 3" xfId="12486" xr:uid="{E754180D-2FE7-42AE-A9DA-0492AEB3DBF4}"/>
    <cellStyle name="Normal 9 2 4 5 3" xfId="6130" xr:uid="{00000000-0005-0000-0000-00007B1F0000}"/>
    <cellStyle name="Normal 9 2 4 5 3 2" xfId="14559" xr:uid="{927EB9FF-CF51-46E7-8758-D5681884C903}"/>
    <cellStyle name="Normal 9 2 4 5 4" xfId="10341" xr:uid="{851BE7E6-B49D-4846-9D45-3C47AB554269}"/>
    <cellStyle name="Normal 9 2 4 6" xfId="2235" xr:uid="{00000000-0005-0000-0000-00007C1F0000}"/>
    <cellStyle name="Normal 9 2 4 6 2" xfId="4464" xr:uid="{00000000-0005-0000-0000-00007D1F0000}"/>
    <cellStyle name="Normal 9 2 4 6 2 2" xfId="8688" xr:uid="{00000000-0005-0000-0000-00007E1F0000}"/>
    <cellStyle name="Normal 9 2 4 6 2 2 2" xfId="17117" xr:uid="{9B95162E-AB8C-459F-A404-459A33D86010}"/>
    <cellStyle name="Normal 9 2 4 6 2 3" xfId="12899" xr:uid="{39D872EC-3583-4805-8733-A5649A45CCE3}"/>
    <cellStyle name="Normal 9 2 4 6 3" xfId="6543" xr:uid="{00000000-0005-0000-0000-00007F1F0000}"/>
    <cellStyle name="Normal 9 2 4 6 3 2" xfId="14972" xr:uid="{B3756498-7FFE-4165-928B-573EA67244AE}"/>
    <cellStyle name="Normal 9 2 4 6 4" xfId="10754" xr:uid="{F6F82228-200D-4254-9776-BC0B1CC49756}"/>
    <cellStyle name="Normal 9 2 4 7" xfId="2671" xr:uid="{00000000-0005-0000-0000-0000801F0000}"/>
    <cellStyle name="Normal 9 2 4 7 2" xfId="6956" xr:uid="{00000000-0005-0000-0000-0000811F0000}"/>
    <cellStyle name="Normal 9 2 4 7 2 2" xfId="15385" xr:uid="{E186FE0E-C919-4D09-99CD-13A4DA913BC6}"/>
    <cellStyle name="Normal 9 2 4 7 3" xfId="11167" xr:uid="{79AEA0E8-BE42-4B1B-B0E8-E5A1E5471104}"/>
    <cellStyle name="Normal 9 2 4 8" xfId="4891" xr:uid="{00000000-0005-0000-0000-0000821F0000}"/>
    <cellStyle name="Normal 9 2 4 8 2" xfId="13320" xr:uid="{5AF5ABDA-D199-4C8C-BC9E-4B2C9D426535}"/>
    <cellStyle name="Normal 9 2 4 9" xfId="9102" xr:uid="{E7B2776F-36CF-4BF8-8AB6-24A031905BF7}"/>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2 2 2" xfId="15880" xr:uid="{5E25C7B2-6D61-43CD-8F86-4243A2270CA7}"/>
    <cellStyle name="Normal 9 2 5 2 2 3" xfId="11662" xr:uid="{01CB93D1-2D3E-4F3E-A344-03EA7549DA70}"/>
    <cellStyle name="Normal 9 2 5 2 3" xfId="5306" xr:uid="{00000000-0005-0000-0000-0000871F0000}"/>
    <cellStyle name="Normal 9 2 5 2 3 2" xfId="13735" xr:uid="{E4B7A273-6371-4577-91AA-38193DEC4950}"/>
    <cellStyle name="Normal 9 2 5 2 4" xfId="9517" xr:uid="{11044461-177A-4BA5-A60B-6C930DFCB075}"/>
    <cellStyle name="Normal 9 2 5 3" xfId="1410" xr:uid="{00000000-0005-0000-0000-0000881F0000}"/>
    <cellStyle name="Normal 9 2 5 3 2" xfId="3640" xr:uid="{00000000-0005-0000-0000-0000891F0000}"/>
    <cellStyle name="Normal 9 2 5 3 2 2" xfId="7864" xr:uid="{00000000-0005-0000-0000-00008A1F0000}"/>
    <cellStyle name="Normal 9 2 5 3 2 2 2" xfId="16293" xr:uid="{1C401D8C-D425-4B6C-AEC8-5438E39942A4}"/>
    <cellStyle name="Normal 9 2 5 3 2 3" xfId="12075" xr:uid="{4F15AC38-AA94-4C83-9E49-02CA737A7A86}"/>
    <cellStyle name="Normal 9 2 5 3 3" xfId="5719" xr:uid="{00000000-0005-0000-0000-00008B1F0000}"/>
    <cellStyle name="Normal 9 2 5 3 3 2" xfId="14148" xr:uid="{A6C6AE3F-39E1-410D-BD72-7B4B8C3AF6DD}"/>
    <cellStyle name="Normal 9 2 5 3 4" xfId="9930" xr:uid="{2DFB6268-269A-443C-912C-05C218221092}"/>
    <cellStyle name="Normal 9 2 5 4" xfId="1823" xr:uid="{00000000-0005-0000-0000-00008C1F0000}"/>
    <cellStyle name="Normal 9 2 5 4 2" xfId="4053" xr:uid="{00000000-0005-0000-0000-00008D1F0000}"/>
    <cellStyle name="Normal 9 2 5 4 2 2" xfId="8277" xr:uid="{00000000-0005-0000-0000-00008E1F0000}"/>
    <cellStyle name="Normal 9 2 5 4 2 2 2" xfId="16706" xr:uid="{08D6DFA8-8FE5-4588-9AC5-ECF23D7EE441}"/>
    <cellStyle name="Normal 9 2 5 4 2 3" xfId="12488" xr:uid="{BF29A78F-A306-4813-ABC9-6B0D30AAC5F6}"/>
    <cellStyle name="Normal 9 2 5 4 3" xfId="6132" xr:uid="{00000000-0005-0000-0000-00008F1F0000}"/>
    <cellStyle name="Normal 9 2 5 4 3 2" xfId="14561" xr:uid="{7E0D53B1-E8B0-4E0D-825A-F6625FEB374E}"/>
    <cellStyle name="Normal 9 2 5 4 4" xfId="10343" xr:uid="{16EE60FE-5D1C-4420-BC82-FC129DBBBD9C}"/>
    <cellStyle name="Normal 9 2 5 5" xfId="2237" xr:uid="{00000000-0005-0000-0000-0000901F0000}"/>
    <cellStyle name="Normal 9 2 5 5 2" xfId="4466" xr:uid="{00000000-0005-0000-0000-0000911F0000}"/>
    <cellStyle name="Normal 9 2 5 5 2 2" xfId="8690" xr:uid="{00000000-0005-0000-0000-0000921F0000}"/>
    <cellStyle name="Normal 9 2 5 5 2 2 2" xfId="17119" xr:uid="{169B9D8D-A816-4B14-A395-F271987CD0D0}"/>
    <cellStyle name="Normal 9 2 5 5 2 3" xfId="12901" xr:uid="{CBEF79B5-32DD-4C76-994F-32238818A7BA}"/>
    <cellStyle name="Normal 9 2 5 5 3" xfId="6545" xr:uid="{00000000-0005-0000-0000-0000931F0000}"/>
    <cellStyle name="Normal 9 2 5 5 3 2" xfId="14974" xr:uid="{D9CFD3F1-1783-4173-ABFE-8CA8071FE041}"/>
    <cellStyle name="Normal 9 2 5 5 4" xfId="10756" xr:uid="{7DDDED90-813C-496C-B4BC-022D9385091B}"/>
    <cellStyle name="Normal 9 2 5 6" xfId="2673" xr:uid="{00000000-0005-0000-0000-0000941F0000}"/>
    <cellStyle name="Normal 9 2 5 6 2" xfId="6958" xr:uid="{00000000-0005-0000-0000-0000951F0000}"/>
    <cellStyle name="Normal 9 2 5 6 2 2" xfId="15387" xr:uid="{40070F87-F527-4F14-AC20-B4419F3E1659}"/>
    <cellStyle name="Normal 9 2 5 6 3" xfId="11169" xr:uid="{E28D323C-E840-451E-8871-D0130E27D67A}"/>
    <cellStyle name="Normal 9 2 5 7" xfId="4893" xr:uid="{00000000-0005-0000-0000-0000961F0000}"/>
    <cellStyle name="Normal 9 2 5 7 2" xfId="13322" xr:uid="{241CBC55-7A69-4B29-91C3-A3297DDD0675}"/>
    <cellStyle name="Normal 9 2 5 8" xfId="9104" xr:uid="{D5846C9E-76E6-4F7D-9345-0694814EC301}"/>
    <cellStyle name="Normal 9 2 6" xfId="979" xr:uid="{00000000-0005-0000-0000-0000971F0000}"/>
    <cellStyle name="Normal 9 2 6 2" xfId="3212" xr:uid="{00000000-0005-0000-0000-0000981F0000}"/>
    <cellStyle name="Normal 9 2 6 2 2" xfId="7436" xr:uid="{00000000-0005-0000-0000-0000991F0000}"/>
    <cellStyle name="Normal 9 2 6 2 2 2" xfId="15865" xr:uid="{57808D7F-DFD7-45FC-9CAF-E2BE65ACFF15}"/>
    <cellStyle name="Normal 9 2 6 2 3" xfId="11647" xr:uid="{8F37E28E-115F-4BF5-8F66-3D69BF4FE65F}"/>
    <cellStyle name="Normal 9 2 6 3" xfId="5291" xr:uid="{00000000-0005-0000-0000-00009A1F0000}"/>
    <cellStyle name="Normal 9 2 6 3 2" xfId="13720" xr:uid="{ED07CE54-61DD-42AF-9E43-9CDF46992634}"/>
    <cellStyle name="Normal 9 2 6 4" xfId="9502" xr:uid="{C0027315-8E8C-4C6E-89C6-DC02156ECD95}"/>
    <cellStyle name="Normal 9 2 7" xfId="1395" xr:uid="{00000000-0005-0000-0000-00009B1F0000}"/>
    <cellStyle name="Normal 9 2 7 2" xfId="3625" xr:uid="{00000000-0005-0000-0000-00009C1F0000}"/>
    <cellStyle name="Normal 9 2 7 2 2" xfId="7849" xr:uid="{00000000-0005-0000-0000-00009D1F0000}"/>
    <cellStyle name="Normal 9 2 7 2 2 2" xfId="16278" xr:uid="{0CC691B3-D33E-41A6-B955-4CED60F71936}"/>
    <cellStyle name="Normal 9 2 7 2 3" xfId="12060" xr:uid="{DE4C6B9C-F787-410C-8538-A835A00657F4}"/>
    <cellStyle name="Normal 9 2 7 3" xfId="5704" xr:uid="{00000000-0005-0000-0000-00009E1F0000}"/>
    <cellStyle name="Normal 9 2 7 3 2" xfId="14133" xr:uid="{4DB04E42-6835-4FFF-AB35-E1D6DFEF6926}"/>
    <cellStyle name="Normal 9 2 7 4" xfId="9915" xr:uid="{2D1F525D-7253-4722-B047-CB03433BE65E}"/>
    <cellStyle name="Normal 9 2 8" xfId="1808" xr:uid="{00000000-0005-0000-0000-00009F1F0000}"/>
    <cellStyle name="Normal 9 2 8 2" xfId="4038" xr:uid="{00000000-0005-0000-0000-0000A01F0000}"/>
    <cellStyle name="Normal 9 2 8 2 2" xfId="8262" xr:uid="{00000000-0005-0000-0000-0000A11F0000}"/>
    <cellStyle name="Normal 9 2 8 2 2 2" xfId="16691" xr:uid="{9DA99FC6-1D69-451C-810C-0B86AAE380F8}"/>
    <cellStyle name="Normal 9 2 8 2 3" xfId="12473" xr:uid="{3D8E14BA-1F50-4345-99A2-16DD88ADE809}"/>
    <cellStyle name="Normal 9 2 8 3" xfId="6117" xr:uid="{00000000-0005-0000-0000-0000A21F0000}"/>
    <cellStyle name="Normal 9 2 8 3 2" xfId="14546" xr:uid="{EA03DEC2-8CEE-4C68-A7CD-223B23D12E03}"/>
    <cellStyle name="Normal 9 2 8 4" xfId="10328" xr:uid="{C0F2E76B-B3DF-4885-9C0C-7849DFFFC909}"/>
    <cellStyle name="Normal 9 2 9" xfId="2222" xr:uid="{00000000-0005-0000-0000-0000A31F0000}"/>
    <cellStyle name="Normal 9 2 9 2" xfId="4451" xr:uid="{00000000-0005-0000-0000-0000A41F0000}"/>
    <cellStyle name="Normal 9 2 9 2 2" xfId="8675" xr:uid="{00000000-0005-0000-0000-0000A51F0000}"/>
    <cellStyle name="Normal 9 2 9 2 2 2" xfId="17104" xr:uid="{1D43C5D7-B1F7-475E-90BD-A6035C3DB98D}"/>
    <cellStyle name="Normal 9 2 9 2 3" xfId="12886" xr:uid="{ADB1E1E9-AD33-4613-9A30-68D6A3912A47}"/>
    <cellStyle name="Normal 9 2 9 3" xfId="6530" xr:uid="{00000000-0005-0000-0000-0000A61F0000}"/>
    <cellStyle name="Normal 9 2 9 3 2" xfId="14959" xr:uid="{9053E0BD-D7CF-42FC-A561-E665E51F3B08}"/>
    <cellStyle name="Normal 9 2 9 4" xfId="10741" xr:uid="{A165EE1B-F29F-43F9-B5F3-94DCD125398E}"/>
    <cellStyle name="Normal 9 3" xfId="527" xr:uid="{00000000-0005-0000-0000-0000A71F0000}"/>
    <cellStyle name="Normal 9 3 10" xfId="4894" xr:uid="{00000000-0005-0000-0000-0000A81F0000}"/>
    <cellStyle name="Normal 9 3 10 2" xfId="13323" xr:uid="{70CC8DDE-F1F8-4664-B3D0-AA8544E8F326}"/>
    <cellStyle name="Normal 9 3 11" xfId="9105" xr:uid="{18CAEDB6-1E7A-434A-84A8-6C7F217CF6BB}"/>
    <cellStyle name="Normal 9 3 2" xfId="528" xr:uid="{00000000-0005-0000-0000-0000A91F0000}"/>
    <cellStyle name="Normal 9 3 2 10" xfId="9106" xr:uid="{03B36BCF-5FD4-40DE-830D-90181BF3622E}"/>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2 2 2" xfId="15884" xr:uid="{6E0A9AAA-E193-41D5-9988-EE875295C10D}"/>
    <cellStyle name="Normal 9 3 2 2 2 2 2 3" xfId="11666" xr:uid="{F0F038A1-002B-4AB7-8222-1538EC3B1FD0}"/>
    <cellStyle name="Normal 9 3 2 2 2 2 3" xfId="5310" xr:uid="{00000000-0005-0000-0000-0000AF1F0000}"/>
    <cellStyle name="Normal 9 3 2 2 2 2 3 2" xfId="13739" xr:uid="{354D1683-2D13-40A6-9EAA-CBD3924BDF0F}"/>
    <cellStyle name="Normal 9 3 2 2 2 2 4" xfId="9521" xr:uid="{4F9E555C-F747-4B78-BE63-0B096A143125}"/>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2 2 2" xfId="16297" xr:uid="{ABCE9CD8-5F7C-4AA2-B1F8-EAF2C66B325E}"/>
    <cellStyle name="Normal 9 3 2 2 2 3 2 3" xfId="12079" xr:uid="{5E071478-B2D7-40C2-B926-D18F666AB991}"/>
    <cellStyle name="Normal 9 3 2 2 2 3 3" xfId="5723" xr:uid="{00000000-0005-0000-0000-0000B31F0000}"/>
    <cellStyle name="Normal 9 3 2 2 2 3 3 2" xfId="14152" xr:uid="{97BD778B-B17B-4C6F-98FA-75514872004B}"/>
    <cellStyle name="Normal 9 3 2 2 2 3 4" xfId="9934" xr:uid="{2CA69C4B-10A7-4E4F-BA13-78114B62A455}"/>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2 2 2" xfId="16710" xr:uid="{96478C61-27E0-48E4-AEEE-C97BB116560A}"/>
    <cellStyle name="Normal 9 3 2 2 2 4 2 3" xfId="12492" xr:uid="{AAAE4BC1-1316-4EFD-BFF8-EBD9A63AB4E4}"/>
    <cellStyle name="Normal 9 3 2 2 2 4 3" xfId="6136" xr:uid="{00000000-0005-0000-0000-0000B71F0000}"/>
    <cellStyle name="Normal 9 3 2 2 2 4 3 2" xfId="14565" xr:uid="{20C92CFF-EFAD-443B-8860-8B4CADA94503}"/>
    <cellStyle name="Normal 9 3 2 2 2 4 4" xfId="10347" xr:uid="{FBE4B073-DFA0-4942-92F4-DAA84518B5B7}"/>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2 2 2" xfId="17123" xr:uid="{58B0BC33-4606-4FB0-94B8-49FA72331D01}"/>
    <cellStyle name="Normal 9 3 2 2 2 5 2 3" xfId="12905" xr:uid="{F74BDFCA-9598-4090-8172-6AA11AC27F8F}"/>
    <cellStyle name="Normal 9 3 2 2 2 5 3" xfId="6549" xr:uid="{00000000-0005-0000-0000-0000BB1F0000}"/>
    <cellStyle name="Normal 9 3 2 2 2 5 3 2" xfId="14978" xr:uid="{077497C3-24F9-49D7-A943-AFCEBA03D242}"/>
    <cellStyle name="Normal 9 3 2 2 2 5 4" xfId="10760" xr:uid="{33F61B63-C83E-4CED-8580-AA003B3B82C5}"/>
    <cellStyle name="Normal 9 3 2 2 2 6" xfId="2677" xr:uid="{00000000-0005-0000-0000-0000BC1F0000}"/>
    <cellStyle name="Normal 9 3 2 2 2 6 2" xfId="6962" xr:uid="{00000000-0005-0000-0000-0000BD1F0000}"/>
    <cellStyle name="Normal 9 3 2 2 2 6 2 2" xfId="15391" xr:uid="{5EA2EDD3-B831-4352-A507-48EDBFB3E95C}"/>
    <cellStyle name="Normal 9 3 2 2 2 6 3" xfId="11173" xr:uid="{FCE3B1FB-A403-4481-B47B-035BED7E0EE0}"/>
    <cellStyle name="Normal 9 3 2 2 2 7" xfId="4897" xr:uid="{00000000-0005-0000-0000-0000BE1F0000}"/>
    <cellStyle name="Normal 9 3 2 2 2 7 2" xfId="13326" xr:uid="{10EE240F-A6F8-4307-AC27-7A868FB97B2A}"/>
    <cellStyle name="Normal 9 3 2 2 2 8" xfId="9108" xr:uid="{3C25559C-EFAC-42F9-A2A9-AB1B7EE9E907}"/>
    <cellStyle name="Normal 9 3 2 2 3" xfId="997" xr:uid="{00000000-0005-0000-0000-0000BF1F0000}"/>
    <cellStyle name="Normal 9 3 2 2 3 2" xfId="3230" xr:uid="{00000000-0005-0000-0000-0000C01F0000}"/>
    <cellStyle name="Normal 9 3 2 2 3 2 2" xfId="7454" xr:uid="{00000000-0005-0000-0000-0000C11F0000}"/>
    <cellStyle name="Normal 9 3 2 2 3 2 2 2" xfId="15883" xr:uid="{FC0230EF-A557-4113-A37C-6C298C130B09}"/>
    <cellStyle name="Normal 9 3 2 2 3 2 3" xfId="11665" xr:uid="{6791E2EF-02FC-468B-8B02-7264DAFD63A2}"/>
    <cellStyle name="Normal 9 3 2 2 3 3" xfId="5309" xr:uid="{00000000-0005-0000-0000-0000C21F0000}"/>
    <cellStyle name="Normal 9 3 2 2 3 3 2" xfId="13738" xr:uid="{A04429A2-867A-48B2-A4DC-A99CA3BF3A95}"/>
    <cellStyle name="Normal 9 3 2 2 3 4" xfId="9520" xr:uid="{F2A2ED06-562D-4EF1-A28C-F752E808B937}"/>
    <cellStyle name="Normal 9 3 2 2 4" xfId="1413" xr:uid="{00000000-0005-0000-0000-0000C31F0000}"/>
    <cellStyle name="Normal 9 3 2 2 4 2" xfId="3643" xr:uid="{00000000-0005-0000-0000-0000C41F0000}"/>
    <cellStyle name="Normal 9 3 2 2 4 2 2" xfId="7867" xr:uid="{00000000-0005-0000-0000-0000C51F0000}"/>
    <cellStyle name="Normal 9 3 2 2 4 2 2 2" xfId="16296" xr:uid="{4743E332-ED13-42BA-8C34-DA6FE2FDF00B}"/>
    <cellStyle name="Normal 9 3 2 2 4 2 3" xfId="12078" xr:uid="{42E9478B-8A11-4BCD-B195-2F682BA4199F}"/>
    <cellStyle name="Normal 9 3 2 2 4 3" xfId="5722" xr:uid="{00000000-0005-0000-0000-0000C61F0000}"/>
    <cellStyle name="Normal 9 3 2 2 4 3 2" xfId="14151" xr:uid="{4B8F164D-CAA1-4E33-8267-41C1787251C1}"/>
    <cellStyle name="Normal 9 3 2 2 4 4" xfId="9933" xr:uid="{2B8B5F45-CAF1-4CFD-AF5D-8244662C0B94}"/>
    <cellStyle name="Normal 9 3 2 2 5" xfId="1826" xr:uid="{00000000-0005-0000-0000-0000C71F0000}"/>
    <cellStyle name="Normal 9 3 2 2 5 2" xfId="4056" xr:uid="{00000000-0005-0000-0000-0000C81F0000}"/>
    <cellStyle name="Normal 9 3 2 2 5 2 2" xfId="8280" xr:uid="{00000000-0005-0000-0000-0000C91F0000}"/>
    <cellStyle name="Normal 9 3 2 2 5 2 2 2" xfId="16709" xr:uid="{0CDEDD56-433B-443B-9293-340EB9F79965}"/>
    <cellStyle name="Normal 9 3 2 2 5 2 3" xfId="12491" xr:uid="{2E9A4EEB-EB47-4B0E-9FEC-C537896A670B}"/>
    <cellStyle name="Normal 9 3 2 2 5 3" xfId="6135" xr:uid="{00000000-0005-0000-0000-0000CA1F0000}"/>
    <cellStyle name="Normal 9 3 2 2 5 3 2" xfId="14564" xr:uid="{6F103FEB-A75A-4D7C-95D4-F3E69B2BE9E3}"/>
    <cellStyle name="Normal 9 3 2 2 5 4" xfId="10346" xr:uid="{A4A26495-5B3C-4EBD-8C8F-FADDD41C58E6}"/>
    <cellStyle name="Normal 9 3 2 2 6" xfId="2240" xr:uid="{00000000-0005-0000-0000-0000CB1F0000}"/>
    <cellStyle name="Normal 9 3 2 2 6 2" xfId="4469" xr:uid="{00000000-0005-0000-0000-0000CC1F0000}"/>
    <cellStyle name="Normal 9 3 2 2 6 2 2" xfId="8693" xr:uid="{00000000-0005-0000-0000-0000CD1F0000}"/>
    <cellStyle name="Normal 9 3 2 2 6 2 2 2" xfId="17122" xr:uid="{4501DAB1-79D6-45ED-A510-069DB86E39AA}"/>
    <cellStyle name="Normal 9 3 2 2 6 2 3" xfId="12904" xr:uid="{795BF7E8-54E5-406C-B8DF-A471B221ADC9}"/>
    <cellStyle name="Normal 9 3 2 2 6 3" xfId="6548" xr:uid="{00000000-0005-0000-0000-0000CE1F0000}"/>
    <cellStyle name="Normal 9 3 2 2 6 3 2" xfId="14977" xr:uid="{A6888A5B-B8E4-4589-9FD8-B633B3062967}"/>
    <cellStyle name="Normal 9 3 2 2 6 4" xfId="10759" xr:uid="{2094543D-EBC3-4049-9FC4-5143CC079A03}"/>
    <cellStyle name="Normal 9 3 2 2 7" xfId="2676" xr:uid="{00000000-0005-0000-0000-0000CF1F0000}"/>
    <cellStyle name="Normal 9 3 2 2 7 2" xfId="6961" xr:uid="{00000000-0005-0000-0000-0000D01F0000}"/>
    <cellStyle name="Normal 9 3 2 2 7 2 2" xfId="15390" xr:uid="{A7CB9739-AEC3-4733-A45D-9DE34CEDA4B4}"/>
    <cellStyle name="Normal 9 3 2 2 7 3" xfId="11172" xr:uid="{5983AEC1-4CA9-4B48-8882-561B9FB03861}"/>
    <cellStyle name="Normal 9 3 2 2 8" xfId="4896" xr:uid="{00000000-0005-0000-0000-0000D11F0000}"/>
    <cellStyle name="Normal 9 3 2 2 8 2" xfId="13325" xr:uid="{DC204B2A-C9EA-4925-80ED-4FFFCBA5155D}"/>
    <cellStyle name="Normal 9 3 2 2 9" xfId="9107" xr:uid="{BEBB25A7-ED6D-47EF-8EAB-E36FBEEE7C17}"/>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2 2 2" xfId="15885" xr:uid="{14DA885F-2B60-4C43-813A-D92A5E4619A8}"/>
    <cellStyle name="Normal 9 3 2 3 2 2 3" xfId="11667" xr:uid="{9D93FF1A-4FA4-4E2C-80EE-92CEB666CAE7}"/>
    <cellStyle name="Normal 9 3 2 3 2 3" xfId="5311" xr:uid="{00000000-0005-0000-0000-0000D61F0000}"/>
    <cellStyle name="Normal 9 3 2 3 2 3 2" xfId="13740" xr:uid="{DDC38DC1-6438-4851-9F92-2B1B23D669E4}"/>
    <cellStyle name="Normal 9 3 2 3 2 4" xfId="9522" xr:uid="{DD5CF94F-582A-4F28-9338-AA3EF951770B}"/>
    <cellStyle name="Normal 9 3 2 3 3" xfId="1415" xr:uid="{00000000-0005-0000-0000-0000D71F0000}"/>
    <cellStyle name="Normal 9 3 2 3 3 2" xfId="3645" xr:uid="{00000000-0005-0000-0000-0000D81F0000}"/>
    <cellStyle name="Normal 9 3 2 3 3 2 2" xfId="7869" xr:uid="{00000000-0005-0000-0000-0000D91F0000}"/>
    <cellStyle name="Normal 9 3 2 3 3 2 2 2" xfId="16298" xr:uid="{26709FA6-0837-472B-8D0E-855132156680}"/>
    <cellStyle name="Normal 9 3 2 3 3 2 3" xfId="12080" xr:uid="{25A5627B-6AEB-40E9-9F5C-C01FEECC9E7D}"/>
    <cellStyle name="Normal 9 3 2 3 3 3" xfId="5724" xr:uid="{00000000-0005-0000-0000-0000DA1F0000}"/>
    <cellStyle name="Normal 9 3 2 3 3 3 2" xfId="14153" xr:uid="{F292D42F-3270-47BB-B72C-C0BA00CDE88D}"/>
    <cellStyle name="Normal 9 3 2 3 3 4" xfId="9935" xr:uid="{9822FE33-CF1E-46ED-A4E3-69F6F92CFF93}"/>
    <cellStyle name="Normal 9 3 2 3 4" xfId="1828" xr:uid="{00000000-0005-0000-0000-0000DB1F0000}"/>
    <cellStyle name="Normal 9 3 2 3 4 2" xfId="4058" xr:uid="{00000000-0005-0000-0000-0000DC1F0000}"/>
    <cellStyle name="Normal 9 3 2 3 4 2 2" xfId="8282" xr:uid="{00000000-0005-0000-0000-0000DD1F0000}"/>
    <cellStyle name="Normal 9 3 2 3 4 2 2 2" xfId="16711" xr:uid="{E2377C5C-66C2-4CEF-877F-0FBC6B14EB1F}"/>
    <cellStyle name="Normal 9 3 2 3 4 2 3" xfId="12493" xr:uid="{9E305C0F-FDF6-4BF2-9FDB-0315B351AB79}"/>
    <cellStyle name="Normal 9 3 2 3 4 3" xfId="6137" xr:uid="{00000000-0005-0000-0000-0000DE1F0000}"/>
    <cellStyle name="Normal 9 3 2 3 4 3 2" xfId="14566" xr:uid="{384C1571-C5DC-4191-91AC-64C0DF794C72}"/>
    <cellStyle name="Normal 9 3 2 3 4 4" xfId="10348" xr:uid="{6385F85C-E991-4E65-85B5-B47B268FA292}"/>
    <cellStyle name="Normal 9 3 2 3 5" xfId="2242" xr:uid="{00000000-0005-0000-0000-0000DF1F0000}"/>
    <cellStyle name="Normal 9 3 2 3 5 2" xfId="4471" xr:uid="{00000000-0005-0000-0000-0000E01F0000}"/>
    <cellStyle name="Normal 9 3 2 3 5 2 2" xfId="8695" xr:uid="{00000000-0005-0000-0000-0000E11F0000}"/>
    <cellStyle name="Normal 9 3 2 3 5 2 2 2" xfId="17124" xr:uid="{5F924DBF-3112-436B-BC0D-57DAF8301EC2}"/>
    <cellStyle name="Normal 9 3 2 3 5 2 3" xfId="12906" xr:uid="{D3117B0C-D0F8-44F0-887D-9FD8B73CA9DC}"/>
    <cellStyle name="Normal 9 3 2 3 5 3" xfId="6550" xr:uid="{00000000-0005-0000-0000-0000E21F0000}"/>
    <cellStyle name="Normal 9 3 2 3 5 3 2" xfId="14979" xr:uid="{E71A72C6-A221-43A8-9612-8B735B2F94A6}"/>
    <cellStyle name="Normal 9 3 2 3 5 4" xfId="10761" xr:uid="{EB7AB12B-7DC8-45C0-B278-B4692643A70E}"/>
    <cellStyle name="Normal 9 3 2 3 6" xfId="2678" xr:uid="{00000000-0005-0000-0000-0000E31F0000}"/>
    <cellStyle name="Normal 9 3 2 3 6 2" xfId="6963" xr:uid="{00000000-0005-0000-0000-0000E41F0000}"/>
    <cellStyle name="Normal 9 3 2 3 6 2 2" xfId="15392" xr:uid="{4FCA192E-2C61-4391-8350-D2E7811CA805}"/>
    <cellStyle name="Normal 9 3 2 3 6 3" xfId="11174" xr:uid="{F73DEC3D-B13D-4A46-A1DE-4FAC2B56029E}"/>
    <cellStyle name="Normal 9 3 2 3 7" xfId="4898" xr:uid="{00000000-0005-0000-0000-0000E51F0000}"/>
    <cellStyle name="Normal 9 3 2 3 7 2" xfId="13327" xr:uid="{C7A67654-E6C3-43E8-8311-01984838E32D}"/>
    <cellStyle name="Normal 9 3 2 3 8" xfId="9109" xr:uid="{4464BAEC-59F9-4F82-9709-8B20B71F92E4}"/>
    <cellStyle name="Normal 9 3 2 4" xfId="996" xr:uid="{00000000-0005-0000-0000-0000E61F0000}"/>
    <cellStyle name="Normal 9 3 2 4 2" xfId="3229" xr:uid="{00000000-0005-0000-0000-0000E71F0000}"/>
    <cellStyle name="Normal 9 3 2 4 2 2" xfId="7453" xr:uid="{00000000-0005-0000-0000-0000E81F0000}"/>
    <cellStyle name="Normal 9 3 2 4 2 2 2" xfId="15882" xr:uid="{6F23E977-5568-450B-9944-A6DCF9D44E49}"/>
    <cellStyle name="Normal 9 3 2 4 2 3" xfId="11664" xr:uid="{5772E3B3-D7A8-4BB7-96FA-59A8E41B4D7C}"/>
    <cellStyle name="Normal 9 3 2 4 3" xfId="5308" xr:uid="{00000000-0005-0000-0000-0000E91F0000}"/>
    <cellStyle name="Normal 9 3 2 4 3 2" xfId="13737" xr:uid="{F9E16786-3348-401F-9A11-2786B9E274FA}"/>
    <cellStyle name="Normal 9 3 2 4 4" xfId="9519" xr:uid="{96692A46-369B-4FBA-A085-8442C9BD8EC2}"/>
    <cellStyle name="Normal 9 3 2 5" xfId="1412" xr:uid="{00000000-0005-0000-0000-0000EA1F0000}"/>
    <cellStyle name="Normal 9 3 2 5 2" xfId="3642" xr:uid="{00000000-0005-0000-0000-0000EB1F0000}"/>
    <cellStyle name="Normal 9 3 2 5 2 2" xfId="7866" xr:uid="{00000000-0005-0000-0000-0000EC1F0000}"/>
    <cellStyle name="Normal 9 3 2 5 2 2 2" xfId="16295" xr:uid="{2864572C-9351-4385-86C4-990F4858CBD3}"/>
    <cellStyle name="Normal 9 3 2 5 2 3" xfId="12077" xr:uid="{116ABAD1-F3BE-4E9E-AF2D-BDFDBF48899A}"/>
    <cellStyle name="Normal 9 3 2 5 3" xfId="5721" xr:uid="{00000000-0005-0000-0000-0000ED1F0000}"/>
    <cellStyle name="Normal 9 3 2 5 3 2" xfId="14150" xr:uid="{A865FFDB-721B-4260-8D05-3619B69ECAAD}"/>
    <cellStyle name="Normal 9 3 2 5 4" xfId="9932" xr:uid="{4C84BBEF-3587-4456-9B5F-0647F42EA29B}"/>
    <cellStyle name="Normal 9 3 2 6" xfId="1825" xr:uid="{00000000-0005-0000-0000-0000EE1F0000}"/>
    <cellStyle name="Normal 9 3 2 6 2" xfId="4055" xr:uid="{00000000-0005-0000-0000-0000EF1F0000}"/>
    <cellStyle name="Normal 9 3 2 6 2 2" xfId="8279" xr:uid="{00000000-0005-0000-0000-0000F01F0000}"/>
    <cellStyle name="Normal 9 3 2 6 2 2 2" xfId="16708" xr:uid="{1CF2824E-B995-4753-824F-E065645D6E4D}"/>
    <cellStyle name="Normal 9 3 2 6 2 3" xfId="12490" xr:uid="{0017A422-25D7-4246-B954-89F65FFAE7C5}"/>
    <cellStyle name="Normal 9 3 2 6 3" xfId="6134" xr:uid="{00000000-0005-0000-0000-0000F11F0000}"/>
    <cellStyle name="Normal 9 3 2 6 3 2" xfId="14563" xr:uid="{3ADD8575-2E9C-47EF-9401-E43301DDA177}"/>
    <cellStyle name="Normal 9 3 2 6 4" xfId="10345" xr:uid="{7E974F38-024A-4FE2-8834-CF191FE47CEC}"/>
    <cellStyle name="Normal 9 3 2 7" xfId="2239" xr:uid="{00000000-0005-0000-0000-0000F21F0000}"/>
    <cellStyle name="Normal 9 3 2 7 2" xfId="4468" xr:uid="{00000000-0005-0000-0000-0000F31F0000}"/>
    <cellStyle name="Normal 9 3 2 7 2 2" xfId="8692" xr:uid="{00000000-0005-0000-0000-0000F41F0000}"/>
    <cellStyle name="Normal 9 3 2 7 2 2 2" xfId="17121" xr:uid="{10DFD4F0-C693-41EC-B3A7-6A6E443743A5}"/>
    <cellStyle name="Normal 9 3 2 7 2 3" xfId="12903" xr:uid="{77A3D5C1-F1ED-4548-8DF4-BF0A995299C8}"/>
    <cellStyle name="Normal 9 3 2 7 3" xfId="6547" xr:uid="{00000000-0005-0000-0000-0000F51F0000}"/>
    <cellStyle name="Normal 9 3 2 7 3 2" xfId="14976" xr:uid="{D815EE6A-4BDE-4342-AC76-6F0AE7F44573}"/>
    <cellStyle name="Normal 9 3 2 7 4" xfId="10758" xr:uid="{321A0B36-7108-41FD-B6E9-06B1209A80E0}"/>
    <cellStyle name="Normal 9 3 2 8" xfId="2675" xr:uid="{00000000-0005-0000-0000-0000F61F0000}"/>
    <cellStyle name="Normal 9 3 2 8 2" xfId="6960" xr:uid="{00000000-0005-0000-0000-0000F71F0000}"/>
    <cellStyle name="Normal 9 3 2 8 2 2" xfId="15389" xr:uid="{66414E3A-2E3C-4BBD-9F42-935B8BB74EA8}"/>
    <cellStyle name="Normal 9 3 2 8 3" xfId="11171" xr:uid="{F5DFC817-5402-4489-9D94-D4083478F198}"/>
    <cellStyle name="Normal 9 3 2 9" xfId="4895" xr:uid="{00000000-0005-0000-0000-0000F81F0000}"/>
    <cellStyle name="Normal 9 3 2 9 2" xfId="13324" xr:uid="{405A92C8-E129-49FF-A83D-5DE1D2275374}"/>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2 2 2" xfId="15887" xr:uid="{EF6E2BDA-BFEE-4063-BA4A-8413F1CF1C79}"/>
    <cellStyle name="Normal 9 3 3 2 2 2 3" xfId="11669" xr:uid="{CDC8B8D0-9F31-4BF1-AA54-017D72CD83FF}"/>
    <cellStyle name="Normal 9 3 3 2 2 3" xfId="5313" xr:uid="{00000000-0005-0000-0000-0000FE1F0000}"/>
    <cellStyle name="Normal 9 3 3 2 2 3 2" xfId="13742" xr:uid="{EE79A0EA-AE5F-431D-97B0-2B6BC3B3C5E6}"/>
    <cellStyle name="Normal 9 3 3 2 2 4" xfId="9524" xr:uid="{B892D728-D7F9-4503-90E8-19ECB5CCC752}"/>
    <cellStyle name="Normal 9 3 3 2 3" xfId="1417" xr:uid="{00000000-0005-0000-0000-0000FF1F0000}"/>
    <cellStyle name="Normal 9 3 3 2 3 2" xfId="3647" xr:uid="{00000000-0005-0000-0000-000000200000}"/>
    <cellStyle name="Normal 9 3 3 2 3 2 2" xfId="7871" xr:uid="{00000000-0005-0000-0000-000001200000}"/>
    <cellStyle name="Normal 9 3 3 2 3 2 2 2" xfId="16300" xr:uid="{F5EC2083-A5A2-402E-9462-994F4D1C09A4}"/>
    <cellStyle name="Normal 9 3 3 2 3 2 3" xfId="12082" xr:uid="{2314BBAD-1733-47C5-806F-1AD6D742A32D}"/>
    <cellStyle name="Normal 9 3 3 2 3 3" xfId="5726" xr:uid="{00000000-0005-0000-0000-000002200000}"/>
    <cellStyle name="Normal 9 3 3 2 3 3 2" xfId="14155" xr:uid="{5E92E490-F824-46BF-8C58-7B01C225D54B}"/>
    <cellStyle name="Normal 9 3 3 2 3 4" xfId="9937" xr:uid="{A9EE3877-BA59-42F6-921E-B7C9C340BDDA}"/>
    <cellStyle name="Normal 9 3 3 2 4" xfId="1830" xr:uid="{00000000-0005-0000-0000-000003200000}"/>
    <cellStyle name="Normal 9 3 3 2 4 2" xfId="4060" xr:uid="{00000000-0005-0000-0000-000004200000}"/>
    <cellStyle name="Normal 9 3 3 2 4 2 2" xfId="8284" xr:uid="{00000000-0005-0000-0000-000005200000}"/>
    <cellStyle name="Normal 9 3 3 2 4 2 2 2" xfId="16713" xr:uid="{536ADA34-6D29-4678-92BC-243CED4659EE}"/>
    <cellStyle name="Normal 9 3 3 2 4 2 3" xfId="12495" xr:uid="{C39A7D16-0078-47E4-96D3-4908A6571BEA}"/>
    <cellStyle name="Normal 9 3 3 2 4 3" xfId="6139" xr:uid="{00000000-0005-0000-0000-000006200000}"/>
    <cellStyle name="Normal 9 3 3 2 4 3 2" xfId="14568" xr:uid="{AC207EDC-CF07-4BF9-9B6E-AF5161F69C98}"/>
    <cellStyle name="Normal 9 3 3 2 4 4" xfId="10350" xr:uid="{B5DEE68B-A02C-4E60-8B10-EC0DE8E75E3B}"/>
    <cellStyle name="Normal 9 3 3 2 5" xfId="2244" xr:uid="{00000000-0005-0000-0000-000007200000}"/>
    <cellStyle name="Normal 9 3 3 2 5 2" xfId="4473" xr:uid="{00000000-0005-0000-0000-000008200000}"/>
    <cellStyle name="Normal 9 3 3 2 5 2 2" xfId="8697" xr:uid="{00000000-0005-0000-0000-000009200000}"/>
    <cellStyle name="Normal 9 3 3 2 5 2 2 2" xfId="17126" xr:uid="{848D8369-4B47-481C-8D75-6CA5161B5C4A}"/>
    <cellStyle name="Normal 9 3 3 2 5 2 3" xfId="12908" xr:uid="{A45A4FE0-2C10-4BF6-85AD-58E09FB9B236}"/>
    <cellStyle name="Normal 9 3 3 2 5 3" xfId="6552" xr:uid="{00000000-0005-0000-0000-00000A200000}"/>
    <cellStyle name="Normal 9 3 3 2 5 3 2" xfId="14981" xr:uid="{A7D1B8AE-7C48-4100-9D89-CBB23AC87F6D}"/>
    <cellStyle name="Normal 9 3 3 2 5 4" xfId="10763" xr:uid="{359E9B9F-6B28-48AF-B441-15389FB5F387}"/>
    <cellStyle name="Normal 9 3 3 2 6" xfId="2680" xr:uid="{00000000-0005-0000-0000-00000B200000}"/>
    <cellStyle name="Normal 9 3 3 2 6 2" xfId="6965" xr:uid="{00000000-0005-0000-0000-00000C200000}"/>
    <cellStyle name="Normal 9 3 3 2 6 2 2" xfId="15394" xr:uid="{860B7B6B-400D-497B-A0A8-C4F39ED19E57}"/>
    <cellStyle name="Normal 9 3 3 2 6 3" xfId="11176" xr:uid="{A410D352-B319-4C04-8C57-37013CFD2522}"/>
    <cellStyle name="Normal 9 3 3 2 7" xfId="4900" xr:uid="{00000000-0005-0000-0000-00000D200000}"/>
    <cellStyle name="Normal 9 3 3 2 7 2" xfId="13329" xr:uid="{0BC33E74-CF82-4549-B15F-7896FE0B2E86}"/>
    <cellStyle name="Normal 9 3 3 2 8" xfId="9111" xr:uid="{8DBBA756-27F2-4C1D-AEE1-63D1084C5257}"/>
    <cellStyle name="Normal 9 3 3 3" xfId="1000" xr:uid="{00000000-0005-0000-0000-00000E200000}"/>
    <cellStyle name="Normal 9 3 3 3 2" xfId="3233" xr:uid="{00000000-0005-0000-0000-00000F200000}"/>
    <cellStyle name="Normal 9 3 3 3 2 2" xfId="7457" xr:uid="{00000000-0005-0000-0000-000010200000}"/>
    <cellStyle name="Normal 9 3 3 3 2 2 2" xfId="15886" xr:uid="{A2D8D58A-D2FD-4CB1-B6EC-432A487B432D}"/>
    <cellStyle name="Normal 9 3 3 3 2 3" xfId="11668" xr:uid="{AAC5F8F1-820F-45E0-B099-7043A13E256D}"/>
    <cellStyle name="Normal 9 3 3 3 3" xfId="5312" xr:uid="{00000000-0005-0000-0000-000011200000}"/>
    <cellStyle name="Normal 9 3 3 3 3 2" xfId="13741" xr:uid="{B6209F0A-FD33-4C03-A628-F19EFF705324}"/>
    <cellStyle name="Normal 9 3 3 3 4" xfId="9523" xr:uid="{241B6CBA-B6E1-4302-8256-9A1D90768ADA}"/>
    <cellStyle name="Normal 9 3 3 4" xfId="1416" xr:uid="{00000000-0005-0000-0000-000012200000}"/>
    <cellStyle name="Normal 9 3 3 4 2" xfId="3646" xr:uid="{00000000-0005-0000-0000-000013200000}"/>
    <cellStyle name="Normal 9 3 3 4 2 2" xfId="7870" xr:uid="{00000000-0005-0000-0000-000014200000}"/>
    <cellStyle name="Normal 9 3 3 4 2 2 2" xfId="16299" xr:uid="{FFCAEC78-CE42-45F8-B397-5C2A74636DD7}"/>
    <cellStyle name="Normal 9 3 3 4 2 3" xfId="12081" xr:uid="{D8835B88-C36B-466B-9FD1-4986A8EF6F9D}"/>
    <cellStyle name="Normal 9 3 3 4 3" xfId="5725" xr:uid="{00000000-0005-0000-0000-000015200000}"/>
    <cellStyle name="Normal 9 3 3 4 3 2" xfId="14154" xr:uid="{CBF128BC-A3B8-42AD-8C8D-4C3689C9E35B}"/>
    <cellStyle name="Normal 9 3 3 4 4" xfId="9936" xr:uid="{8FFA4725-C769-4EA6-888B-23983CD8B441}"/>
    <cellStyle name="Normal 9 3 3 5" xfId="1829" xr:uid="{00000000-0005-0000-0000-000016200000}"/>
    <cellStyle name="Normal 9 3 3 5 2" xfId="4059" xr:uid="{00000000-0005-0000-0000-000017200000}"/>
    <cellStyle name="Normal 9 3 3 5 2 2" xfId="8283" xr:uid="{00000000-0005-0000-0000-000018200000}"/>
    <cellStyle name="Normal 9 3 3 5 2 2 2" xfId="16712" xr:uid="{584F0B6C-135E-496E-8FFF-635F484369E1}"/>
    <cellStyle name="Normal 9 3 3 5 2 3" xfId="12494" xr:uid="{F35BE42E-AFB1-4F0A-B1BF-43F326A69A2F}"/>
    <cellStyle name="Normal 9 3 3 5 3" xfId="6138" xr:uid="{00000000-0005-0000-0000-000019200000}"/>
    <cellStyle name="Normal 9 3 3 5 3 2" xfId="14567" xr:uid="{2DA69BC2-A55F-4C4C-A650-28A47515F934}"/>
    <cellStyle name="Normal 9 3 3 5 4" xfId="10349" xr:uid="{5F5F7AFF-168E-40CC-BAE8-A6887B269933}"/>
    <cellStyle name="Normal 9 3 3 6" xfId="2243" xr:uid="{00000000-0005-0000-0000-00001A200000}"/>
    <cellStyle name="Normal 9 3 3 6 2" xfId="4472" xr:uid="{00000000-0005-0000-0000-00001B200000}"/>
    <cellStyle name="Normal 9 3 3 6 2 2" xfId="8696" xr:uid="{00000000-0005-0000-0000-00001C200000}"/>
    <cellStyle name="Normal 9 3 3 6 2 2 2" xfId="17125" xr:uid="{767B146C-2CC8-417A-BEF9-3D88361002D9}"/>
    <cellStyle name="Normal 9 3 3 6 2 3" xfId="12907" xr:uid="{68655080-303C-4B84-BB02-4E0BBCE9A747}"/>
    <cellStyle name="Normal 9 3 3 6 3" xfId="6551" xr:uid="{00000000-0005-0000-0000-00001D200000}"/>
    <cellStyle name="Normal 9 3 3 6 3 2" xfId="14980" xr:uid="{9E3C6289-46DC-449E-A610-8B013F0FBA6D}"/>
    <cellStyle name="Normal 9 3 3 6 4" xfId="10762" xr:uid="{D7F2CB87-5FDE-41E6-9606-DCD69C60BB36}"/>
    <cellStyle name="Normal 9 3 3 7" xfId="2679" xr:uid="{00000000-0005-0000-0000-00001E200000}"/>
    <cellStyle name="Normal 9 3 3 7 2" xfId="6964" xr:uid="{00000000-0005-0000-0000-00001F200000}"/>
    <cellStyle name="Normal 9 3 3 7 2 2" xfId="15393" xr:uid="{1DF6EAE7-E699-4B4E-BB51-055FA56DF668}"/>
    <cellStyle name="Normal 9 3 3 7 3" xfId="11175" xr:uid="{BB807413-46EC-4558-B559-305A835893DD}"/>
    <cellStyle name="Normal 9 3 3 8" xfId="4899" xr:uid="{00000000-0005-0000-0000-000020200000}"/>
    <cellStyle name="Normal 9 3 3 8 2" xfId="13328" xr:uid="{F9EE1C11-5E03-460A-9A07-EF7BDC82A7A3}"/>
    <cellStyle name="Normal 9 3 3 9" xfId="9110" xr:uid="{E2730B03-65B5-4562-B387-A4B79596C861}"/>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2 2 2" xfId="15888" xr:uid="{A6E936BE-D6F7-4FF0-BEE7-9814EA8CEE7E}"/>
    <cellStyle name="Normal 9 3 4 2 2 3" xfId="11670" xr:uid="{9079A239-C999-4D36-9E52-109E5B81CF36}"/>
    <cellStyle name="Normal 9 3 4 2 3" xfId="5314" xr:uid="{00000000-0005-0000-0000-000025200000}"/>
    <cellStyle name="Normal 9 3 4 2 3 2" xfId="13743" xr:uid="{338C069C-986C-4461-A9E7-F8D172AE97A8}"/>
    <cellStyle name="Normal 9 3 4 2 4" xfId="9525" xr:uid="{CB66FD4A-B34A-494C-A8B4-3F515CCA53CD}"/>
    <cellStyle name="Normal 9 3 4 3" xfId="1418" xr:uid="{00000000-0005-0000-0000-000026200000}"/>
    <cellStyle name="Normal 9 3 4 3 2" xfId="3648" xr:uid="{00000000-0005-0000-0000-000027200000}"/>
    <cellStyle name="Normal 9 3 4 3 2 2" xfId="7872" xr:uid="{00000000-0005-0000-0000-000028200000}"/>
    <cellStyle name="Normal 9 3 4 3 2 2 2" xfId="16301" xr:uid="{F502850B-BC16-4044-A469-77B1D90BCD26}"/>
    <cellStyle name="Normal 9 3 4 3 2 3" xfId="12083" xr:uid="{2A67FF6F-D2D2-44FE-8F19-E7201BF1F277}"/>
    <cellStyle name="Normal 9 3 4 3 3" xfId="5727" xr:uid="{00000000-0005-0000-0000-000029200000}"/>
    <cellStyle name="Normal 9 3 4 3 3 2" xfId="14156" xr:uid="{EAF1311E-3230-495E-8589-D6F6E82DA211}"/>
    <cellStyle name="Normal 9 3 4 3 4" xfId="9938" xr:uid="{61B182F8-FA03-4F80-8CF6-E77D2A13DCBD}"/>
    <cellStyle name="Normal 9 3 4 4" xfId="1831" xr:uid="{00000000-0005-0000-0000-00002A200000}"/>
    <cellStyle name="Normal 9 3 4 4 2" xfId="4061" xr:uid="{00000000-0005-0000-0000-00002B200000}"/>
    <cellStyle name="Normal 9 3 4 4 2 2" xfId="8285" xr:uid="{00000000-0005-0000-0000-00002C200000}"/>
    <cellStyle name="Normal 9 3 4 4 2 2 2" xfId="16714" xr:uid="{3BAABB81-E5D0-4257-AE2C-EDD78B285087}"/>
    <cellStyle name="Normal 9 3 4 4 2 3" xfId="12496" xr:uid="{62D24C2F-47EB-4C7F-ADD4-4836D1B0EC91}"/>
    <cellStyle name="Normal 9 3 4 4 3" xfId="6140" xr:uid="{00000000-0005-0000-0000-00002D200000}"/>
    <cellStyle name="Normal 9 3 4 4 3 2" xfId="14569" xr:uid="{D66B4E1C-DC2F-4178-8AC6-D30CBA212AE0}"/>
    <cellStyle name="Normal 9 3 4 4 4" xfId="10351" xr:uid="{69F14DFC-BF6E-4827-B4BE-ACD716E9AE0C}"/>
    <cellStyle name="Normal 9 3 4 5" xfId="2245" xr:uid="{00000000-0005-0000-0000-00002E200000}"/>
    <cellStyle name="Normal 9 3 4 5 2" xfId="4474" xr:uid="{00000000-0005-0000-0000-00002F200000}"/>
    <cellStyle name="Normal 9 3 4 5 2 2" xfId="8698" xr:uid="{00000000-0005-0000-0000-000030200000}"/>
    <cellStyle name="Normal 9 3 4 5 2 2 2" xfId="17127" xr:uid="{71A61FCD-BD39-4F91-B5A9-EA598375746B}"/>
    <cellStyle name="Normal 9 3 4 5 2 3" xfId="12909" xr:uid="{2BD87928-5E9F-48A0-8080-985BE425FD51}"/>
    <cellStyle name="Normal 9 3 4 5 3" xfId="6553" xr:uid="{00000000-0005-0000-0000-000031200000}"/>
    <cellStyle name="Normal 9 3 4 5 3 2" xfId="14982" xr:uid="{F9D8BBF2-EA89-4866-86CD-4FEA85C32DBF}"/>
    <cellStyle name="Normal 9 3 4 5 4" xfId="10764" xr:uid="{0B2374B8-EAB8-4CBB-9AFA-060D04E1BA4E}"/>
    <cellStyle name="Normal 9 3 4 6" xfId="2681" xr:uid="{00000000-0005-0000-0000-000032200000}"/>
    <cellStyle name="Normal 9 3 4 6 2" xfId="6966" xr:uid="{00000000-0005-0000-0000-000033200000}"/>
    <cellStyle name="Normal 9 3 4 6 2 2" xfId="15395" xr:uid="{5DFC3EC8-4216-44E8-99F0-ACA3B2EBEDDF}"/>
    <cellStyle name="Normal 9 3 4 6 3" xfId="11177" xr:uid="{B31E1F17-7DF3-4D2E-8D06-695721CADB24}"/>
    <cellStyle name="Normal 9 3 4 7" xfId="4901" xr:uid="{00000000-0005-0000-0000-000034200000}"/>
    <cellStyle name="Normal 9 3 4 7 2" xfId="13330" xr:uid="{8B03B3FB-350E-48FB-AF9C-340879B423A7}"/>
    <cellStyle name="Normal 9 3 4 8" xfId="9112" xr:uid="{7AE6ECE6-83F4-4247-BDE4-46532A76CA04}"/>
    <cellStyle name="Normal 9 3 5" xfId="995" xr:uid="{00000000-0005-0000-0000-000035200000}"/>
    <cellStyle name="Normal 9 3 5 2" xfId="3228" xr:uid="{00000000-0005-0000-0000-000036200000}"/>
    <cellStyle name="Normal 9 3 5 2 2" xfId="7452" xr:uid="{00000000-0005-0000-0000-000037200000}"/>
    <cellStyle name="Normal 9 3 5 2 2 2" xfId="15881" xr:uid="{415E7076-C366-47F8-8CCB-E27A58F885B7}"/>
    <cellStyle name="Normal 9 3 5 2 3" xfId="11663" xr:uid="{B44C70B5-9216-4562-8D84-2AF82866100C}"/>
    <cellStyle name="Normal 9 3 5 3" xfId="5307" xr:uid="{00000000-0005-0000-0000-000038200000}"/>
    <cellStyle name="Normal 9 3 5 3 2" xfId="13736" xr:uid="{DFE011B4-931B-4407-963D-2480F8834124}"/>
    <cellStyle name="Normal 9 3 5 4" xfId="9518" xr:uid="{A62D4759-38A2-4CA8-BF2E-992A65D5E13F}"/>
    <cellStyle name="Normal 9 3 6" xfId="1411" xr:uid="{00000000-0005-0000-0000-000039200000}"/>
    <cellStyle name="Normal 9 3 6 2" xfId="3641" xr:uid="{00000000-0005-0000-0000-00003A200000}"/>
    <cellStyle name="Normal 9 3 6 2 2" xfId="7865" xr:uid="{00000000-0005-0000-0000-00003B200000}"/>
    <cellStyle name="Normal 9 3 6 2 2 2" xfId="16294" xr:uid="{1BC2986D-A584-49EC-868D-9529A9B275FF}"/>
    <cellStyle name="Normal 9 3 6 2 3" xfId="12076" xr:uid="{8E650B5E-B79E-404D-B3C6-A4C7394A04D7}"/>
    <cellStyle name="Normal 9 3 6 3" xfId="5720" xr:uid="{00000000-0005-0000-0000-00003C200000}"/>
    <cellStyle name="Normal 9 3 6 3 2" xfId="14149" xr:uid="{E25113E0-6F86-4808-B54D-CABC9CA0FED7}"/>
    <cellStyle name="Normal 9 3 6 4" xfId="9931" xr:uid="{3F401B41-93DF-4CB2-B17B-69DDC0ED066B}"/>
    <cellStyle name="Normal 9 3 7" xfId="1824" xr:uid="{00000000-0005-0000-0000-00003D200000}"/>
    <cellStyle name="Normal 9 3 7 2" xfId="4054" xr:uid="{00000000-0005-0000-0000-00003E200000}"/>
    <cellStyle name="Normal 9 3 7 2 2" xfId="8278" xr:uid="{00000000-0005-0000-0000-00003F200000}"/>
    <cellStyle name="Normal 9 3 7 2 2 2" xfId="16707" xr:uid="{754F1CB0-90CF-4BBB-8507-910E1DC19CCC}"/>
    <cellStyle name="Normal 9 3 7 2 3" xfId="12489" xr:uid="{1863D6EF-EC5B-40EC-830E-59CA04981136}"/>
    <cellStyle name="Normal 9 3 7 3" xfId="6133" xr:uid="{00000000-0005-0000-0000-000040200000}"/>
    <cellStyle name="Normal 9 3 7 3 2" xfId="14562" xr:uid="{81083888-2681-47DF-B0D5-23DB872C0616}"/>
    <cellStyle name="Normal 9 3 7 4" xfId="10344" xr:uid="{916C9CC3-AC00-4BEA-AA57-4E19ED2A2278}"/>
    <cellStyle name="Normal 9 3 8" xfId="2238" xr:uid="{00000000-0005-0000-0000-000041200000}"/>
    <cellStyle name="Normal 9 3 8 2" xfId="4467" xr:uid="{00000000-0005-0000-0000-000042200000}"/>
    <cellStyle name="Normal 9 3 8 2 2" xfId="8691" xr:uid="{00000000-0005-0000-0000-000043200000}"/>
    <cellStyle name="Normal 9 3 8 2 2 2" xfId="17120" xr:uid="{804DAF5C-0C28-4F54-85C8-0CA62C5CE64A}"/>
    <cellStyle name="Normal 9 3 8 2 3" xfId="12902" xr:uid="{7BD4EDBE-6FDF-40E7-ABE1-0777B8DDEF8A}"/>
    <cellStyle name="Normal 9 3 8 3" xfId="6546" xr:uid="{00000000-0005-0000-0000-000044200000}"/>
    <cellStyle name="Normal 9 3 8 3 2" xfId="14975" xr:uid="{96D545CE-EE82-4143-BFD3-64660CBFB485}"/>
    <cellStyle name="Normal 9 3 8 4" xfId="10757" xr:uid="{DDAB2DE9-4247-4021-B19E-467C53686DFC}"/>
    <cellStyle name="Normal 9 3 9" xfId="2674" xr:uid="{00000000-0005-0000-0000-000045200000}"/>
    <cellStyle name="Normal 9 3 9 2" xfId="6959" xr:uid="{00000000-0005-0000-0000-000046200000}"/>
    <cellStyle name="Normal 9 3 9 2 2" xfId="15388" xr:uid="{E2996E8B-E209-4838-AE02-3A789F3E3098}"/>
    <cellStyle name="Normal 9 3 9 3" xfId="11170" xr:uid="{C025E693-C0A1-4309-BD2A-5E0B8378E4EE}"/>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2 2 2" xfId="15890" xr:uid="{87193DFE-3DA5-4CC3-9073-36CC4D7D54CF}"/>
    <cellStyle name="Normal 9 5 2 2 2 3" xfId="11672" xr:uid="{6A645F3E-0FCD-4E1F-A28A-730D79311094}"/>
    <cellStyle name="Normal 9 5 2 2 3" xfId="5316" xr:uid="{00000000-0005-0000-0000-00004E200000}"/>
    <cellStyle name="Normal 9 5 2 2 3 2" xfId="13745" xr:uid="{B2D5F003-E02F-448D-A276-6F66505D05C2}"/>
    <cellStyle name="Normal 9 5 2 2 4" xfId="9527" xr:uid="{AB992C4B-3768-4FA0-8B12-48EEC689ED1F}"/>
    <cellStyle name="Normal 9 5 2 3" xfId="1420" xr:uid="{00000000-0005-0000-0000-00004F200000}"/>
    <cellStyle name="Normal 9 5 2 3 2" xfId="3650" xr:uid="{00000000-0005-0000-0000-000050200000}"/>
    <cellStyle name="Normal 9 5 2 3 2 2" xfId="7874" xr:uid="{00000000-0005-0000-0000-000051200000}"/>
    <cellStyle name="Normal 9 5 2 3 2 2 2" xfId="16303" xr:uid="{FCAC137D-6181-434F-B7A0-72FEED2E9CB7}"/>
    <cellStyle name="Normal 9 5 2 3 2 3" xfId="12085" xr:uid="{A4EEDA6A-5E31-45CD-B9F5-7D9EF184BA62}"/>
    <cellStyle name="Normal 9 5 2 3 3" xfId="5729" xr:uid="{00000000-0005-0000-0000-000052200000}"/>
    <cellStyle name="Normal 9 5 2 3 3 2" xfId="14158" xr:uid="{A50132B6-4541-4124-82EB-372CF7D58AB6}"/>
    <cellStyle name="Normal 9 5 2 3 4" xfId="9940" xr:uid="{0437A790-AB93-4322-8B71-EA20C9B0AD5D}"/>
    <cellStyle name="Normal 9 5 2 4" xfId="1833" xr:uid="{00000000-0005-0000-0000-000053200000}"/>
    <cellStyle name="Normal 9 5 2 4 2" xfId="4063" xr:uid="{00000000-0005-0000-0000-000054200000}"/>
    <cellStyle name="Normal 9 5 2 4 2 2" xfId="8287" xr:uid="{00000000-0005-0000-0000-000055200000}"/>
    <cellStyle name="Normal 9 5 2 4 2 2 2" xfId="16716" xr:uid="{B752F9DA-96B0-4BA8-8B72-F84497738961}"/>
    <cellStyle name="Normal 9 5 2 4 2 3" xfId="12498" xr:uid="{8C848251-E596-49E6-9123-92119705128E}"/>
    <cellStyle name="Normal 9 5 2 4 3" xfId="6142" xr:uid="{00000000-0005-0000-0000-000056200000}"/>
    <cellStyle name="Normal 9 5 2 4 3 2" xfId="14571" xr:uid="{19EA67DB-4330-455C-8F65-5A16AAB0A4A1}"/>
    <cellStyle name="Normal 9 5 2 4 4" xfId="10353" xr:uid="{42DE180D-3DF9-4BD1-A7FC-8C3D7E69D027}"/>
    <cellStyle name="Normal 9 5 2 5" xfId="2247" xr:uid="{00000000-0005-0000-0000-000057200000}"/>
    <cellStyle name="Normal 9 5 2 5 2" xfId="4476" xr:uid="{00000000-0005-0000-0000-000058200000}"/>
    <cellStyle name="Normal 9 5 2 5 2 2" xfId="8700" xr:uid="{00000000-0005-0000-0000-000059200000}"/>
    <cellStyle name="Normal 9 5 2 5 2 2 2" xfId="17129" xr:uid="{A1BF1932-399B-4300-A422-C716CA549CEE}"/>
    <cellStyle name="Normal 9 5 2 5 2 3" xfId="12911" xr:uid="{97CFADEB-C463-44AE-9512-1C56899987DB}"/>
    <cellStyle name="Normal 9 5 2 5 3" xfId="6555" xr:uid="{00000000-0005-0000-0000-00005A200000}"/>
    <cellStyle name="Normal 9 5 2 5 3 2" xfId="14984" xr:uid="{8D72C5EF-3094-43CC-8C3E-A17EC40812A2}"/>
    <cellStyle name="Normal 9 5 2 5 4" xfId="10766" xr:uid="{3DD36F6B-35DB-461D-A00A-A81FA6D4AC45}"/>
    <cellStyle name="Normal 9 5 2 6" xfId="2683" xr:uid="{00000000-0005-0000-0000-00005B200000}"/>
    <cellStyle name="Normal 9 5 2 6 2" xfId="6968" xr:uid="{00000000-0005-0000-0000-00005C200000}"/>
    <cellStyle name="Normal 9 5 2 6 2 2" xfId="15397" xr:uid="{58FA51B5-2FA2-4B29-B560-0BD595D2CBCA}"/>
    <cellStyle name="Normal 9 5 2 6 3" xfId="11179" xr:uid="{741FA24F-0A19-4970-8CD6-0B517C6F1A71}"/>
    <cellStyle name="Normal 9 5 2 7" xfId="4903" xr:uid="{00000000-0005-0000-0000-00005D200000}"/>
    <cellStyle name="Normal 9 5 2 7 2" xfId="13332" xr:uid="{65B39E65-A42C-422C-8910-DF3696EB038C}"/>
    <cellStyle name="Normal 9 5 2 8" xfId="9114" xr:uid="{61C7C2A2-B1E4-48EB-9A96-CF08A0CE38CE}"/>
    <cellStyle name="Normal 9 5 3" xfId="1004" xr:uid="{00000000-0005-0000-0000-00005E200000}"/>
    <cellStyle name="Normal 9 5 3 2" xfId="3236" xr:uid="{00000000-0005-0000-0000-00005F200000}"/>
    <cellStyle name="Normal 9 5 3 2 2" xfId="7460" xr:uid="{00000000-0005-0000-0000-000060200000}"/>
    <cellStyle name="Normal 9 5 3 2 2 2" xfId="15889" xr:uid="{94A89360-00EC-41AA-B4EA-409151790280}"/>
    <cellStyle name="Normal 9 5 3 2 3" xfId="11671" xr:uid="{1AFE1F36-3A80-4078-9C18-2E95BF086530}"/>
    <cellStyle name="Normal 9 5 3 3" xfId="5315" xr:uid="{00000000-0005-0000-0000-000061200000}"/>
    <cellStyle name="Normal 9 5 3 3 2" xfId="13744" xr:uid="{A45AB146-BC77-41F9-863C-9B8FBE6F2A17}"/>
    <cellStyle name="Normal 9 5 3 4" xfId="9526" xr:uid="{DAE16ABF-1BD4-4437-9D41-E7560E8D4F2E}"/>
    <cellStyle name="Normal 9 5 4" xfId="1419" xr:uid="{00000000-0005-0000-0000-000062200000}"/>
    <cellStyle name="Normal 9 5 4 2" xfId="3649" xr:uid="{00000000-0005-0000-0000-000063200000}"/>
    <cellStyle name="Normal 9 5 4 2 2" xfId="7873" xr:uid="{00000000-0005-0000-0000-000064200000}"/>
    <cellStyle name="Normal 9 5 4 2 2 2" xfId="16302" xr:uid="{29B88D07-F6E9-4A26-9196-AB53DC35E475}"/>
    <cellStyle name="Normal 9 5 4 2 3" xfId="12084" xr:uid="{E203AB62-1399-4C27-8C58-AC69E0634D84}"/>
    <cellStyle name="Normal 9 5 4 3" xfId="5728" xr:uid="{00000000-0005-0000-0000-000065200000}"/>
    <cellStyle name="Normal 9 5 4 3 2" xfId="14157" xr:uid="{2F2986BF-F76C-45A9-9B6C-A583FB42B2AF}"/>
    <cellStyle name="Normal 9 5 4 4" xfId="9939" xr:uid="{12650D95-24C5-4974-920B-DECECE399B46}"/>
    <cellStyle name="Normal 9 5 5" xfId="1832" xr:uid="{00000000-0005-0000-0000-000066200000}"/>
    <cellStyle name="Normal 9 5 5 2" xfId="4062" xr:uid="{00000000-0005-0000-0000-000067200000}"/>
    <cellStyle name="Normal 9 5 5 2 2" xfId="8286" xr:uid="{00000000-0005-0000-0000-000068200000}"/>
    <cellStyle name="Normal 9 5 5 2 2 2" xfId="16715" xr:uid="{B7A5580C-09DF-49D2-8644-1B2617D8D886}"/>
    <cellStyle name="Normal 9 5 5 2 3" xfId="12497" xr:uid="{C3D55D6D-A325-4D4A-98CA-B75CF9DB8191}"/>
    <cellStyle name="Normal 9 5 5 3" xfId="6141" xr:uid="{00000000-0005-0000-0000-000069200000}"/>
    <cellStyle name="Normal 9 5 5 3 2" xfId="14570" xr:uid="{ADC609F0-E8D7-44F8-B4A6-7E3116FD7089}"/>
    <cellStyle name="Normal 9 5 5 4" xfId="10352" xr:uid="{2EA6C01F-DA35-478F-AD5F-6061AF14BCE6}"/>
    <cellStyle name="Normal 9 5 6" xfId="2246" xr:uid="{00000000-0005-0000-0000-00006A200000}"/>
    <cellStyle name="Normal 9 5 6 2" xfId="4475" xr:uid="{00000000-0005-0000-0000-00006B200000}"/>
    <cellStyle name="Normal 9 5 6 2 2" xfId="8699" xr:uid="{00000000-0005-0000-0000-00006C200000}"/>
    <cellStyle name="Normal 9 5 6 2 2 2" xfId="17128" xr:uid="{62D77907-B342-4AF0-8BC1-7F2F6F55E614}"/>
    <cellStyle name="Normal 9 5 6 2 3" xfId="12910" xr:uid="{D5FE0234-D718-4B1D-B914-B39FF7E7B188}"/>
    <cellStyle name="Normal 9 5 6 3" xfId="6554" xr:uid="{00000000-0005-0000-0000-00006D200000}"/>
    <cellStyle name="Normal 9 5 6 3 2" xfId="14983" xr:uid="{B03B2893-D74E-4C3D-A1E7-E08AFB9B36A3}"/>
    <cellStyle name="Normal 9 5 6 4" xfId="10765" xr:uid="{BF4AE51F-E3D9-44F6-A367-AFEECA71D0EC}"/>
    <cellStyle name="Normal 9 5 7" xfId="2682" xr:uid="{00000000-0005-0000-0000-00006E200000}"/>
    <cellStyle name="Normal 9 5 7 2" xfId="6967" xr:uid="{00000000-0005-0000-0000-00006F200000}"/>
    <cellStyle name="Normal 9 5 7 2 2" xfId="15396" xr:uid="{FBFE25A3-DD7A-4FB3-87A3-6F5595D09EC1}"/>
    <cellStyle name="Normal 9 5 7 3" xfId="11178" xr:uid="{734FEF6A-80FC-4178-91E6-588BEDEDAD64}"/>
    <cellStyle name="Normal 9 5 8" xfId="4902" xr:uid="{00000000-0005-0000-0000-000070200000}"/>
    <cellStyle name="Normal 9 5 8 2" xfId="13331" xr:uid="{75B5D143-53E7-4EC8-B8F9-94D10EEAB193}"/>
    <cellStyle name="Normal 9 5 9" xfId="9113" xr:uid="{C36B639C-8131-4F13-818A-6424C10E2F46}"/>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2 2 2" xfId="15891" xr:uid="{4E21DBB0-F8B5-40C4-9F1A-CE910E19D3D6}"/>
    <cellStyle name="Normal 9 6 2 2 3" xfId="11673" xr:uid="{076F8ACF-621C-4256-AC90-86BE26F5EE31}"/>
    <cellStyle name="Normal 9 6 2 3" xfId="5317" xr:uid="{00000000-0005-0000-0000-000075200000}"/>
    <cellStyle name="Normal 9 6 2 3 2" xfId="13746" xr:uid="{7261E513-F98B-416B-BCAF-5A749BFD8B67}"/>
    <cellStyle name="Normal 9 6 2 4" xfId="9528" xr:uid="{B420F487-7E95-4218-8086-4FB0E7D6418B}"/>
    <cellStyle name="Normal 9 6 3" xfId="1421" xr:uid="{00000000-0005-0000-0000-000076200000}"/>
    <cellStyle name="Normal 9 6 3 2" xfId="3651" xr:uid="{00000000-0005-0000-0000-000077200000}"/>
    <cellStyle name="Normal 9 6 3 2 2" xfId="7875" xr:uid="{00000000-0005-0000-0000-000078200000}"/>
    <cellStyle name="Normal 9 6 3 2 2 2" xfId="16304" xr:uid="{CBB7476C-C1F8-449C-8199-63D2299E35DF}"/>
    <cellStyle name="Normal 9 6 3 2 3" xfId="12086" xr:uid="{EE54401C-A7F0-49D9-B22A-DDCE3092E5A5}"/>
    <cellStyle name="Normal 9 6 3 3" xfId="5730" xr:uid="{00000000-0005-0000-0000-000079200000}"/>
    <cellStyle name="Normal 9 6 3 3 2" xfId="14159" xr:uid="{942C8BBE-94DF-4B9E-8FEF-2B65FE4A50CD}"/>
    <cellStyle name="Normal 9 6 3 4" xfId="9941" xr:uid="{C6E04EA7-081F-408D-9B46-943088D58D1B}"/>
    <cellStyle name="Normal 9 6 4" xfId="1834" xr:uid="{00000000-0005-0000-0000-00007A200000}"/>
    <cellStyle name="Normal 9 6 4 2" xfId="4064" xr:uid="{00000000-0005-0000-0000-00007B200000}"/>
    <cellStyle name="Normal 9 6 4 2 2" xfId="8288" xr:uid="{00000000-0005-0000-0000-00007C200000}"/>
    <cellStyle name="Normal 9 6 4 2 2 2" xfId="16717" xr:uid="{0CEB0297-C91D-49F7-BDB4-75A4335F2B80}"/>
    <cellStyle name="Normal 9 6 4 2 3" xfId="12499" xr:uid="{05E14B45-8F7E-42BD-B6F1-B85E82B390D4}"/>
    <cellStyle name="Normal 9 6 4 3" xfId="6143" xr:uid="{00000000-0005-0000-0000-00007D200000}"/>
    <cellStyle name="Normal 9 6 4 3 2" xfId="14572" xr:uid="{74F69500-0356-4E93-8BA1-1323F8E9C514}"/>
    <cellStyle name="Normal 9 6 4 4" xfId="10354" xr:uid="{3DDC29FA-3D50-489B-8312-7CD2A84DBB7D}"/>
    <cellStyle name="Normal 9 6 5" xfId="2248" xr:uid="{00000000-0005-0000-0000-00007E200000}"/>
    <cellStyle name="Normal 9 6 5 2" xfId="4477" xr:uid="{00000000-0005-0000-0000-00007F200000}"/>
    <cellStyle name="Normal 9 6 5 2 2" xfId="8701" xr:uid="{00000000-0005-0000-0000-000080200000}"/>
    <cellStyle name="Normal 9 6 5 2 2 2" xfId="17130" xr:uid="{67C27746-2B47-4277-B9D4-92BC78D01F91}"/>
    <cellStyle name="Normal 9 6 5 2 3" xfId="12912" xr:uid="{B2F0BAB1-117F-4E55-A014-6F03FA6C10F0}"/>
    <cellStyle name="Normal 9 6 5 3" xfId="6556" xr:uid="{00000000-0005-0000-0000-000081200000}"/>
    <cellStyle name="Normal 9 6 5 3 2" xfId="14985" xr:uid="{898CDCB5-2BF9-428A-B8BC-5CA682B01D96}"/>
    <cellStyle name="Normal 9 6 5 4" xfId="10767" xr:uid="{AFE87C31-3A6A-4B83-A4F7-2926AE59E9A7}"/>
    <cellStyle name="Normal 9 6 6" xfId="2684" xr:uid="{00000000-0005-0000-0000-000082200000}"/>
    <cellStyle name="Normal 9 6 6 2" xfId="6969" xr:uid="{00000000-0005-0000-0000-000083200000}"/>
    <cellStyle name="Normal 9 6 6 2 2" xfId="15398" xr:uid="{DA68BEF5-DECB-445B-9A28-017DE8AADC7E}"/>
    <cellStyle name="Normal 9 6 6 3" xfId="11180" xr:uid="{DA21B714-3AFE-40F0-90B9-00958915A237}"/>
    <cellStyle name="Normal 9 6 7" xfId="4904" xr:uid="{00000000-0005-0000-0000-000084200000}"/>
    <cellStyle name="Normal 9 6 7 2" xfId="13333" xr:uid="{65773ABA-21BA-476B-A4F1-A1952A01ADD5}"/>
    <cellStyle name="Normal 9 6 8" xfId="9115" xr:uid="{F856C93F-684D-42D4-83C6-A6C2949DAF9B}"/>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0 2 2" xfId="15479" xr:uid="{AB1489D3-3390-4540-8EA5-00B584D7F853}"/>
    <cellStyle name="Note 2 2 10 3" xfId="11261" xr:uid="{AFD998A7-E9B2-4384-93EC-330C113BED60}"/>
    <cellStyle name="Note 2 2 11" xfId="4905" xr:uid="{00000000-0005-0000-0000-000093200000}"/>
    <cellStyle name="Note 2 2 11 2" xfId="13334" xr:uid="{34F987CC-D08D-4638-8FD7-DC5A180408A9}"/>
    <cellStyle name="Note 2 2 12" xfId="9116" xr:uid="{37003BD0-D144-4C82-A8A3-8866DA3FA1D1}"/>
    <cellStyle name="Note 2 2 2" xfId="547" xr:uid="{00000000-0005-0000-0000-000094200000}"/>
    <cellStyle name="Note 2 2 2 10" xfId="4906" xr:uid="{00000000-0005-0000-0000-000095200000}"/>
    <cellStyle name="Note 2 2 2 10 2" xfId="13335" xr:uid="{12250CD7-6B43-47A3-956A-B2C1D9BF046F}"/>
    <cellStyle name="Note 2 2 2 11" xfId="9117" xr:uid="{2587FFE6-5263-4254-8344-29B2BCECABB6}"/>
    <cellStyle name="Note 2 2 2 2" xfId="548" xr:uid="{00000000-0005-0000-0000-000096200000}"/>
    <cellStyle name="Note 2 2 2 2 10" xfId="9118" xr:uid="{236B7B47-CDAB-4367-8F0B-273A58D839C3}"/>
    <cellStyle name="Note 2 2 2 2 2" xfId="1009" xr:uid="{00000000-0005-0000-0000-000097200000}"/>
    <cellStyle name="Note 2 2 2 2 2 2" xfId="3241" xr:uid="{00000000-0005-0000-0000-000098200000}"/>
    <cellStyle name="Note 2 2 2 2 2 2 2" xfId="7465" xr:uid="{00000000-0005-0000-0000-000099200000}"/>
    <cellStyle name="Note 2 2 2 2 2 2 2 2" xfId="15894" xr:uid="{E8363E2D-FC40-4DEA-B887-5000DED0DA20}"/>
    <cellStyle name="Note 2 2 2 2 2 2 3" xfId="11676" xr:uid="{9942E7B7-FB62-45A3-843B-4FDEA8A0DCDF}"/>
    <cellStyle name="Note 2 2 2 2 2 3" xfId="5320" xr:uid="{00000000-0005-0000-0000-00009A200000}"/>
    <cellStyle name="Note 2 2 2 2 2 3 2" xfId="13749" xr:uid="{977C94A2-12E5-400A-98B9-6F12B0DEBC31}"/>
    <cellStyle name="Note 2 2 2 2 2 4" xfId="9531" xr:uid="{6C5168DE-0878-4466-95CF-DAF67DA15393}"/>
    <cellStyle name="Note 2 2 2 2 3" xfId="1424" xr:uid="{00000000-0005-0000-0000-00009B200000}"/>
    <cellStyle name="Note 2 2 2 2 3 2" xfId="3654" xr:uid="{00000000-0005-0000-0000-00009C200000}"/>
    <cellStyle name="Note 2 2 2 2 3 2 2" xfId="7878" xr:uid="{00000000-0005-0000-0000-00009D200000}"/>
    <cellStyle name="Note 2 2 2 2 3 2 2 2" xfId="16307" xr:uid="{9E83829B-2F57-41E6-A459-52A16CDEFECF}"/>
    <cellStyle name="Note 2 2 2 2 3 2 3" xfId="12089" xr:uid="{1AE0D949-C8BF-4B48-8564-CE65392B6696}"/>
    <cellStyle name="Note 2 2 2 2 3 3" xfId="5733" xr:uid="{00000000-0005-0000-0000-00009E200000}"/>
    <cellStyle name="Note 2 2 2 2 3 3 2" xfId="14162" xr:uid="{7CA5DC16-6EFB-4F8D-AB7B-AEBB2A1175B9}"/>
    <cellStyle name="Note 2 2 2 2 3 4" xfId="9944" xr:uid="{99A68677-8552-4762-BB04-9DD588E72F96}"/>
    <cellStyle name="Note 2 2 2 2 4" xfId="1838" xr:uid="{00000000-0005-0000-0000-00009F200000}"/>
    <cellStyle name="Note 2 2 2 2 4 2" xfId="4067" xr:uid="{00000000-0005-0000-0000-0000A0200000}"/>
    <cellStyle name="Note 2 2 2 2 4 2 2" xfId="8291" xr:uid="{00000000-0005-0000-0000-0000A1200000}"/>
    <cellStyle name="Note 2 2 2 2 4 2 2 2" xfId="16720" xr:uid="{FB34EEF4-F3F1-49CE-9E05-2140AE0519B4}"/>
    <cellStyle name="Note 2 2 2 2 4 2 3" xfId="12502" xr:uid="{28061788-ABDB-4B3E-9C3C-04120F5FEEFF}"/>
    <cellStyle name="Note 2 2 2 2 4 3" xfId="6146" xr:uid="{00000000-0005-0000-0000-0000A2200000}"/>
    <cellStyle name="Note 2 2 2 2 4 3 2" xfId="14575" xr:uid="{748851A4-A362-4091-B089-6920A453D844}"/>
    <cellStyle name="Note 2 2 2 2 4 4" xfId="10357" xr:uid="{4302C926-FFA7-434D-8228-A1EA9287C343}"/>
    <cellStyle name="Note 2 2 2 2 5" xfId="2251" xr:uid="{00000000-0005-0000-0000-0000A3200000}"/>
    <cellStyle name="Note 2 2 2 2 5 2" xfId="4480" xr:uid="{00000000-0005-0000-0000-0000A4200000}"/>
    <cellStyle name="Note 2 2 2 2 5 2 2" xfId="8704" xr:uid="{00000000-0005-0000-0000-0000A5200000}"/>
    <cellStyle name="Note 2 2 2 2 5 2 2 2" xfId="17133" xr:uid="{A7461A77-5579-4A39-9C29-76ADFEE73AA4}"/>
    <cellStyle name="Note 2 2 2 2 5 2 3" xfId="12915" xr:uid="{4B88BE05-240F-4E52-BB09-CDA42899D979}"/>
    <cellStyle name="Note 2 2 2 2 5 3" xfId="6559" xr:uid="{00000000-0005-0000-0000-0000A6200000}"/>
    <cellStyle name="Note 2 2 2 2 5 3 2" xfId="14988" xr:uid="{0E6DB753-EE4C-4329-995E-D43BD63C9656}"/>
    <cellStyle name="Note 2 2 2 2 5 4" xfId="10770" xr:uid="{AB399483-DE32-4C2F-8061-BD252DE4EA0C}"/>
    <cellStyle name="Note 2 2 2 2 6" xfId="2687" xr:uid="{00000000-0005-0000-0000-0000A7200000}"/>
    <cellStyle name="Note 2 2 2 2 6 2" xfId="6972" xr:uid="{00000000-0005-0000-0000-0000A8200000}"/>
    <cellStyle name="Note 2 2 2 2 6 2 2" xfId="15401" xr:uid="{90F9382C-7EEF-4637-9188-4A6B3A1F2282}"/>
    <cellStyle name="Note 2 2 2 2 6 3" xfId="11183" xr:uid="{36C2D6BE-D542-48C1-AF37-4FA3FB490E93}"/>
    <cellStyle name="Note 2 2 2 2 7" xfId="2746" xr:uid="{00000000-0005-0000-0000-0000A9200000}"/>
    <cellStyle name="Note 2 2 2 2 8" xfId="2827" xr:uid="{00000000-0005-0000-0000-0000AA200000}"/>
    <cellStyle name="Note 2 2 2 2 8 2" xfId="7052" xr:uid="{00000000-0005-0000-0000-0000AB200000}"/>
    <cellStyle name="Note 2 2 2 2 8 2 2" xfId="15481" xr:uid="{02038FA0-F0A4-453C-BD85-C24278246785}"/>
    <cellStyle name="Note 2 2 2 2 8 3" xfId="11263" xr:uid="{70955A93-B750-47C3-801C-A038A86E1B86}"/>
    <cellStyle name="Note 2 2 2 2 9" xfId="4907" xr:uid="{00000000-0005-0000-0000-0000AC200000}"/>
    <cellStyle name="Note 2 2 2 2 9 2" xfId="13336" xr:uid="{E71A1ED9-D480-40CE-9E67-EE492531770C}"/>
    <cellStyle name="Note 2 2 2 3" xfId="1008" xr:uid="{00000000-0005-0000-0000-0000AD200000}"/>
    <cellStyle name="Note 2 2 2 3 2" xfId="3240" xr:uid="{00000000-0005-0000-0000-0000AE200000}"/>
    <cellStyle name="Note 2 2 2 3 2 2" xfId="7464" xr:uid="{00000000-0005-0000-0000-0000AF200000}"/>
    <cellStyle name="Note 2 2 2 3 2 2 2" xfId="15893" xr:uid="{ABA86130-4BA5-4097-B9D0-27341C330A1B}"/>
    <cellStyle name="Note 2 2 2 3 2 3" xfId="11675" xr:uid="{1A6FC397-DBA0-49FE-9E4A-77FF4EABD5E3}"/>
    <cellStyle name="Note 2 2 2 3 3" xfId="5319" xr:uid="{00000000-0005-0000-0000-0000B0200000}"/>
    <cellStyle name="Note 2 2 2 3 3 2" xfId="13748" xr:uid="{03185182-1644-4623-AAF6-B8C2619F2955}"/>
    <cellStyle name="Note 2 2 2 3 4" xfId="9530" xr:uid="{B32DC6FD-3A3D-4CF0-8370-3A98246120E8}"/>
    <cellStyle name="Note 2 2 2 4" xfId="1423" xr:uid="{00000000-0005-0000-0000-0000B1200000}"/>
    <cellStyle name="Note 2 2 2 4 2" xfId="3653" xr:uid="{00000000-0005-0000-0000-0000B2200000}"/>
    <cellStyle name="Note 2 2 2 4 2 2" xfId="7877" xr:uid="{00000000-0005-0000-0000-0000B3200000}"/>
    <cellStyle name="Note 2 2 2 4 2 2 2" xfId="16306" xr:uid="{64E08FFB-197B-442A-A055-CF821A317D2A}"/>
    <cellStyle name="Note 2 2 2 4 2 3" xfId="12088" xr:uid="{293DA218-6FBC-40BE-81E4-273536E1D9D1}"/>
    <cellStyle name="Note 2 2 2 4 3" xfId="5732" xr:uid="{00000000-0005-0000-0000-0000B4200000}"/>
    <cellStyle name="Note 2 2 2 4 3 2" xfId="14161" xr:uid="{3B6F5393-3F45-4241-8DDE-AFD01852CA80}"/>
    <cellStyle name="Note 2 2 2 4 4" xfId="9943" xr:uid="{037D5BAA-F3AA-4A16-82C6-B58986DFD3C9}"/>
    <cellStyle name="Note 2 2 2 5" xfId="1837" xr:uid="{00000000-0005-0000-0000-0000B5200000}"/>
    <cellStyle name="Note 2 2 2 5 2" xfId="4066" xr:uid="{00000000-0005-0000-0000-0000B6200000}"/>
    <cellStyle name="Note 2 2 2 5 2 2" xfId="8290" xr:uid="{00000000-0005-0000-0000-0000B7200000}"/>
    <cellStyle name="Note 2 2 2 5 2 2 2" xfId="16719" xr:uid="{9BFAD6C0-4125-4CF5-A92A-CBBEAE874F4C}"/>
    <cellStyle name="Note 2 2 2 5 2 3" xfId="12501" xr:uid="{F9FAB41A-ABD7-44AD-89F2-A9FCE18B0110}"/>
    <cellStyle name="Note 2 2 2 5 3" xfId="6145" xr:uid="{00000000-0005-0000-0000-0000B8200000}"/>
    <cellStyle name="Note 2 2 2 5 3 2" xfId="14574" xr:uid="{8BA3FC7D-62AF-4AB8-89F7-A5BC2C8C088B}"/>
    <cellStyle name="Note 2 2 2 5 4" xfId="10356" xr:uid="{698C6B13-16F5-4300-A02B-1C8D0899C0D8}"/>
    <cellStyle name="Note 2 2 2 6" xfId="2250" xr:uid="{00000000-0005-0000-0000-0000B9200000}"/>
    <cellStyle name="Note 2 2 2 6 2" xfId="4479" xr:uid="{00000000-0005-0000-0000-0000BA200000}"/>
    <cellStyle name="Note 2 2 2 6 2 2" xfId="8703" xr:uid="{00000000-0005-0000-0000-0000BB200000}"/>
    <cellStyle name="Note 2 2 2 6 2 2 2" xfId="17132" xr:uid="{5E69A329-C7C1-4F5E-984E-A32A2014F3DB}"/>
    <cellStyle name="Note 2 2 2 6 2 3" xfId="12914" xr:uid="{9EFABA5D-A8FE-4276-BC95-55A7099C149D}"/>
    <cellStyle name="Note 2 2 2 6 3" xfId="6558" xr:uid="{00000000-0005-0000-0000-0000BC200000}"/>
    <cellStyle name="Note 2 2 2 6 3 2" xfId="14987" xr:uid="{518AABE1-C764-4B7D-BA0A-FF1BB722F0FA}"/>
    <cellStyle name="Note 2 2 2 6 4" xfId="10769" xr:uid="{AED414F5-FC95-4471-AEED-7C2AB30DF040}"/>
    <cellStyle name="Note 2 2 2 7" xfId="2686" xr:uid="{00000000-0005-0000-0000-0000BD200000}"/>
    <cellStyle name="Note 2 2 2 7 2" xfId="6971" xr:uid="{00000000-0005-0000-0000-0000BE200000}"/>
    <cellStyle name="Note 2 2 2 7 2 2" xfId="15400" xr:uid="{7C86C030-FC28-4C55-8425-13803DAD3992}"/>
    <cellStyle name="Note 2 2 2 7 3" xfId="11182" xr:uid="{FECFF5AF-1251-40E9-8851-A0146A3591AE}"/>
    <cellStyle name="Note 2 2 2 8" xfId="2745" xr:uid="{00000000-0005-0000-0000-0000BF200000}"/>
    <cellStyle name="Note 2 2 2 9" xfId="2826" xr:uid="{00000000-0005-0000-0000-0000C0200000}"/>
    <cellStyle name="Note 2 2 2 9 2" xfId="7051" xr:uid="{00000000-0005-0000-0000-0000C1200000}"/>
    <cellStyle name="Note 2 2 2 9 2 2" xfId="15480" xr:uid="{945DB6EA-D9B4-49B3-A5D2-6C46F9A9C148}"/>
    <cellStyle name="Note 2 2 2 9 3" xfId="11262" xr:uid="{3770C259-2A8F-410E-A5C6-5F5BC1D297C9}"/>
    <cellStyle name="Note 2 2 3" xfId="549" xr:uid="{00000000-0005-0000-0000-0000C2200000}"/>
    <cellStyle name="Note 2 2 3 10" xfId="9119" xr:uid="{321FB69D-B022-4561-A537-369AF935C9CF}"/>
    <cellStyle name="Note 2 2 3 2" xfId="1010" xr:uid="{00000000-0005-0000-0000-0000C3200000}"/>
    <cellStyle name="Note 2 2 3 2 2" xfId="3242" xr:uid="{00000000-0005-0000-0000-0000C4200000}"/>
    <cellStyle name="Note 2 2 3 2 2 2" xfId="7466" xr:uid="{00000000-0005-0000-0000-0000C5200000}"/>
    <cellStyle name="Note 2 2 3 2 2 2 2" xfId="15895" xr:uid="{61DF791D-B14C-40C8-A98B-9831E8110274}"/>
    <cellStyle name="Note 2 2 3 2 2 3" xfId="11677" xr:uid="{6C9743B5-EB84-4D9D-BB9E-685FBEA42083}"/>
    <cellStyle name="Note 2 2 3 2 3" xfId="5321" xr:uid="{00000000-0005-0000-0000-0000C6200000}"/>
    <cellStyle name="Note 2 2 3 2 3 2" xfId="13750" xr:uid="{597F235F-33B7-41B0-8640-BA64410EE23D}"/>
    <cellStyle name="Note 2 2 3 2 4" xfId="9532" xr:uid="{72705720-B4B7-4893-9D7D-44DBD0EDD4C4}"/>
    <cellStyle name="Note 2 2 3 3" xfId="1425" xr:uid="{00000000-0005-0000-0000-0000C7200000}"/>
    <cellStyle name="Note 2 2 3 3 2" xfId="3655" xr:uid="{00000000-0005-0000-0000-0000C8200000}"/>
    <cellStyle name="Note 2 2 3 3 2 2" xfId="7879" xr:uid="{00000000-0005-0000-0000-0000C9200000}"/>
    <cellStyle name="Note 2 2 3 3 2 2 2" xfId="16308" xr:uid="{81BCD96D-F588-4B30-B021-60849C99163D}"/>
    <cellStyle name="Note 2 2 3 3 2 3" xfId="12090" xr:uid="{89578DD5-218E-4DF9-96E7-EE37B2EB3A00}"/>
    <cellStyle name="Note 2 2 3 3 3" xfId="5734" xr:uid="{00000000-0005-0000-0000-0000CA200000}"/>
    <cellStyle name="Note 2 2 3 3 3 2" xfId="14163" xr:uid="{F52ECDFF-2F1B-4569-A6F5-7F33765F895C}"/>
    <cellStyle name="Note 2 2 3 3 4" xfId="9945" xr:uid="{69FFFA67-6C14-4C2A-B9AB-5E432848293D}"/>
    <cellStyle name="Note 2 2 3 4" xfId="1839" xr:uid="{00000000-0005-0000-0000-0000CB200000}"/>
    <cellStyle name="Note 2 2 3 4 2" xfId="4068" xr:uid="{00000000-0005-0000-0000-0000CC200000}"/>
    <cellStyle name="Note 2 2 3 4 2 2" xfId="8292" xr:uid="{00000000-0005-0000-0000-0000CD200000}"/>
    <cellStyle name="Note 2 2 3 4 2 2 2" xfId="16721" xr:uid="{7196F1CF-1423-40C6-AA20-ED586815C34C}"/>
    <cellStyle name="Note 2 2 3 4 2 3" xfId="12503" xr:uid="{508D6838-72C0-4EB4-AA90-6CB7B80BDB2C}"/>
    <cellStyle name="Note 2 2 3 4 3" xfId="6147" xr:uid="{00000000-0005-0000-0000-0000CE200000}"/>
    <cellStyle name="Note 2 2 3 4 3 2" xfId="14576" xr:uid="{84371DA2-A117-4279-B4B4-318219C029FA}"/>
    <cellStyle name="Note 2 2 3 4 4" xfId="10358" xr:uid="{85C858E5-D2C5-44A2-93FC-3B0E6A9E5C10}"/>
    <cellStyle name="Note 2 2 3 5" xfId="2252" xr:uid="{00000000-0005-0000-0000-0000CF200000}"/>
    <cellStyle name="Note 2 2 3 5 2" xfId="4481" xr:uid="{00000000-0005-0000-0000-0000D0200000}"/>
    <cellStyle name="Note 2 2 3 5 2 2" xfId="8705" xr:uid="{00000000-0005-0000-0000-0000D1200000}"/>
    <cellStyle name="Note 2 2 3 5 2 2 2" xfId="17134" xr:uid="{D6528038-83BA-49B1-A092-7B4AF8075B00}"/>
    <cellStyle name="Note 2 2 3 5 2 3" xfId="12916" xr:uid="{058F4C9B-18BC-4F03-99DD-2023DE9108EC}"/>
    <cellStyle name="Note 2 2 3 5 3" xfId="6560" xr:uid="{00000000-0005-0000-0000-0000D2200000}"/>
    <cellStyle name="Note 2 2 3 5 3 2" xfId="14989" xr:uid="{9596EB42-1F44-4060-A854-D3B9707C1EAE}"/>
    <cellStyle name="Note 2 2 3 5 4" xfId="10771" xr:uid="{4244C25A-457E-49BF-BE66-A7453D835074}"/>
    <cellStyle name="Note 2 2 3 6" xfId="2688" xr:uid="{00000000-0005-0000-0000-0000D3200000}"/>
    <cellStyle name="Note 2 2 3 6 2" xfId="6973" xr:uid="{00000000-0005-0000-0000-0000D4200000}"/>
    <cellStyle name="Note 2 2 3 6 2 2" xfId="15402" xr:uid="{BD6FC520-921B-4E34-98DE-EF8554CAE839}"/>
    <cellStyle name="Note 2 2 3 6 3" xfId="11184" xr:uid="{DF2233A6-9D1C-40D5-8B8B-3F3AAD823E8F}"/>
    <cellStyle name="Note 2 2 3 7" xfId="2747" xr:uid="{00000000-0005-0000-0000-0000D5200000}"/>
    <cellStyle name="Note 2 2 3 8" xfId="2828" xr:uid="{00000000-0005-0000-0000-0000D6200000}"/>
    <cellStyle name="Note 2 2 3 8 2" xfId="7053" xr:uid="{00000000-0005-0000-0000-0000D7200000}"/>
    <cellStyle name="Note 2 2 3 8 2 2" xfId="15482" xr:uid="{E1E59C4C-91C1-4624-8CCD-3A4D5F61C045}"/>
    <cellStyle name="Note 2 2 3 8 3" xfId="11264" xr:uid="{79E79B57-284B-482F-8B43-8BC59E847C7E}"/>
    <cellStyle name="Note 2 2 3 9" xfId="4908" xr:uid="{00000000-0005-0000-0000-0000D8200000}"/>
    <cellStyle name="Note 2 2 3 9 2" xfId="13337" xr:uid="{FEE1C617-1A50-4AA3-A7FC-CE5A02027982}"/>
    <cellStyle name="Note 2 2 4" xfId="1007" xr:uid="{00000000-0005-0000-0000-0000D9200000}"/>
    <cellStyle name="Note 2 2 4 2" xfId="3239" xr:uid="{00000000-0005-0000-0000-0000DA200000}"/>
    <cellStyle name="Note 2 2 4 2 2" xfId="7463" xr:uid="{00000000-0005-0000-0000-0000DB200000}"/>
    <cellStyle name="Note 2 2 4 2 2 2" xfId="15892" xr:uid="{ACE4F297-16DE-48A0-8C85-E5C61C938FB0}"/>
    <cellStyle name="Note 2 2 4 2 3" xfId="11674" xr:uid="{44968AD1-F504-4FC9-A5E4-17869FBFBB63}"/>
    <cellStyle name="Note 2 2 4 3" xfId="5318" xr:uid="{00000000-0005-0000-0000-0000DC200000}"/>
    <cellStyle name="Note 2 2 4 3 2" xfId="13747" xr:uid="{0C3FC800-18E3-48EC-9C9C-2A718FF0B376}"/>
    <cellStyle name="Note 2 2 4 4" xfId="9529" xr:uid="{50D7738F-0061-4F6C-8909-0048A1271A9A}"/>
    <cellStyle name="Note 2 2 5" xfId="1422" xr:uid="{00000000-0005-0000-0000-0000DD200000}"/>
    <cellStyle name="Note 2 2 5 2" xfId="3652" xr:uid="{00000000-0005-0000-0000-0000DE200000}"/>
    <cellStyle name="Note 2 2 5 2 2" xfId="7876" xr:uid="{00000000-0005-0000-0000-0000DF200000}"/>
    <cellStyle name="Note 2 2 5 2 2 2" xfId="16305" xr:uid="{FE57438A-EEC2-4AB5-B612-CD53913E5794}"/>
    <cellStyle name="Note 2 2 5 2 3" xfId="12087" xr:uid="{BF9E059E-8D59-4593-8ECD-65C990F9F99B}"/>
    <cellStyle name="Note 2 2 5 3" xfId="5731" xr:uid="{00000000-0005-0000-0000-0000E0200000}"/>
    <cellStyle name="Note 2 2 5 3 2" xfId="14160" xr:uid="{6BBE243B-A181-409D-B7B0-D211477ED6A9}"/>
    <cellStyle name="Note 2 2 5 4" xfId="9942" xr:uid="{41F8106E-3DC9-4251-A9AD-DF38BC5EBD2D}"/>
    <cellStyle name="Note 2 2 6" xfId="1836" xr:uid="{00000000-0005-0000-0000-0000E1200000}"/>
    <cellStyle name="Note 2 2 6 2" xfId="4065" xr:uid="{00000000-0005-0000-0000-0000E2200000}"/>
    <cellStyle name="Note 2 2 6 2 2" xfId="8289" xr:uid="{00000000-0005-0000-0000-0000E3200000}"/>
    <cellStyle name="Note 2 2 6 2 2 2" xfId="16718" xr:uid="{ACB33D56-0779-4CA9-82FE-4F62339B5646}"/>
    <cellStyle name="Note 2 2 6 2 3" xfId="12500" xr:uid="{3E669E16-53F4-42E5-ACE6-378296DC4BC3}"/>
    <cellStyle name="Note 2 2 6 3" xfId="6144" xr:uid="{00000000-0005-0000-0000-0000E4200000}"/>
    <cellStyle name="Note 2 2 6 3 2" xfId="14573" xr:uid="{8588AB7D-CC4E-4600-83F3-13570CCD2AF8}"/>
    <cellStyle name="Note 2 2 6 4" xfId="10355" xr:uid="{9F4504D5-5778-4157-B857-B2A62A1CE9BC}"/>
    <cellStyle name="Note 2 2 7" xfId="2249" xr:uid="{00000000-0005-0000-0000-0000E5200000}"/>
    <cellStyle name="Note 2 2 7 2" xfId="4478" xr:uid="{00000000-0005-0000-0000-0000E6200000}"/>
    <cellStyle name="Note 2 2 7 2 2" xfId="8702" xr:uid="{00000000-0005-0000-0000-0000E7200000}"/>
    <cellStyle name="Note 2 2 7 2 2 2" xfId="17131" xr:uid="{E28ED5F9-39E7-49EE-9208-C27D1253A577}"/>
    <cellStyle name="Note 2 2 7 2 3" xfId="12913" xr:uid="{50488606-F578-424B-B896-2E95A49B4195}"/>
    <cellStyle name="Note 2 2 7 3" xfId="6557" xr:uid="{00000000-0005-0000-0000-0000E8200000}"/>
    <cellStyle name="Note 2 2 7 3 2" xfId="14986" xr:uid="{3DB8D628-87F6-4E78-8CC1-C9FFD696FB51}"/>
    <cellStyle name="Note 2 2 7 4" xfId="10768" xr:uid="{763BB436-8074-4C1A-A08C-B75B5073312B}"/>
    <cellStyle name="Note 2 2 8" xfId="2685" xr:uid="{00000000-0005-0000-0000-0000E9200000}"/>
    <cellStyle name="Note 2 2 8 2" xfId="6970" xr:uid="{00000000-0005-0000-0000-0000EA200000}"/>
    <cellStyle name="Note 2 2 8 2 2" xfId="15399" xr:uid="{8601F0D2-FC67-40C5-AC77-7CCDAB7F4401}"/>
    <cellStyle name="Note 2 2 8 3" xfId="11181" xr:uid="{A536A51B-967F-4C75-BB55-0AE0258DB3B4}"/>
    <cellStyle name="Note 2 2 9" xfId="2744" xr:uid="{00000000-0005-0000-0000-0000EB200000}"/>
    <cellStyle name="Note 2 3" xfId="550" xr:uid="{00000000-0005-0000-0000-0000EC200000}"/>
    <cellStyle name="Note 2 3 10" xfId="4909" xr:uid="{00000000-0005-0000-0000-0000ED200000}"/>
    <cellStyle name="Note 2 3 10 2" xfId="13338" xr:uid="{D01CA9B1-BB53-412B-8D16-BBFA5B9FDAB1}"/>
    <cellStyle name="Note 2 3 11" xfId="9120" xr:uid="{629F3BF3-E1D8-45D3-8BD8-BF0E028A1D91}"/>
    <cellStyle name="Note 2 3 2" xfId="551" xr:uid="{00000000-0005-0000-0000-0000EE200000}"/>
    <cellStyle name="Note 2 3 2 10" xfId="9121" xr:uid="{315B27BD-466C-4261-BFA4-7A4C3D26E899}"/>
    <cellStyle name="Note 2 3 2 2" xfId="1012" xr:uid="{00000000-0005-0000-0000-0000EF200000}"/>
    <cellStyle name="Note 2 3 2 2 2" xfId="3244" xr:uid="{00000000-0005-0000-0000-0000F0200000}"/>
    <cellStyle name="Note 2 3 2 2 2 2" xfId="7468" xr:uid="{00000000-0005-0000-0000-0000F1200000}"/>
    <cellStyle name="Note 2 3 2 2 2 2 2" xfId="15897" xr:uid="{950CA1A0-979E-4320-A6E1-2200BDB08AB2}"/>
    <cellStyle name="Note 2 3 2 2 2 3" xfId="11679" xr:uid="{78C37E53-8DC3-4D24-BE66-C2E2E77A83AC}"/>
    <cellStyle name="Note 2 3 2 2 3" xfId="5323" xr:uid="{00000000-0005-0000-0000-0000F2200000}"/>
    <cellStyle name="Note 2 3 2 2 3 2" xfId="13752" xr:uid="{64920E36-B911-413E-A723-386412BBD412}"/>
    <cellStyle name="Note 2 3 2 2 4" xfId="9534" xr:uid="{03CBB6E2-DF8B-45C2-A997-42E18DC066C5}"/>
    <cellStyle name="Note 2 3 2 3" xfId="1427" xr:uid="{00000000-0005-0000-0000-0000F3200000}"/>
    <cellStyle name="Note 2 3 2 3 2" xfId="3657" xr:uid="{00000000-0005-0000-0000-0000F4200000}"/>
    <cellStyle name="Note 2 3 2 3 2 2" xfId="7881" xr:uid="{00000000-0005-0000-0000-0000F5200000}"/>
    <cellStyle name="Note 2 3 2 3 2 2 2" xfId="16310" xr:uid="{C08A6516-5404-47D1-8F59-BD2E2C80A309}"/>
    <cellStyle name="Note 2 3 2 3 2 3" xfId="12092" xr:uid="{29442F96-3A8C-4375-B5FA-CC23866E437D}"/>
    <cellStyle name="Note 2 3 2 3 3" xfId="5736" xr:uid="{00000000-0005-0000-0000-0000F6200000}"/>
    <cellStyle name="Note 2 3 2 3 3 2" xfId="14165" xr:uid="{245D60E0-C74F-4B5D-AD11-568FFFA7780C}"/>
    <cellStyle name="Note 2 3 2 3 4" xfId="9947" xr:uid="{E8C206BA-2AF9-444F-9DF6-DF2BBE5DAA97}"/>
    <cellStyle name="Note 2 3 2 4" xfId="1841" xr:uid="{00000000-0005-0000-0000-0000F7200000}"/>
    <cellStyle name="Note 2 3 2 4 2" xfId="4070" xr:uid="{00000000-0005-0000-0000-0000F8200000}"/>
    <cellStyle name="Note 2 3 2 4 2 2" xfId="8294" xr:uid="{00000000-0005-0000-0000-0000F9200000}"/>
    <cellStyle name="Note 2 3 2 4 2 2 2" xfId="16723" xr:uid="{D3BF00DC-9217-48CE-993E-A07D93DF5B74}"/>
    <cellStyle name="Note 2 3 2 4 2 3" xfId="12505" xr:uid="{F58B64A6-F9E0-4AA4-A9AA-610C167D86F1}"/>
    <cellStyle name="Note 2 3 2 4 3" xfId="6149" xr:uid="{00000000-0005-0000-0000-0000FA200000}"/>
    <cellStyle name="Note 2 3 2 4 3 2" xfId="14578" xr:uid="{3427AA30-98B4-424C-87C1-D105FE03E675}"/>
    <cellStyle name="Note 2 3 2 4 4" xfId="10360" xr:uid="{1159E009-8C75-47F8-9864-E6DE69CC3D23}"/>
    <cellStyle name="Note 2 3 2 5" xfId="2254" xr:uid="{00000000-0005-0000-0000-0000FB200000}"/>
    <cellStyle name="Note 2 3 2 5 2" xfId="4483" xr:uid="{00000000-0005-0000-0000-0000FC200000}"/>
    <cellStyle name="Note 2 3 2 5 2 2" xfId="8707" xr:uid="{00000000-0005-0000-0000-0000FD200000}"/>
    <cellStyle name="Note 2 3 2 5 2 2 2" xfId="17136" xr:uid="{DB3765CF-454C-4E23-BD25-239F31941D7C}"/>
    <cellStyle name="Note 2 3 2 5 2 3" xfId="12918" xr:uid="{9F6FC8AA-7B69-4EEA-9E19-5A69DA1EB25D}"/>
    <cellStyle name="Note 2 3 2 5 3" xfId="6562" xr:uid="{00000000-0005-0000-0000-0000FE200000}"/>
    <cellStyle name="Note 2 3 2 5 3 2" xfId="14991" xr:uid="{C269D1A0-D27A-431D-AF6E-8B670362A66E}"/>
    <cellStyle name="Note 2 3 2 5 4" xfId="10773" xr:uid="{B78F5BCC-1F41-4581-8718-7540D4A2B406}"/>
    <cellStyle name="Note 2 3 2 6" xfId="2690" xr:uid="{00000000-0005-0000-0000-0000FF200000}"/>
    <cellStyle name="Note 2 3 2 6 2" xfId="6975" xr:uid="{00000000-0005-0000-0000-000000210000}"/>
    <cellStyle name="Note 2 3 2 6 2 2" xfId="15404" xr:uid="{E31D60A3-D7D8-4B72-A4FB-255109DC7B41}"/>
    <cellStyle name="Note 2 3 2 6 3" xfId="11186" xr:uid="{23E9664B-F53E-4961-84B5-64EF3F7D2F5C}"/>
    <cellStyle name="Note 2 3 2 7" xfId="2749" xr:uid="{00000000-0005-0000-0000-000001210000}"/>
    <cellStyle name="Note 2 3 2 8" xfId="2830" xr:uid="{00000000-0005-0000-0000-000002210000}"/>
    <cellStyle name="Note 2 3 2 8 2" xfId="7055" xr:uid="{00000000-0005-0000-0000-000003210000}"/>
    <cellStyle name="Note 2 3 2 8 2 2" xfId="15484" xr:uid="{36BB01E8-25F2-4009-99E2-740BFC190862}"/>
    <cellStyle name="Note 2 3 2 8 3" xfId="11266" xr:uid="{7D02152B-560B-4712-8C2E-6C738C3FEBCF}"/>
    <cellStyle name="Note 2 3 2 9" xfId="4910" xr:uid="{00000000-0005-0000-0000-000004210000}"/>
    <cellStyle name="Note 2 3 2 9 2" xfId="13339" xr:uid="{66A550BD-8EBA-47EC-AAFA-B3CAF1AD9DCE}"/>
    <cellStyle name="Note 2 3 3" xfId="1011" xr:uid="{00000000-0005-0000-0000-000005210000}"/>
    <cellStyle name="Note 2 3 3 2" xfId="3243" xr:uid="{00000000-0005-0000-0000-000006210000}"/>
    <cellStyle name="Note 2 3 3 2 2" xfId="7467" xr:uid="{00000000-0005-0000-0000-000007210000}"/>
    <cellStyle name="Note 2 3 3 2 2 2" xfId="15896" xr:uid="{B4AAD834-B0D0-4C8A-945A-23DB7F69B44E}"/>
    <cellStyle name="Note 2 3 3 2 3" xfId="11678" xr:uid="{173A53C9-F3BB-4EFB-95FA-C14243CA8BF2}"/>
    <cellStyle name="Note 2 3 3 3" xfId="5322" xr:uid="{00000000-0005-0000-0000-000008210000}"/>
    <cellStyle name="Note 2 3 3 3 2" xfId="13751" xr:uid="{7283449E-26B7-4B0B-BA73-5166F505DC8B}"/>
    <cellStyle name="Note 2 3 3 4" xfId="9533" xr:uid="{3B559F2E-9ACF-4594-82FD-FFCF2FCC19B7}"/>
    <cellStyle name="Note 2 3 4" xfId="1426" xr:uid="{00000000-0005-0000-0000-000009210000}"/>
    <cellStyle name="Note 2 3 4 2" xfId="3656" xr:uid="{00000000-0005-0000-0000-00000A210000}"/>
    <cellStyle name="Note 2 3 4 2 2" xfId="7880" xr:uid="{00000000-0005-0000-0000-00000B210000}"/>
    <cellStyle name="Note 2 3 4 2 2 2" xfId="16309" xr:uid="{1A582BBB-2B2F-4D5E-8C8F-64E0AF36B9F6}"/>
    <cellStyle name="Note 2 3 4 2 3" xfId="12091" xr:uid="{BC1F6D76-B3A1-46D8-A26F-4103074A984B}"/>
    <cellStyle name="Note 2 3 4 3" xfId="5735" xr:uid="{00000000-0005-0000-0000-00000C210000}"/>
    <cellStyle name="Note 2 3 4 3 2" xfId="14164" xr:uid="{9D241C00-FE91-4028-BFEC-8176EB4A13F7}"/>
    <cellStyle name="Note 2 3 4 4" xfId="9946" xr:uid="{9A90B9E0-74FB-45BA-9E6A-3ECAD78499C6}"/>
    <cellStyle name="Note 2 3 5" xfId="1840" xr:uid="{00000000-0005-0000-0000-00000D210000}"/>
    <cellStyle name="Note 2 3 5 2" xfId="4069" xr:uid="{00000000-0005-0000-0000-00000E210000}"/>
    <cellStyle name="Note 2 3 5 2 2" xfId="8293" xr:uid="{00000000-0005-0000-0000-00000F210000}"/>
    <cellStyle name="Note 2 3 5 2 2 2" xfId="16722" xr:uid="{1857D123-7FAB-406C-B4D6-23BE7481462A}"/>
    <cellStyle name="Note 2 3 5 2 3" xfId="12504" xr:uid="{BF141386-47AA-40C5-AF4D-9B219C434132}"/>
    <cellStyle name="Note 2 3 5 3" xfId="6148" xr:uid="{00000000-0005-0000-0000-000010210000}"/>
    <cellStyle name="Note 2 3 5 3 2" xfId="14577" xr:uid="{7CB71E19-504C-48B1-963B-648653053C4D}"/>
    <cellStyle name="Note 2 3 5 4" xfId="10359" xr:uid="{D9F7E812-524C-4B6B-9670-77F0B7F4A2A7}"/>
    <cellStyle name="Note 2 3 6" xfId="2253" xr:uid="{00000000-0005-0000-0000-000011210000}"/>
    <cellStyle name="Note 2 3 6 2" xfId="4482" xr:uid="{00000000-0005-0000-0000-000012210000}"/>
    <cellStyle name="Note 2 3 6 2 2" xfId="8706" xr:uid="{00000000-0005-0000-0000-000013210000}"/>
    <cellStyle name="Note 2 3 6 2 2 2" xfId="17135" xr:uid="{581B1648-AA0A-4035-9387-11DA51CD250D}"/>
    <cellStyle name="Note 2 3 6 2 3" xfId="12917" xr:uid="{4D8317A2-D7D1-4914-83D0-E4AC23008321}"/>
    <cellStyle name="Note 2 3 6 3" xfId="6561" xr:uid="{00000000-0005-0000-0000-000014210000}"/>
    <cellStyle name="Note 2 3 6 3 2" xfId="14990" xr:uid="{103CA0B5-2ACD-40D6-80BD-2AE2BEFA2EB4}"/>
    <cellStyle name="Note 2 3 6 4" xfId="10772" xr:uid="{38A7718F-8211-4A3C-8C14-B8AA494C8523}"/>
    <cellStyle name="Note 2 3 7" xfId="2689" xr:uid="{00000000-0005-0000-0000-000015210000}"/>
    <cellStyle name="Note 2 3 7 2" xfId="6974" xr:uid="{00000000-0005-0000-0000-000016210000}"/>
    <cellStyle name="Note 2 3 7 2 2" xfId="15403" xr:uid="{EE903AF9-E7A6-4915-B740-6B6D9C4BF71E}"/>
    <cellStyle name="Note 2 3 7 3" xfId="11185" xr:uid="{062EF823-4358-431B-B512-C847B0FAB8D2}"/>
    <cellStyle name="Note 2 3 8" xfId="2748" xr:uid="{00000000-0005-0000-0000-000017210000}"/>
    <cellStyle name="Note 2 3 9" xfId="2829" xr:uid="{00000000-0005-0000-0000-000018210000}"/>
    <cellStyle name="Note 2 3 9 2" xfId="7054" xr:uid="{00000000-0005-0000-0000-000019210000}"/>
    <cellStyle name="Note 2 3 9 2 2" xfId="15483" xr:uid="{1F642CA1-B24B-420F-9A33-2987FEF80FD6}"/>
    <cellStyle name="Note 2 3 9 3" xfId="11265" xr:uid="{C1EF42DA-A23A-4736-8D99-D7827BCCC7F3}"/>
    <cellStyle name="Note 2 4" xfId="552" xr:uid="{00000000-0005-0000-0000-00001A210000}"/>
    <cellStyle name="Note 2 4 10" xfId="9122" xr:uid="{C5B4315D-A887-47EE-87E6-672B7AADAAF4}"/>
    <cellStyle name="Note 2 4 2" xfId="1013" xr:uid="{00000000-0005-0000-0000-00001B210000}"/>
    <cellStyle name="Note 2 4 2 2" xfId="3245" xr:uid="{00000000-0005-0000-0000-00001C210000}"/>
    <cellStyle name="Note 2 4 2 2 2" xfId="7469" xr:uid="{00000000-0005-0000-0000-00001D210000}"/>
    <cellStyle name="Note 2 4 2 2 2 2" xfId="15898" xr:uid="{442EA18B-E122-458C-B859-B64201DECBE1}"/>
    <cellStyle name="Note 2 4 2 2 3" xfId="11680" xr:uid="{4CF1B46E-4F78-462A-888D-60C58030B41E}"/>
    <cellStyle name="Note 2 4 2 3" xfId="5324" xr:uid="{00000000-0005-0000-0000-00001E210000}"/>
    <cellStyle name="Note 2 4 2 3 2" xfId="13753" xr:uid="{DC363EA8-5C86-4CF7-AB6D-CD197D9A02F4}"/>
    <cellStyle name="Note 2 4 2 4" xfId="9535" xr:uid="{35195FC4-C141-46A3-95C7-3F87C304C4F6}"/>
    <cellStyle name="Note 2 4 3" xfId="1428" xr:uid="{00000000-0005-0000-0000-00001F210000}"/>
    <cellStyle name="Note 2 4 3 2" xfId="3658" xr:uid="{00000000-0005-0000-0000-000020210000}"/>
    <cellStyle name="Note 2 4 3 2 2" xfId="7882" xr:uid="{00000000-0005-0000-0000-000021210000}"/>
    <cellStyle name="Note 2 4 3 2 2 2" xfId="16311" xr:uid="{95635234-01CB-45A9-A867-C3CB38FCA0C2}"/>
    <cellStyle name="Note 2 4 3 2 3" xfId="12093" xr:uid="{1C5D05A5-75B5-4675-9B7D-2C9D6EF08C1D}"/>
    <cellStyle name="Note 2 4 3 3" xfId="5737" xr:uid="{00000000-0005-0000-0000-000022210000}"/>
    <cellStyle name="Note 2 4 3 3 2" xfId="14166" xr:uid="{F97FE98C-AB2F-456B-930A-9363BEE425DF}"/>
    <cellStyle name="Note 2 4 3 4" xfId="9948" xr:uid="{22118057-DE4B-40C1-AF6D-09ACBC600867}"/>
    <cellStyle name="Note 2 4 4" xfId="1842" xr:uid="{00000000-0005-0000-0000-000023210000}"/>
    <cellStyle name="Note 2 4 4 2" xfId="4071" xr:uid="{00000000-0005-0000-0000-000024210000}"/>
    <cellStyle name="Note 2 4 4 2 2" xfId="8295" xr:uid="{00000000-0005-0000-0000-000025210000}"/>
    <cellStyle name="Note 2 4 4 2 2 2" xfId="16724" xr:uid="{11B244D4-6BA9-4294-90C4-394F75C89DD6}"/>
    <cellStyle name="Note 2 4 4 2 3" xfId="12506" xr:uid="{1D1D4F9C-722B-49F5-9ABC-224737FAEE6E}"/>
    <cellStyle name="Note 2 4 4 3" xfId="6150" xr:uid="{00000000-0005-0000-0000-000026210000}"/>
    <cellStyle name="Note 2 4 4 3 2" xfId="14579" xr:uid="{C4C63FCB-C35C-427F-BD0F-424132D0EAD9}"/>
    <cellStyle name="Note 2 4 4 4" xfId="10361" xr:uid="{08E11F98-7FB4-4CF6-8339-6965BFD47FE7}"/>
    <cellStyle name="Note 2 4 5" xfId="2255" xr:uid="{00000000-0005-0000-0000-000027210000}"/>
    <cellStyle name="Note 2 4 5 2" xfId="4484" xr:uid="{00000000-0005-0000-0000-000028210000}"/>
    <cellStyle name="Note 2 4 5 2 2" xfId="8708" xr:uid="{00000000-0005-0000-0000-000029210000}"/>
    <cellStyle name="Note 2 4 5 2 2 2" xfId="17137" xr:uid="{C77D9A62-D0DE-488E-85F0-0D32B8CF1E47}"/>
    <cellStyle name="Note 2 4 5 2 3" xfId="12919" xr:uid="{104E8365-7757-47FA-9C85-0407A449F5E5}"/>
    <cellStyle name="Note 2 4 5 3" xfId="6563" xr:uid="{00000000-0005-0000-0000-00002A210000}"/>
    <cellStyle name="Note 2 4 5 3 2" xfId="14992" xr:uid="{94E337D6-BCDA-4762-BFD3-DD5518036079}"/>
    <cellStyle name="Note 2 4 5 4" xfId="10774" xr:uid="{0E9901FA-0492-4A39-A8E9-6B3D052873B3}"/>
    <cellStyle name="Note 2 4 6" xfId="2691" xr:uid="{00000000-0005-0000-0000-00002B210000}"/>
    <cellStyle name="Note 2 4 6 2" xfId="6976" xr:uid="{00000000-0005-0000-0000-00002C210000}"/>
    <cellStyle name="Note 2 4 6 2 2" xfId="15405" xr:uid="{C3C70363-2D9A-40E4-BE19-5EBFE70037E7}"/>
    <cellStyle name="Note 2 4 6 3" xfId="11187" xr:uid="{42463BE8-34C0-42AF-98B3-B0848AA48FBF}"/>
    <cellStyle name="Note 2 4 7" xfId="2750" xr:uid="{00000000-0005-0000-0000-00002D210000}"/>
    <cellStyle name="Note 2 4 8" xfId="2831" xr:uid="{00000000-0005-0000-0000-00002E210000}"/>
    <cellStyle name="Note 2 4 8 2" xfId="7056" xr:uid="{00000000-0005-0000-0000-00002F210000}"/>
    <cellStyle name="Note 2 4 8 2 2" xfId="15485" xr:uid="{560DA171-E7A5-4163-9926-2F818785D757}"/>
    <cellStyle name="Note 2 4 8 3" xfId="11267" xr:uid="{16CB77C3-D56B-4B25-98C3-44B03F01C901}"/>
    <cellStyle name="Note 2 4 9" xfId="4911" xr:uid="{00000000-0005-0000-0000-000030210000}"/>
    <cellStyle name="Note 2 4 9 2" xfId="13340" xr:uid="{AD8E5C9D-6064-4725-B276-FF87B9482263}"/>
    <cellStyle name="Note 2 5" xfId="553" xr:uid="{00000000-0005-0000-0000-000031210000}"/>
    <cellStyle name="Note 2 5 10" xfId="9123" xr:uid="{21F3B869-F532-4923-A8CA-0ECC8F21A268}"/>
    <cellStyle name="Note 2 5 2" xfId="1014" xr:uid="{00000000-0005-0000-0000-000032210000}"/>
    <cellStyle name="Note 2 5 2 2" xfId="3246" xr:uid="{00000000-0005-0000-0000-000033210000}"/>
    <cellStyle name="Note 2 5 2 2 2" xfId="7470" xr:uid="{00000000-0005-0000-0000-000034210000}"/>
    <cellStyle name="Note 2 5 2 2 2 2" xfId="15899" xr:uid="{78E8E995-D16E-4860-8153-0A54F8C9F4CF}"/>
    <cellStyle name="Note 2 5 2 2 3" xfId="11681" xr:uid="{A8C268DB-9CF3-437E-B3D3-AD7572070B04}"/>
    <cellStyle name="Note 2 5 2 3" xfId="5325" xr:uid="{00000000-0005-0000-0000-000035210000}"/>
    <cellStyle name="Note 2 5 2 3 2" xfId="13754" xr:uid="{6469C82B-6009-4586-960D-4042246E6CB2}"/>
    <cellStyle name="Note 2 5 2 4" xfId="9536" xr:uid="{BA94779C-FC25-4CB9-B033-6677D5C479A7}"/>
    <cellStyle name="Note 2 5 3" xfId="1429" xr:uid="{00000000-0005-0000-0000-000036210000}"/>
    <cellStyle name="Note 2 5 3 2" xfId="3659" xr:uid="{00000000-0005-0000-0000-000037210000}"/>
    <cellStyle name="Note 2 5 3 2 2" xfId="7883" xr:uid="{00000000-0005-0000-0000-000038210000}"/>
    <cellStyle name="Note 2 5 3 2 2 2" xfId="16312" xr:uid="{EF7714E8-6FD1-437A-9A27-724F975B6D0A}"/>
    <cellStyle name="Note 2 5 3 2 3" xfId="12094" xr:uid="{A8987365-A96F-4610-A8F7-D64B54750249}"/>
    <cellStyle name="Note 2 5 3 3" xfId="5738" xr:uid="{00000000-0005-0000-0000-000039210000}"/>
    <cellStyle name="Note 2 5 3 3 2" xfId="14167" xr:uid="{909A9AC1-8747-4570-955B-96931898B49D}"/>
    <cellStyle name="Note 2 5 3 4" xfId="9949" xr:uid="{DBB9A8D8-4D12-4E26-B099-B053ECC0F72F}"/>
    <cellStyle name="Note 2 5 4" xfId="1843" xr:uid="{00000000-0005-0000-0000-00003A210000}"/>
    <cellStyle name="Note 2 5 4 2" xfId="4072" xr:uid="{00000000-0005-0000-0000-00003B210000}"/>
    <cellStyle name="Note 2 5 4 2 2" xfId="8296" xr:uid="{00000000-0005-0000-0000-00003C210000}"/>
    <cellStyle name="Note 2 5 4 2 2 2" xfId="16725" xr:uid="{3E11D784-4936-4B6A-997C-E9C2164E62A7}"/>
    <cellStyle name="Note 2 5 4 2 3" xfId="12507" xr:uid="{6D345725-89A1-4975-8612-400801D4D2C7}"/>
    <cellStyle name="Note 2 5 4 3" xfId="6151" xr:uid="{00000000-0005-0000-0000-00003D210000}"/>
    <cellStyle name="Note 2 5 4 3 2" xfId="14580" xr:uid="{A63BE7A8-14EB-43C5-BA55-A035B418B264}"/>
    <cellStyle name="Note 2 5 4 4" xfId="10362" xr:uid="{5CDCBD60-FB4A-4D23-BD87-9AEB167366A7}"/>
    <cellStyle name="Note 2 5 5" xfId="2256" xr:uid="{00000000-0005-0000-0000-00003E210000}"/>
    <cellStyle name="Note 2 5 5 2" xfId="4485" xr:uid="{00000000-0005-0000-0000-00003F210000}"/>
    <cellStyle name="Note 2 5 5 2 2" xfId="8709" xr:uid="{00000000-0005-0000-0000-000040210000}"/>
    <cellStyle name="Note 2 5 5 2 2 2" xfId="17138" xr:uid="{FF4FC3C0-817D-4963-8398-30A2BBA40CD4}"/>
    <cellStyle name="Note 2 5 5 2 3" xfId="12920" xr:uid="{E1208777-83B8-4448-A089-57CE1FA9A3D6}"/>
    <cellStyle name="Note 2 5 5 3" xfId="6564" xr:uid="{00000000-0005-0000-0000-000041210000}"/>
    <cellStyle name="Note 2 5 5 3 2" xfId="14993" xr:uid="{E64F13FC-1D0B-48D2-AAB6-CC40A554473B}"/>
    <cellStyle name="Note 2 5 5 4" xfId="10775" xr:uid="{C5921D9C-CD34-4A39-89DE-0F0F12FF659F}"/>
    <cellStyle name="Note 2 5 6" xfId="2692" xr:uid="{00000000-0005-0000-0000-000042210000}"/>
    <cellStyle name="Note 2 5 6 2" xfId="6977" xr:uid="{00000000-0005-0000-0000-000043210000}"/>
    <cellStyle name="Note 2 5 6 2 2" xfId="15406" xr:uid="{8C5AF14F-535F-4EFD-96D6-3DF9B2F5D85A}"/>
    <cellStyle name="Note 2 5 6 3" xfId="11188" xr:uid="{5F5215C8-0CAD-4580-88C7-D09F382F6245}"/>
    <cellStyle name="Note 2 5 7" xfId="2751" xr:uid="{00000000-0005-0000-0000-000044210000}"/>
    <cellStyle name="Note 2 5 8" xfId="2832" xr:uid="{00000000-0005-0000-0000-000045210000}"/>
    <cellStyle name="Note 2 5 8 2" xfId="7057" xr:uid="{00000000-0005-0000-0000-000046210000}"/>
    <cellStyle name="Note 2 5 8 2 2" xfId="15486" xr:uid="{F24901D5-000E-427A-B093-FC6859FB6D24}"/>
    <cellStyle name="Note 2 5 8 3" xfId="11268" xr:uid="{8A273775-FE52-4DF8-9AE0-E98B03E74251}"/>
    <cellStyle name="Note 2 5 9" xfId="4912" xr:uid="{00000000-0005-0000-0000-000047210000}"/>
    <cellStyle name="Note 2 5 9 2" xfId="13341" xr:uid="{C366F1D8-CFF1-47C1-8D01-A74394182004}"/>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0 2 2" xfId="15487" xr:uid="{1B1E55DC-8D49-4AEB-9084-A26FEC9DB191}"/>
    <cellStyle name="Note 3 2 10 3" xfId="11269" xr:uid="{9F6F1CF3-3FAD-498A-AF0F-B4B193300E67}"/>
    <cellStyle name="Note 3 2 11" xfId="4913" xr:uid="{00000000-0005-0000-0000-00004C210000}"/>
    <cellStyle name="Note 3 2 11 2" xfId="13342" xr:uid="{9123E4D5-C0FC-4E09-A03E-63921D47AF4C}"/>
    <cellStyle name="Note 3 2 12" xfId="9124" xr:uid="{44AFA06C-72D7-4CEE-B541-981363F82604}"/>
    <cellStyle name="Note 3 2 2" xfId="556" xr:uid="{00000000-0005-0000-0000-00004D210000}"/>
    <cellStyle name="Note 3 2 2 10" xfId="4914" xr:uid="{00000000-0005-0000-0000-00004E210000}"/>
    <cellStyle name="Note 3 2 2 10 2" xfId="13343" xr:uid="{B345FE5B-BBA9-417B-84D5-D2B31CE8621B}"/>
    <cellStyle name="Note 3 2 2 11" xfId="9125" xr:uid="{FCC37CDD-2423-4E1D-B133-381163DA795D}"/>
    <cellStyle name="Note 3 2 2 2" xfId="557" xr:uid="{00000000-0005-0000-0000-00004F210000}"/>
    <cellStyle name="Note 3 2 2 2 10" xfId="9126" xr:uid="{DD41EE90-B04D-4543-963D-AA36CF4AA883}"/>
    <cellStyle name="Note 3 2 2 2 2" xfId="1017" xr:uid="{00000000-0005-0000-0000-000050210000}"/>
    <cellStyle name="Note 3 2 2 2 2 2" xfId="3249" xr:uid="{00000000-0005-0000-0000-000051210000}"/>
    <cellStyle name="Note 3 2 2 2 2 2 2" xfId="7473" xr:uid="{00000000-0005-0000-0000-000052210000}"/>
    <cellStyle name="Note 3 2 2 2 2 2 2 2" xfId="15902" xr:uid="{7B850C3F-3B24-43FA-9EAB-6B8B7203864E}"/>
    <cellStyle name="Note 3 2 2 2 2 2 3" xfId="11684" xr:uid="{56547C43-9B1A-4E46-81CA-D926196DAD76}"/>
    <cellStyle name="Note 3 2 2 2 2 3" xfId="5328" xr:uid="{00000000-0005-0000-0000-000053210000}"/>
    <cellStyle name="Note 3 2 2 2 2 3 2" xfId="13757" xr:uid="{68B8A047-7452-49D7-BBA5-CD604CA892B5}"/>
    <cellStyle name="Note 3 2 2 2 2 4" xfId="9539" xr:uid="{4C1256B8-613A-4A38-866F-570461F4A524}"/>
    <cellStyle name="Note 3 2 2 2 3" xfId="1432" xr:uid="{00000000-0005-0000-0000-000054210000}"/>
    <cellStyle name="Note 3 2 2 2 3 2" xfId="3662" xr:uid="{00000000-0005-0000-0000-000055210000}"/>
    <cellStyle name="Note 3 2 2 2 3 2 2" xfId="7886" xr:uid="{00000000-0005-0000-0000-000056210000}"/>
    <cellStyle name="Note 3 2 2 2 3 2 2 2" xfId="16315" xr:uid="{52C63A50-12B2-4D37-8A21-B851F68DE0BA}"/>
    <cellStyle name="Note 3 2 2 2 3 2 3" xfId="12097" xr:uid="{B4797D17-5003-4F64-B4F4-E58BF50C6679}"/>
    <cellStyle name="Note 3 2 2 2 3 3" xfId="5741" xr:uid="{00000000-0005-0000-0000-000057210000}"/>
    <cellStyle name="Note 3 2 2 2 3 3 2" xfId="14170" xr:uid="{854EEB8A-D9B0-40E7-8368-00377FD1E282}"/>
    <cellStyle name="Note 3 2 2 2 3 4" xfId="9952" xr:uid="{B94C11B9-623D-4132-A3C2-6C0B87A13E71}"/>
    <cellStyle name="Note 3 2 2 2 4" xfId="1846" xr:uid="{00000000-0005-0000-0000-000058210000}"/>
    <cellStyle name="Note 3 2 2 2 4 2" xfId="4075" xr:uid="{00000000-0005-0000-0000-000059210000}"/>
    <cellStyle name="Note 3 2 2 2 4 2 2" xfId="8299" xr:uid="{00000000-0005-0000-0000-00005A210000}"/>
    <cellStyle name="Note 3 2 2 2 4 2 2 2" xfId="16728" xr:uid="{B9779CE1-F3E4-48FA-9FE8-0C87169EE34A}"/>
    <cellStyle name="Note 3 2 2 2 4 2 3" xfId="12510" xr:uid="{8AA357FD-EC11-40DC-BC4E-B57DD3432460}"/>
    <cellStyle name="Note 3 2 2 2 4 3" xfId="6154" xr:uid="{00000000-0005-0000-0000-00005B210000}"/>
    <cellStyle name="Note 3 2 2 2 4 3 2" xfId="14583" xr:uid="{D46B6634-D20C-4A26-8CCD-B647157006C3}"/>
    <cellStyle name="Note 3 2 2 2 4 4" xfId="10365" xr:uid="{4A6FEBEB-87D4-4C62-B55E-6FF7E814A69B}"/>
    <cellStyle name="Note 3 2 2 2 5" xfId="2259" xr:uid="{00000000-0005-0000-0000-00005C210000}"/>
    <cellStyle name="Note 3 2 2 2 5 2" xfId="4488" xr:uid="{00000000-0005-0000-0000-00005D210000}"/>
    <cellStyle name="Note 3 2 2 2 5 2 2" xfId="8712" xr:uid="{00000000-0005-0000-0000-00005E210000}"/>
    <cellStyle name="Note 3 2 2 2 5 2 2 2" xfId="17141" xr:uid="{C346CFEF-6B92-4C2A-9FB4-6AEBE16E1FE2}"/>
    <cellStyle name="Note 3 2 2 2 5 2 3" xfId="12923" xr:uid="{991E3B29-BDB4-44DE-9551-61501BB7255E}"/>
    <cellStyle name="Note 3 2 2 2 5 3" xfId="6567" xr:uid="{00000000-0005-0000-0000-00005F210000}"/>
    <cellStyle name="Note 3 2 2 2 5 3 2" xfId="14996" xr:uid="{4416FA8A-5AB3-496B-ACE7-D1E1B707C2CE}"/>
    <cellStyle name="Note 3 2 2 2 5 4" xfId="10778" xr:uid="{2F59225A-8291-4BC3-9606-2C6EAD3E3FC9}"/>
    <cellStyle name="Note 3 2 2 2 6" xfId="2695" xr:uid="{00000000-0005-0000-0000-000060210000}"/>
    <cellStyle name="Note 3 2 2 2 6 2" xfId="6980" xr:uid="{00000000-0005-0000-0000-000061210000}"/>
    <cellStyle name="Note 3 2 2 2 6 2 2" xfId="15409" xr:uid="{0EE5B1A3-0BA4-4640-97BC-68DC6281B1FF}"/>
    <cellStyle name="Note 3 2 2 2 6 3" xfId="11191" xr:uid="{197B4A10-85E4-458E-A82F-03343DD60CDA}"/>
    <cellStyle name="Note 3 2 2 2 7" xfId="2754" xr:uid="{00000000-0005-0000-0000-000062210000}"/>
    <cellStyle name="Note 3 2 2 2 8" xfId="2835" xr:uid="{00000000-0005-0000-0000-000063210000}"/>
    <cellStyle name="Note 3 2 2 2 8 2" xfId="7060" xr:uid="{00000000-0005-0000-0000-000064210000}"/>
    <cellStyle name="Note 3 2 2 2 8 2 2" xfId="15489" xr:uid="{D66A988F-3755-4A9A-8795-02F7FFC4AD0C}"/>
    <cellStyle name="Note 3 2 2 2 8 3" xfId="11271" xr:uid="{D8A60747-9364-43B9-BA9B-719DD24BB7A1}"/>
    <cellStyle name="Note 3 2 2 2 9" xfId="4915" xr:uid="{00000000-0005-0000-0000-000065210000}"/>
    <cellStyle name="Note 3 2 2 2 9 2" xfId="13344" xr:uid="{670AE960-EAD0-4499-AF14-C8569EE36CD8}"/>
    <cellStyle name="Note 3 2 2 3" xfId="1016" xr:uid="{00000000-0005-0000-0000-000066210000}"/>
    <cellStyle name="Note 3 2 2 3 2" xfId="3248" xr:uid="{00000000-0005-0000-0000-000067210000}"/>
    <cellStyle name="Note 3 2 2 3 2 2" xfId="7472" xr:uid="{00000000-0005-0000-0000-000068210000}"/>
    <cellStyle name="Note 3 2 2 3 2 2 2" xfId="15901" xr:uid="{AA042FEF-9A37-4A12-B3DB-E7619DF63B1D}"/>
    <cellStyle name="Note 3 2 2 3 2 3" xfId="11683" xr:uid="{D0A8921D-0FD3-49CC-9480-5760A5D6266D}"/>
    <cellStyle name="Note 3 2 2 3 3" xfId="5327" xr:uid="{00000000-0005-0000-0000-000069210000}"/>
    <cellStyle name="Note 3 2 2 3 3 2" xfId="13756" xr:uid="{F06CCB62-1CD9-4365-9E07-96964FF6EA53}"/>
    <cellStyle name="Note 3 2 2 3 4" xfId="9538" xr:uid="{A06B34C9-22B5-4E64-8BBC-4A4CBE3B524F}"/>
    <cellStyle name="Note 3 2 2 4" xfId="1431" xr:uid="{00000000-0005-0000-0000-00006A210000}"/>
    <cellStyle name="Note 3 2 2 4 2" xfId="3661" xr:uid="{00000000-0005-0000-0000-00006B210000}"/>
    <cellStyle name="Note 3 2 2 4 2 2" xfId="7885" xr:uid="{00000000-0005-0000-0000-00006C210000}"/>
    <cellStyle name="Note 3 2 2 4 2 2 2" xfId="16314" xr:uid="{62EEB6BF-EE09-42CD-B828-8CB8F89C92B1}"/>
    <cellStyle name="Note 3 2 2 4 2 3" xfId="12096" xr:uid="{54F9E1D2-12AF-430A-98D1-9D165B9DC653}"/>
    <cellStyle name="Note 3 2 2 4 3" xfId="5740" xr:uid="{00000000-0005-0000-0000-00006D210000}"/>
    <cellStyle name="Note 3 2 2 4 3 2" xfId="14169" xr:uid="{CF425C0C-C3F7-4208-8FEA-5ED5F62AC17A}"/>
    <cellStyle name="Note 3 2 2 4 4" xfId="9951" xr:uid="{833981D8-CE47-41F5-BEA0-A7479DEB030B}"/>
    <cellStyle name="Note 3 2 2 5" xfId="1845" xr:uid="{00000000-0005-0000-0000-00006E210000}"/>
    <cellStyle name="Note 3 2 2 5 2" xfId="4074" xr:uid="{00000000-0005-0000-0000-00006F210000}"/>
    <cellStyle name="Note 3 2 2 5 2 2" xfId="8298" xr:uid="{00000000-0005-0000-0000-000070210000}"/>
    <cellStyle name="Note 3 2 2 5 2 2 2" xfId="16727" xr:uid="{BD544D5D-F8D1-4094-BC31-4DA778099317}"/>
    <cellStyle name="Note 3 2 2 5 2 3" xfId="12509" xr:uid="{8A842818-E2E5-443B-B77F-0E9AC55E9FF3}"/>
    <cellStyle name="Note 3 2 2 5 3" xfId="6153" xr:uid="{00000000-0005-0000-0000-000071210000}"/>
    <cellStyle name="Note 3 2 2 5 3 2" xfId="14582" xr:uid="{7A270AD2-2AEE-4ACE-9517-985E72A4385D}"/>
    <cellStyle name="Note 3 2 2 5 4" xfId="10364" xr:uid="{813890C6-999D-494F-A92A-35D6602419ED}"/>
    <cellStyle name="Note 3 2 2 6" xfId="2258" xr:uid="{00000000-0005-0000-0000-000072210000}"/>
    <cellStyle name="Note 3 2 2 6 2" xfId="4487" xr:uid="{00000000-0005-0000-0000-000073210000}"/>
    <cellStyle name="Note 3 2 2 6 2 2" xfId="8711" xr:uid="{00000000-0005-0000-0000-000074210000}"/>
    <cellStyle name="Note 3 2 2 6 2 2 2" xfId="17140" xr:uid="{E43A5D3D-D190-4836-ADF4-FB49C36ADAFF}"/>
    <cellStyle name="Note 3 2 2 6 2 3" xfId="12922" xr:uid="{9E512C75-CF6D-4220-9A80-75344E13F45D}"/>
    <cellStyle name="Note 3 2 2 6 3" xfId="6566" xr:uid="{00000000-0005-0000-0000-000075210000}"/>
    <cellStyle name="Note 3 2 2 6 3 2" xfId="14995" xr:uid="{50777602-1C0F-4FAD-BB2A-A410030640A3}"/>
    <cellStyle name="Note 3 2 2 6 4" xfId="10777" xr:uid="{3F5C2D4D-8C51-407D-A2AD-CF5431BB1CDF}"/>
    <cellStyle name="Note 3 2 2 7" xfId="2694" xr:uid="{00000000-0005-0000-0000-000076210000}"/>
    <cellStyle name="Note 3 2 2 7 2" xfId="6979" xr:uid="{00000000-0005-0000-0000-000077210000}"/>
    <cellStyle name="Note 3 2 2 7 2 2" xfId="15408" xr:uid="{F4A32FEE-F321-4BF0-92A1-76AC4CBAE635}"/>
    <cellStyle name="Note 3 2 2 7 3" xfId="11190" xr:uid="{0E4350AF-2BC9-493E-A718-63B19AC80318}"/>
    <cellStyle name="Note 3 2 2 8" xfId="2753" xr:uid="{00000000-0005-0000-0000-000078210000}"/>
    <cellStyle name="Note 3 2 2 9" xfId="2834" xr:uid="{00000000-0005-0000-0000-000079210000}"/>
    <cellStyle name="Note 3 2 2 9 2" xfId="7059" xr:uid="{00000000-0005-0000-0000-00007A210000}"/>
    <cellStyle name="Note 3 2 2 9 2 2" xfId="15488" xr:uid="{5C615C55-FFE0-4029-9892-3581B057C0BE}"/>
    <cellStyle name="Note 3 2 2 9 3" xfId="11270" xr:uid="{83A2FAA9-C81F-4E5B-A055-B01E77F21837}"/>
    <cellStyle name="Note 3 2 3" xfId="558" xr:uid="{00000000-0005-0000-0000-00007B210000}"/>
    <cellStyle name="Note 3 2 3 10" xfId="9127" xr:uid="{8DF7F0E8-B729-4DF6-9CAA-5A0271ADCEDD}"/>
    <cellStyle name="Note 3 2 3 2" xfId="1018" xr:uid="{00000000-0005-0000-0000-00007C210000}"/>
    <cellStyle name="Note 3 2 3 2 2" xfId="3250" xr:uid="{00000000-0005-0000-0000-00007D210000}"/>
    <cellStyle name="Note 3 2 3 2 2 2" xfId="7474" xr:uid="{00000000-0005-0000-0000-00007E210000}"/>
    <cellStyle name="Note 3 2 3 2 2 2 2" xfId="15903" xr:uid="{8DC13B5F-F562-4F67-B9F9-BE935CDA7915}"/>
    <cellStyle name="Note 3 2 3 2 2 3" xfId="11685" xr:uid="{1E7867A4-B75B-4AE0-9D8E-489707894B1B}"/>
    <cellStyle name="Note 3 2 3 2 3" xfId="5329" xr:uid="{00000000-0005-0000-0000-00007F210000}"/>
    <cellStyle name="Note 3 2 3 2 3 2" xfId="13758" xr:uid="{D90B8794-A5FF-4BB0-B854-3754A23B42C0}"/>
    <cellStyle name="Note 3 2 3 2 4" xfId="9540" xr:uid="{A71F9FCB-66A2-4C5D-86D0-BCBFC226E525}"/>
    <cellStyle name="Note 3 2 3 3" xfId="1433" xr:uid="{00000000-0005-0000-0000-000080210000}"/>
    <cellStyle name="Note 3 2 3 3 2" xfId="3663" xr:uid="{00000000-0005-0000-0000-000081210000}"/>
    <cellStyle name="Note 3 2 3 3 2 2" xfId="7887" xr:uid="{00000000-0005-0000-0000-000082210000}"/>
    <cellStyle name="Note 3 2 3 3 2 2 2" xfId="16316" xr:uid="{94335DA8-6FE8-4C5D-AF72-4001E767E62B}"/>
    <cellStyle name="Note 3 2 3 3 2 3" xfId="12098" xr:uid="{CA6F19B6-4174-4A79-9D69-7121DD9354FD}"/>
    <cellStyle name="Note 3 2 3 3 3" xfId="5742" xr:uid="{00000000-0005-0000-0000-000083210000}"/>
    <cellStyle name="Note 3 2 3 3 3 2" xfId="14171" xr:uid="{8223DC59-BC78-4E46-8051-C4946D2306FD}"/>
    <cellStyle name="Note 3 2 3 3 4" xfId="9953" xr:uid="{7E32E60E-313E-4A71-9A5D-B6BD0BF4734B}"/>
    <cellStyle name="Note 3 2 3 4" xfId="1847" xr:uid="{00000000-0005-0000-0000-000084210000}"/>
    <cellStyle name="Note 3 2 3 4 2" xfId="4076" xr:uid="{00000000-0005-0000-0000-000085210000}"/>
    <cellStyle name="Note 3 2 3 4 2 2" xfId="8300" xr:uid="{00000000-0005-0000-0000-000086210000}"/>
    <cellStyle name="Note 3 2 3 4 2 2 2" xfId="16729" xr:uid="{F3F6D410-6A50-47AC-B8F0-8A1D37960A40}"/>
    <cellStyle name="Note 3 2 3 4 2 3" xfId="12511" xr:uid="{775E7D25-5070-4F56-B98B-2F1BCB5ADE31}"/>
    <cellStyle name="Note 3 2 3 4 3" xfId="6155" xr:uid="{00000000-0005-0000-0000-000087210000}"/>
    <cellStyle name="Note 3 2 3 4 3 2" xfId="14584" xr:uid="{813551EB-5EEA-4CA8-AC0E-744DD693232E}"/>
    <cellStyle name="Note 3 2 3 4 4" xfId="10366" xr:uid="{CF06135E-336B-4CAC-A22E-1552D777931E}"/>
    <cellStyle name="Note 3 2 3 5" xfId="2260" xr:uid="{00000000-0005-0000-0000-000088210000}"/>
    <cellStyle name="Note 3 2 3 5 2" xfId="4489" xr:uid="{00000000-0005-0000-0000-000089210000}"/>
    <cellStyle name="Note 3 2 3 5 2 2" xfId="8713" xr:uid="{00000000-0005-0000-0000-00008A210000}"/>
    <cellStyle name="Note 3 2 3 5 2 2 2" xfId="17142" xr:uid="{1516C344-A5B3-489D-9421-1982A000B37A}"/>
    <cellStyle name="Note 3 2 3 5 2 3" xfId="12924" xr:uid="{AA27892A-1835-4082-8DB5-07375EF4EA02}"/>
    <cellStyle name="Note 3 2 3 5 3" xfId="6568" xr:uid="{00000000-0005-0000-0000-00008B210000}"/>
    <cellStyle name="Note 3 2 3 5 3 2" xfId="14997" xr:uid="{C2E900A4-5D22-45ED-8669-FF310951742C}"/>
    <cellStyle name="Note 3 2 3 5 4" xfId="10779" xr:uid="{B454FEA9-7610-4511-92F6-E54D5C349217}"/>
    <cellStyle name="Note 3 2 3 6" xfId="2696" xr:uid="{00000000-0005-0000-0000-00008C210000}"/>
    <cellStyle name="Note 3 2 3 6 2" xfId="6981" xr:uid="{00000000-0005-0000-0000-00008D210000}"/>
    <cellStyle name="Note 3 2 3 6 2 2" xfId="15410" xr:uid="{86B56B38-3289-41ED-A645-E9BAC71338AD}"/>
    <cellStyle name="Note 3 2 3 6 3" xfId="11192" xr:uid="{4F6BE254-54E0-486B-9E98-515686BC26BD}"/>
    <cellStyle name="Note 3 2 3 7" xfId="2755" xr:uid="{00000000-0005-0000-0000-00008E210000}"/>
    <cellStyle name="Note 3 2 3 8" xfId="2836" xr:uid="{00000000-0005-0000-0000-00008F210000}"/>
    <cellStyle name="Note 3 2 3 8 2" xfId="7061" xr:uid="{00000000-0005-0000-0000-000090210000}"/>
    <cellStyle name="Note 3 2 3 8 2 2" xfId="15490" xr:uid="{9494512A-196E-4B1A-B200-C9D5A790A6D1}"/>
    <cellStyle name="Note 3 2 3 8 3" xfId="11272" xr:uid="{AFF031F8-BF0B-45D0-9845-19011070C9F4}"/>
    <cellStyle name="Note 3 2 3 9" xfId="4916" xr:uid="{00000000-0005-0000-0000-000091210000}"/>
    <cellStyle name="Note 3 2 3 9 2" xfId="13345" xr:uid="{7C2B0F82-EEF4-47E2-92B2-A9EBA5155A92}"/>
    <cellStyle name="Note 3 2 4" xfId="1015" xr:uid="{00000000-0005-0000-0000-000092210000}"/>
    <cellStyle name="Note 3 2 4 2" xfId="3247" xr:uid="{00000000-0005-0000-0000-000093210000}"/>
    <cellStyle name="Note 3 2 4 2 2" xfId="7471" xr:uid="{00000000-0005-0000-0000-000094210000}"/>
    <cellStyle name="Note 3 2 4 2 2 2" xfId="15900" xr:uid="{8C4706CF-FA33-4078-BAEC-025AF4747A98}"/>
    <cellStyle name="Note 3 2 4 2 3" xfId="11682" xr:uid="{EF3F55ED-1BB5-4617-B094-224A94C56AB3}"/>
    <cellStyle name="Note 3 2 4 3" xfId="5326" xr:uid="{00000000-0005-0000-0000-000095210000}"/>
    <cellStyle name="Note 3 2 4 3 2" xfId="13755" xr:uid="{D4EF7E13-31F5-4BBF-9AAC-74D5F67301AF}"/>
    <cellStyle name="Note 3 2 4 4" xfId="9537" xr:uid="{375DE86A-B314-4601-96DC-359B4C2CC9E1}"/>
    <cellStyle name="Note 3 2 5" xfId="1430" xr:uid="{00000000-0005-0000-0000-000096210000}"/>
    <cellStyle name="Note 3 2 5 2" xfId="3660" xr:uid="{00000000-0005-0000-0000-000097210000}"/>
    <cellStyle name="Note 3 2 5 2 2" xfId="7884" xr:uid="{00000000-0005-0000-0000-000098210000}"/>
    <cellStyle name="Note 3 2 5 2 2 2" xfId="16313" xr:uid="{A3B3AC74-FBE1-4ED3-8F1F-13FA393AE3CC}"/>
    <cellStyle name="Note 3 2 5 2 3" xfId="12095" xr:uid="{4C5F7D5B-B42F-4C8C-A9B4-71E939BBCAA9}"/>
    <cellStyle name="Note 3 2 5 3" xfId="5739" xr:uid="{00000000-0005-0000-0000-000099210000}"/>
    <cellStyle name="Note 3 2 5 3 2" xfId="14168" xr:uid="{9DEE07B5-6340-4693-969E-01820C7B1D0F}"/>
    <cellStyle name="Note 3 2 5 4" xfId="9950" xr:uid="{8AC30941-5987-4F01-92F1-8D7F1345637E}"/>
    <cellStyle name="Note 3 2 6" xfId="1844" xr:uid="{00000000-0005-0000-0000-00009A210000}"/>
    <cellStyle name="Note 3 2 6 2" xfId="4073" xr:uid="{00000000-0005-0000-0000-00009B210000}"/>
    <cellStyle name="Note 3 2 6 2 2" xfId="8297" xr:uid="{00000000-0005-0000-0000-00009C210000}"/>
    <cellStyle name="Note 3 2 6 2 2 2" xfId="16726" xr:uid="{59E2018F-67DC-4FA1-AE30-80F7C849B52E}"/>
    <cellStyle name="Note 3 2 6 2 3" xfId="12508" xr:uid="{182B41CA-5F5E-4729-9C96-E2D50569C582}"/>
    <cellStyle name="Note 3 2 6 3" xfId="6152" xr:uid="{00000000-0005-0000-0000-00009D210000}"/>
    <cellStyle name="Note 3 2 6 3 2" xfId="14581" xr:uid="{D6DC5030-9F6E-434D-9646-D94ABE8A306A}"/>
    <cellStyle name="Note 3 2 6 4" xfId="10363" xr:uid="{6D752007-AA6D-41CF-BE24-28C40F8EE090}"/>
    <cellStyle name="Note 3 2 7" xfId="2257" xr:uid="{00000000-0005-0000-0000-00009E210000}"/>
    <cellStyle name="Note 3 2 7 2" xfId="4486" xr:uid="{00000000-0005-0000-0000-00009F210000}"/>
    <cellStyle name="Note 3 2 7 2 2" xfId="8710" xr:uid="{00000000-0005-0000-0000-0000A0210000}"/>
    <cellStyle name="Note 3 2 7 2 2 2" xfId="17139" xr:uid="{F566AAF3-CFDB-4884-987C-873E2AFA7EB3}"/>
    <cellStyle name="Note 3 2 7 2 3" xfId="12921" xr:uid="{9FE6F714-C113-4938-ADC9-223C1276524A}"/>
    <cellStyle name="Note 3 2 7 3" xfId="6565" xr:uid="{00000000-0005-0000-0000-0000A1210000}"/>
    <cellStyle name="Note 3 2 7 3 2" xfId="14994" xr:uid="{AE1CCE08-BF32-4784-8424-2A399F5EC526}"/>
    <cellStyle name="Note 3 2 7 4" xfId="10776" xr:uid="{0F31E288-B45A-4833-A97C-B30B6A2224CF}"/>
    <cellStyle name="Note 3 2 8" xfId="2693" xr:uid="{00000000-0005-0000-0000-0000A2210000}"/>
    <cellStyle name="Note 3 2 8 2" xfId="6978" xr:uid="{00000000-0005-0000-0000-0000A3210000}"/>
    <cellStyle name="Note 3 2 8 2 2" xfId="15407" xr:uid="{CBDE5F3D-1083-4F5E-8B86-086B830EEC6E}"/>
    <cellStyle name="Note 3 2 8 3" xfId="11189" xr:uid="{9F08C56E-E4DB-4129-BD93-F6A95F8E48B8}"/>
    <cellStyle name="Note 3 2 9" xfId="2752" xr:uid="{00000000-0005-0000-0000-0000A4210000}"/>
    <cellStyle name="Note 3 3" xfId="559" xr:uid="{00000000-0005-0000-0000-0000A5210000}"/>
    <cellStyle name="Note 3 3 10" xfId="4917" xr:uid="{00000000-0005-0000-0000-0000A6210000}"/>
    <cellStyle name="Note 3 3 10 2" xfId="13346" xr:uid="{816976DD-4B74-4206-BCBF-B6968D0471DB}"/>
    <cellStyle name="Note 3 3 11" xfId="9128" xr:uid="{73ABCB2F-AEF9-4B0D-8812-1CA3DA214DDF}"/>
    <cellStyle name="Note 3 3 2" xfId="560" xr:uid="{00000000-0005-0000-0000-0000A7210000}"/>
    <cellStyle name="Note 3 3 2 10" xfId="9129" xr:uid="{8B41098C-8A3E-43A9-9CA7-D657E50EE715}"/>
    <cellStyle name="Note 3 3 2 2" xfId="1020" xr:uid="{00000000-0005-0000-0000-0000A8210000}"/>
    <cellStyle name="Note 3 3 2 2 2" xfId="3252" xr:uid="{00000000-0005-0000-0000-0000A9210000}"/>
    <cellStyle name="Note 3 3 2 2 2 2" xfId="7476" xr:uid="{00000000-0005-0000-0000-0000AA210000}"/>
    <cellStyle name="Note 3 3 2 2 2 2 2" xfId="15905" xr:uid="{9A3E5508-F5C2-4506-A3F0-6BD353A77CA5}"/>
    <cellStyle name="Note 3 3 2 2 2 3" xfId="11687" xr:uid="{4989201E-D4A7-4A51-BF91-71C773AB6CED}"/>
    <cellStyle name="Note 3 3 2 2 3" xfId="5331" xr:uid="{00000000-0005-0000-0000-0000AB210000}"/>
    <cellStyle name="Note 3 3 2 2 3 2" xfId="13760" xr:uid="{F3D4BE5E-1388-49A0-ABEE-79F628ECAD97}"/>
    <cellStyle name="Note 3 3 2 2 4" xfId="9542" xr:uid="{B7633C3C-71FD-460C-936D-7099C8CD4BD8}"/>
    <cellStyle name="Note 3 3 2 3" xfId="1435" xr:uid="{00000000-0005-0000-0000-0000AC210000}"/>
    <cellStyle name="Note 3 3 2 3 2" xfId="3665" xr:uid="{00000000-0005-0000-0000-0000AD210000}"/>
    <cellStyle name="Note 3 3 2 3 2 2" xfId="7889" xr:uid="{00000000-0005-0000-0000-0000AE210000}"/>
    <cellStyle name="Note 3 3 2 3 2 2 2" xfId="16318" xr:uid="{1AB0B91C-8485-4EEA-84E2-816A368B021E}"/>
    <cellStyle name="Note 3 3 2 3 2 3" xfId="12100" xr:uid="{98727A4F-21F2-436C-89CE-9D7334E0E403}"/>
    <cellStyle name="Note 3 3 2 3 3" xfId="5744" xr:uid="{00000000-0005-0000-0000-0000AF210000}"/>
    <cellStyle name="Note 3 3 2 3 3 2" xfId="14173" xr:uid="{1306E25B-B2FA-47B0-B9B0-E32B08BA2368}"/>
    <cellStyle name="Note 3 3 2 3 4" xfId="9955" xr:uid="{904DED1C-1FAB-4C8C-8741-699C88C9DD4C}"/>
    <cellStyle name="Note 3 3 2 4" xfId="1849" xr:uid="{00000000-0005-0000-0000-0000B0210000}"/>
    <cellStyle name="Note 3 3 2 4 2" xfId="4078" xr:uid="{00000000-0005-0000-0000-0000B1210000}"/>
    <cellStyle name="Note 3 3 2 4 2 2" xfId="8302" xr:uid="{00000000-0005-0000-0000-0000B2210000}"/>
    <cellStyle name="Note 3 3 2 4 2 2 2" xfId="16731" xr:uid="{7CB6FBD6-D1DD-4331-B612-60FC6343346A}"/>
    <cellStyle name="Note 3 3 2 4 2 3" xfId="12513" xr:uid="{BC5B7FB2-4081-4620-951D-F5812CD10AE7}"/>
    <cellStyle name="Note 3 3 2 4 3" xfId="6157" xr:uid="{00000000-0005-0000-0000-0000B3210000}"/>
    <cellStyle name="Note 3 3 2 4 3 2" xfId="14586" xr:uid="{3058F6B3-544D-4750-AD61-129037650322}"/>
    <cellStyle name="Note 3 3 2 4 4" xfId="10368" xr:uid="{21882AAF-4CC3-4FA3-A2D3-34A332AB7F17}"/>
    <cellStyle name="Note 3 3 2 5" xfId="2262" xr:uid="{00000000-0005-0000-0000-0000B4210000}"/>
    <cellStyle name="Note 3 3 2 5 2" xfId="4491" xr:uid="{00000000-0005-0000-0000-0000B5210000}"/>
    <cellStyle name="Note 3 3 2 5 2 2" xfId="8715" xr:uid="{00000000-0005-0000-0000-0000B6210000}"/>
    <cellStyle name="Note 3 3 2 5 2 2 2" xfId="17144" xr:uid="{ACEF5650-87BC-4B50-8178-5DA0378BD5FA}"/>
    <cellStyle name="Note 3 3 2 5 2 3" xfId="12926" xr:uid="{A6DF2B2B-B218-4ABC-8B2C-5D304C77BFB6}"/>
    <cellStyle name="Note 3 3 2 5 3" xfId="6570" xr:uid="{00000000-0005-0000-0000-0000B7210000}"/>
    <cellStyle name="Note 3 3 2 5 3 2" xfId="14999" xr:uid="{3F325C5E-7075-4FBB-BA0F-39DE14956FE9}"/>
    <cellStyle name="Note 3 3 2 5 4" xfId="10781" xr:uid="{F5CB3C33-B6E9-40A7-87EC-B4D24BCA3E61}"/>
    <cellStyle name="Note 3 3 2 6" xfId="2698" xr:uid="{00000000-0005-0000-0000-0000B8210000}"/>
    <cellStyle name="Note 3 3 2 6 2" xfId="6983" xr:uid="{00000000-0005-0000-0000-0000B9210000}"/>
    <cellStyle name="Note 3 3 2 6 2 2" xfId="15412" xr:uid="{FEC02856-8BF6-4F5D-AE22-F8D8D7226D4D}"/>
    <cellStyle name="Note 3 3 2 6 3" xfId="11194" xr:uid="{BD675C6F-71DD-4483-998F-1026092F1E9A}"/>
    <cellStyle name="Note 3 3 2 7" xfId="2757" xr:uid="{00000000-0005-0000-0000-0000BA210000}"/>
    <cellStyle name="Note 3 3 2 8" xfId="2838" xr:uid="{00000000-0005-0000-0000-0000BB210000}"/>
    <cellStyle name="Note 3 3 2 8 2" xfId="7063" xr:uid="{00000000-0005-0000-0000-0000BC210000}"/>
    <cellStyle name="Note 3 3 2 8 2 2" xfId="15492" xr:uid="{FF322217-FEAA-44D6-9713-E3859996B009}"/>
    <cellStyle name="Note 3 3 2 8 3" xfId="11274" xr:uid="{6070CBE9-2719-45FB-B19E-579EFAB7798E}"/>
    <cellStyle name="Note 3 3 2 9" xfId="4918" xr:uid="{00000000-0005-0000-0000-0000BD210000}"/>
    <cellStyle name="Note 3 3 2 9 2" xfId="13347" xr:uid="{CCB3A68B-6CAE-4B25-A2F2-4373AA12C40F}"/>
    <cellStyle name="Note 3 3 3" xfId="1019" xr:uid="{00000000-0005-0000-0000-0000BE210000}"/>
    <cellStyle name="Note 3 3 3 2" xfId="3251" xr:uid="{00000000-0005-0000-0000-0000BF210000}"/>
    <cellStyle name="Note 3 3 3 2 2" xfId="7475" xr:uid="{00000000-0005-0000-0000-0000C0210000}"/>
    <cellStyle name="Note 3 3 3 2 2 2" xfId="15904" xr:uid="{2623F52D-B69D-4B83-BEBD-BFC2E4396951}"/>
    <cellStyle name="Note 3 3 3 2 3" xfId="11686" xr:uid="{D9E84B55-B84A-4486-A836-DA5D7EE0C292}"/>
    <cellStyle name="Note 3 3 3 3" xfId="5330" xr:uid="{00000000-0005-0000-0000-0000C1210000}"/>
    <cellStyle name="Note 3 3 3 3 2" xfId="13759" xr:uid="{5F43F0CF-598B-474A-A975-7C49FFA1835C}"/>
    <cellStyle name="Note 3 3 3 4" xfId="9541" xr:uid="{5DD38A63-9841-43F1-8800-2BD2BB20ED92}"/>
    <cellStyle name="Note 3 3 4" xfId="1434" xr:uid="{00000000-0005-0000-0000-0000C2210000}"/>
    <cellStyle name="Note 3 3 4 2" xfId="3664" xr:uid="{00000000-0005-0000-0000-0000C3210000}"/>
    <cellStyle name="Note 3 3 4 2 2" xfId="7888" xr:uid="{00000000-0005-0000-0000-0000C4210000}"/>
    <cellStyle name="Note 3 3 4 2 2 2" xfId="16317" xr:uid="{F90A7042-6121-4DAE-A483-7D2DC79D469B}"/>
    <cellStyle name="Note 3 3 4 2 3" xfId="12099" xr:uid="{1D616571-EFAF-4D8C-A4E2-F52F7B806317}"/>
    <cellStyle name="Note 3 3 4 3" xfId="5743" xr:uid="{00000000-0005-0000-0000-0000C5210000}"/>
    <cellStyle name="Note 3 3 4 3 2" xfId="14172" xr:uid="{C6D98EFC-AE18-463B-B893-CDC10A9D23D9}"/>
    <cellStyle name="Note 3 3 4 4" xfId="9954" xr:uid="{C820F5FF-C489-4C75-9B7A-B64919CDD8F9}"/>
    <cellStyle name="Note 3 3 5" xfId="1848" xr:uid="{00000000-0005-0000-0000-0000C6210000}"/>
    <cellStyle name="Note 3 3 5 2" xfId="4077" xr:uid="{00000000-0005-0000-0000-0000C7210000}"/>
    <cellStyle name="Note 3 3 5 2 2" xfId="8301" xr:uid="{00000000-0005-0000-0000-0000C8210000}"/>
    <cellStyle name="Note 3 3 5 2 2 2" xfId="16730" xr:uid="{3034BBF0-E6C2-4E24-ABFD-A9354D42B014}"/>
    <cellStyle name="Note 3 3 5 2 3" xfId="12512" xr:uid="{8D0A3F40-E4B9-4B57-A142-EA392159BA55}"/>
    <cellStyle name="Note 3 3 5 3" xfId="6156" xr:uid="{00000000-0005-0000-0000-0000C9210000}"/>
    <cellStyle name="Note 3 3 5 3 2" xfId="14585" xr:uid="{F2E991C4-F304-4CC2-8DA3-464B7BBAC624}"/>
    <cellStyle name="Note 3 3 5 4" xfId="10367" xr:uid="{21F4CA88-243E-4C08-B828-97DBF44454A9}"/>
    <cellStyle name="Note 3 3 6" xfId="2261" xr:uid="{00000000-0005-0000-0000-0000CA210000}"/>
    <cellStyle name="Note 3 3 6 2" xfId="4490" xr:uid="{00000000-0005-0000-0000-0000CB210000}"/>
    <cellStyle name="Note 3 3 6 2 2" xfId="8714" xr:uid="{00000000-0005-0000-0000-0000CC210000}"/>
    <cellStyle name="Note 3 3 6 2 2 2" xfId="17143" xr:uid="{A5E49F8E-7A4E-42F6-B4F8-BA58CB2F7A25}"/>
    <cellStyle name="Note 3 3 6 2 3" xfId="12925" xr:uid="{44BF2345-0356-421C-9F9E-9D96B7D1D9E3}"/>
    <cellStyle name="Note 3 3 6 3" xfId="6569" xr:uid="{00000000-0005-0000-0000-0000CD210000}"/>
    <cellStyle name="Note 3 3 6 3 2" xfId="14998" xr:uid="{9E49F82C-7FE7-49BE-8C1C-27E3957DBE35}"/>
    <cellStyle name="Note 3 3 6 4" xfId="10780" xr:uid="{E3BB8264-F922-4300-8B04-3584C88A8825}"/>
    <cellStyle name="Note 3 3 7" xfId="2697" xr:uid="{00000000-0005-0000-0000-0000CE210000}"/>
    <cellStyle name="Note 3 3 7 2" xfId="6982" xr:uid="{00000000-0005-0000-0000-0000CF210000}"/>
    <cellStyle name="Note 3 3 7 2 2" xfId="15411" xr:uid="{7E6B0E03-35C1-4FE1-A8D5-C70C64BBD9E2}"/>
    <cellStyle name="Note 3 3 7 3" xfId="11193" xr:uid="{740D7B65-0BAC-4819-BAB6-6734EB157401}"/>
    <cellStyle name="Note 3 3 8" xfId="2756" xr:uid="{00000000-0005-0000-0000-0000D0210000}"/>
    <cellStyle name="Note 3 3 9" xfId="2837" xr:uid="{00000000-0005-0000-0000-0000D1210000}"/>
    <cellStyle name="Note 3 3 9 2" xfId="7062" xr:uid="{00000000-0005-0000-0000-0000D2210000}"/>
    <cellStyle name="Note 3 3 9 2 2" xfId="15491" xr:uid="{BFDBC43C-DE80-48B9-93B5-EFF13BCA3539}"/>
    <cellStyle name="Note 3 3 9 3" xfId="11273" xr:uid="{2EADFD4B-CD66-40C4-A5B6-E96F04975B3F}"/>
    <cellStyle name="Note 3 4" xfId="561" xr:uid="{00000000-0005-0000-0000-0000D3210000}"/>
    <cellStyle name="Note 3 4 10" xfId="9130" xr:uid="{52E1AD93-1E3D-4988-8038-8BCFDA09D5D0}"/>
    <cellStyle name="Note 3 4 2" xfId="1021" xr:uid="{00000000-0005-0000-0000-0000D4210000}"/>
    <cellStyle name="Note 3 4 2 2" xfId="3253" xr:uid="{00000000-0005-0000-0000-0000D5210000}"/>
    <cellStyle name="Note 3 4 2 2 2" xfId="7477" xr:uid="{00000000-0005-0000-0000-0000D6210000}"/>
    <cellStyle name="Note 3 4 2 2 2 2" xfId="15906" xr:uid="{935DF653-8F04-4F7E-9CBE-E30C147DF3D2}"/>
    <cellStyle name="Note 3 4 2 2 3" xfId="11688" xr:uid="{B4882F95-CDFF-4595-ACC4-C85C503BD9C8}"/>
    <cellStyle name="Note 3 4 2 3" xfId="5332" xr:uid="{00000000-0005-0000-0000-0000D7210000}"/>
    <cellStyle name="Note 3 4 2 3 2" xfId="13761" xr:uid="{B6431455-676E-4133-8CB6-52C937726BB3}"/>
    <cellStyle name="Note 3 4 2 4" xfId="9543" xr:uid="{1DCB1FFF-A173-4902-A984-5A23037D3C68}"/>
    <cellStyle name="Note 3 4 3" xfId="1436" xr:uid="{00000000-0005-0000-0000-0000D8210000}"/>
    <cellStyle name="Note 3 4 3 2" xfId="3666" xr:uid="{00000000-0005-0000-0000-0000D9210000}"/>
    <cellStyle name="Note 3 4 3 2 2" xfId="7890" xr:uid="{00000000-0005-0000-0000-0000DA210000}"/>
    <cellStyle name="Note 3 4 3 2 2 2" xfId="16319" xr:uid="{769DEFFD-0473-4538-8475-73F37859647B}"/>
    <cellStyle name="Note 3 4 3 2 3" xfId="12101" xr:uid="{89F56C80-C8EF-48F4-A4E6-91115B24BB7F}"/>
    <cellStyle name="Note 3 4 3 3" xfId="5745" xr:uid="{00000000-0005-0000-0000-0000DB210000}"/>
    <cellStyle name="Note 3 4 3 3 2" xfId="14174" xr:uid="{8C22D715-9B7C-4A39-9B7D-08BF73F5908E}"/>
    <cellStyle name="Note 3 4 3 4" xfId="9956" xr:uid="{4E99925E-557F-4D41-B0B7-D4A3437A657A}"/>
    <cellStyle name="Note 3 4 4" xfId="1850" xr:uid="{00000000-0005-0000-0000-0000DC210000}"/>
    <cellStyle name="Note 3 4 4 2" xfId="4079" xr:uid="{00000000-0005-0000-0000-0000DD210000}"/>
    <cellStyle name="Note 3 4 4 2 2" xfId="8303" xr:uid="{00000000-0005-0000-0000-0000DE210000}"/>
    <cellStyle name="Note 3 4 4 2 2 2" xfId="16732" xr:uid="{F9D460C7-C6CD-401B-8645-3115A7F7A88E}"/>
    <cellStyle name="Note 3 4 4 2 3" xfId="12514" xr:uid="{BA9E25EF-1633-4F3D-8ED0-7D12718960A6}"/>
    <cellStyle name="Note 3 4 4 3" xfId="6158" xr:uid="{00000000-0005-0000-0000-0000DF210000}"/>
    <cellStyle name="Note 3 4 4 3 2" xfId="14587" xr:uid="{C92A19CA-F201-40EE-A9E8-7BD58198CB14}"/>
    <cellStyle name="Note 3 4 4 4" xfId="10369" xr:uid="{C15BA9E6-3C3D-44EE-B7DC-444FC9D28D0D}"/>
    <cellStyle name="Note 3 4 5" xfId="2263" xr:uid="{00000000-0005-0000-0000-0000E0210000}"/>
    <cellStyle name="Note 3 4 5 2" xfId="4492" xr:uid="{00000000-0005-0000-0000-0000E1210000}"/>
    <cellStyle name="Note 3 4 5 2 2" xfId="8716" xr:uid="{00000000-0005-0000-0000-0000E2210000}"/>
    <cellStyle name="Note 3 4 5 2 2 2" xfId="17145" xr:uid="{B21C273B-B678-4DCC-9156-2DA0876F3B7F}"/>
    <cellStyle name="Note 3 4 5 2 3" xfId="12927" xr:uid="{5E352F38-295E-4AA5-A739-00B8AAC71E79}"/>
    <cellStyle name="Note 3 4 5 3" xfId="6571" xr:uid="{00000000-0005-0000-0000-0000E3210000}"/>
    <cellStyle name="Note 3 4 5 3 2" xfId="15000" xr:uid="{85A903B3-4638-475D-96F7-F930FBDB9C20}"/>
    <cellStyle name="Note 3 4 5 4" xfId="10782" xr:uid="{EC5DC021-A31C-4401-BC80-A5FB48D5CCB7}"/>
    <cellStyle name="Note 3 4 6" xfId="2699" xr:uid="{00000000-0005-0000-0000-0000E4210000}"/>
    <cellStyle name="Note 3 4 6 2" xfId="6984" xr:uid="{00000000-0005-0000-0000-0000E5210000}"/>
    <cellStyle name="Note 3 4 6 2 2" xfId="15413" xr:uid="{E6615807-CDDA-41B2-A7FC-96E041547DC2}"/>
    <cellStyle name="Note 3 4 6 3" xfId="11195" xr:uid="{7F1274D4-F3B4-4FDD-8401-7055E72371AE}"/>
    <cellStyle name="Note 3 4 7" xfId="2758" xr:uid="{00000000-0005-0000-0000-0000E6210000}"/>
    <cellStyle name="Note 3 4 8" xfId="2839" xr:uid="{00000000-0005-0000-0000-0000E7210000}"/>
    <cellStyle name="Note 3 4 8 2" xfId="7064" xr:uid="{00000000-0005-0000-0000-0000E8210000}"/>
    <cellStyle name="Note 3 4 8 2 2" xfId="15493" xr:uid="{DBE018DD-C944-4AAB-8596-208ABAB9A4BC}"/>
    <cellStyle name="Note 3 4 8 3" xfId="11275" xr:uid="{D4790364-9768-4E66-835E-F858593ECACC}"/>
    <cellStyle name="Note 3 4 9" xfId="4919" xr:uid="{00000000-0005-0000-0000-0000E9210000}"/>
    <cellStyle name="Note 3 4 9 2" xfId="13348" xr:uid="{83AF1F83-83C3-4069-96A4-DBDA944F229C}"/>
    <cellStyle name="Note 3 5" xfId="562" xr:uid="{00000000-0005-0000-0000-0000EA210000}"/>
    <cellStyle name="Note 3 5 10" xfId="9131" xr:uid="{A673190D-2C29-4086-9284-492579750032}"/>
    <cellStyle name="Note 3 5 2" xfId="1022" xr:uid="{00000000-0005-0000-0000-0000EB210000}"/>
    <cellStyle name="Note 3 5 2 2" xfId="3254" xr:uid="{00000000-0005-0000-0000-0000EC210000}"/>
    <cellStyle name="Note 3 5 2 2 2" xfId="7478" xr:uid="{00000000-0005-0000-0000-0000ED210000}"/>
    <cellStyle name="Note 3 5 2 2 2 2" xfId="15907" xr:uid="{0F1B5937-D654-46F0-ABAC-36B9CA333AA8}"/>
    <cellStyle name="Note 3 5 2 2 3" xfId="11689" xr:uid="{A2367DFC-3F05-45FE-BDBB-E51B20D91479}"/>
    <cellStyle name="Note 3 5 2 3" xfId="5333" xr:uid="{00000000-0005-0000-0000-0000EE210000}"/>
    <cellStyle name="Note 3 5 2 3 2" xfId="13762" xr:uid="{F87FB128-C7D0-499C-8648-CA84269A8C62}"/>
    <cellStyle name="Note 3 5 2 4" xfId="9544" xr:uid="{02771F7D-BD07-4C13-BC90-1F4A5C61AFF1}"/>
    <cellStyle name="Note 3 5 3" xfId="1437" xr:uid="{00000000-0005-0000-0000-0000EF210000}"/>
    <cellStyle name="Note 3 5 3 2" xfId="3667" xr:uid="{00000000-0005-0000-0000-0000F0210000}"/>
    <cellStyle name="Note 3 5 3 2 2" xfId="7891" xr:uid="{00000000-0005-0000-0000-0000F1210000}"/>
    <cellStyle name="Note 3 5 3 2 2 2" xfId="16320" xr:uid="{1A929401-D022-42BB-BB51-EF3B07DC9E67}"/>
    <cellStyle name="Note 3 5 3 2 3" xfId="12102" xr:uid="{E082AFED-4AC6-4E7C-937C-0392A0D80A94}"/>
    <cellStyle name="Note 3 5 3 3" xfId="5746" xr:uid="{00000000-0005-0000-0000-0000F2210000}"/>
    <cellStyle name="Note 3 5 3 3 2" xfId="14175" xr:uid="{22326D7E-ECF3-4B1C-80B5-CBCD91849993}"/>
    <cellStyle name="Note 3 5 3 4" xfId="9957" xr:uid="{1AF97CAB-3AAF-46EF-8BE7-82C88EB4C310}"/>
    <cellStyle name="Note 3 5 4" xfId="1851" xr:uid="{00000000-0005-0000-0000-0000F3210000}"/>
    <cellStyle name="Note 3 5 4 2" xfId="4080" xr:uid="{00000000-0005-0000-0000-0000F4210000}"/>
    <cellStyle name="Note 3 5 4 2 2" xfId="8304" xr:uid="{00000000-0005-0000-0000-0000F5210000}"/>
    <cellStyle name="Note 3 5 4 2 2 2" xfId="16733" xr:uid="{BA9DD46F-6F44-4710-866F-CCDAE5D76FD4}"/>
    <cellStyle name="Note 3 5 4 2 3" xfId="12515" xr:uid="{05921797-4ACC-4081-8CCF-3BCEEFF9DD4E}"/>
    <cellStyle name="Note 3 5 4 3" xfId="6159" xr:uid="{00000000-0005-0000-0000-0000F6210000}"/>
    <cellStyle name="Note 3 5 4 3 2" xfId="14588" xr:uid="{FEA6E3DB-268A-4A46-9387-E45FD026B12D}"/>
    <cellStyle name="Note 3 5 4 4" xfId="10370" xr:uid="{217B36A5-7104-4E2F-852E-089452684BA2}"/>
    <cellStyle name="Note 3 5 5" xfId="2264" xr:uid="{00000000-0005-0000-0000-0000F7210000}"/>
    <cellStyle name="Note 3 5 5 2" xfId="4493" xr:uid="{00000000-0005-0000-0000-0000F8210000}"/>
    <cellStyle name="Note 3 5 5 2 2" xfId="8717" xr:uid="{00000000-0005-0000-0000-0000F9210000}"/>
    <cellStyle name="Note 3 5 5 2 2 2" xfId="17146" xr:uid="{26F43F8C-6D56-4507-B7B0-269576CEE317}"/>
    <cellStyle name="Note 3 5 5 2 3" xfId="12928" xr:uid="{DB0D1351-AA9C-42B4-B62F-608F6EC78DFC}"/>
    <cellStyle name="Note 3 5 5 3" xfId="6572" xr:uid="{00000000-0005-0000-0000-0000FA210000}"/>
    <cellStyle name="Note 3 5 5 3 2" xfId="15001" xr:uid="{512144F5-FFBF-413E-A7CF-F84CC8205454}"/>
    <cellStyle name="Note 3 5 5 4" xfId="10783" xr:uid="{4933D386-36B3-43C4-B907-35DE3A068B4A}"/>
    <cellStyle name="Note 3 5 6" xfId="2700" xr:uid="{00000000-0005-0000-0000-0000FB210000}"/>
    <cellStyle name="Note 3 5 6 2" xfId="6985" xr:uid="{00000000-0005-0000-0000-0000FC210000}"/>
    <cellStyle name="Note 3 5 6 2 2" xfId="15414" xr:uid="{3F17CAA8-3DFE-4DDD-B811-E5DC4A6DA7E7}"/>
    <cellStyle name="Note 3 5 6 3" xfId="11196" xr:uid="{EA0874F0-9654-4393-A9DD-44F1BE3921C0}"/>
    <cellStyle name="Note 3 5 7" xfId="2759" xr:uid="{00000000-0005-0000-0000-0000FD210000}"/>
    <cellStyle name="Note 3 5 8" xfId="2840" xr:uid="{00000000-0005-0000-0000-0000FE210000}"/>
    <cellStyle name="Note 3 5 8 2" xfId="7065" xr:uid="{00000000-0005-0000-0000-0000FF210000}"/>
    <cellStyle name="Note 3 5 8 2 2" xfId="15494" xr:uid="{8A39764F-C7EA-4C48-BAA4-DF723F8C6F0D}"/>
    <cellStyle name="Note 3 5 8 3" xfId="11276" xr:uid="{7D9B6A70-387A-46AD-AF05-317316F156CF}"/>
    <cellStyle name="Note 3 5 9" xfId="4920" xr:uid="{00000000-0005-0000-0000-000000220000}"/>
    <cellStyle name="Note 3 5 9 2" xfId="13349" xr:uid="{38FC5D8A-6FB9-465B-A614-8C5E661F37FD}"/>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3 2" xfId="12932" xr:uid="{005DDC46-7812-411B-95E7-424503AE2D31}"/>
    <cellStyle name="Percent 4" xfId="4503" xr:uid="{00000000-0005-0000-0000-000006220000}"/>
    <cellStyle name="Percent 4 2" xfId="12935" xr:uid="{A6AD19B9-A247-4B59-82CA-0856A8260769}"/>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6">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2" t="s">
        <v>583</v>
      </c>
      <c r="B1" s="1862"/>
      <c r="C1" s="1862"/>
      <c r="D1" s="1862"/>
      <c r="E1" s="1862"/>
      <c r="F1" s="1862"/>
      <c r="G1" s="1862"/>
      <c r="H1" s="1862"/>
      <c r="I1" s="1862"/>
      <c r="J1" s="1862"/>
      <c r="K1" s="1862"/>
      <c r="L1" s="1862"/>
      <c r="M1" s="1862"/>
      <c r="N1" s="1862"/>
      <c r="O1" s="1862"/>
      <c r="P1" s="1862"/>
      <c r="Q1" s="1862"/>
      <c r="R1" s="1862"/>
      <c r="S1" s="1862"/>
      <c r="T1" s="1862"/>
      <c r="U1" s="1862"/>
      <c r="V1" s="1862"/>
      <c r="W1" s="1862"/>
      <c r="X1" s="1862"/>
      <c r="Y1" s="1862"/>
      <c r="Z1" s="1862"/>
      <c r="AA1" s="1862"/>
      <c r="AB1" s="1862"/>
      <c r="AC1" s="1862"/>
      <c r="AD1" s="1862"/>
      <c r="AE1" s="1862"/>
      <c r="AF1" s="1862"/>
      <c r="AG1" s="1862"/>
      <c r="AH1" s="1862"/>
      <c r="AI1" s="1862"/>
      <c r="AJ1" s="1862"/>
      <c r="AK1" s="1862"/>
      <c r="AL1" s="1862"/>
    </row>
    <row r="2" spans="1:38" ht="13.5" thickBot="1">
      <c r="A2" s="1863"/>
      <c r="B2" s="1863"/>
      <c r="C2" s="1863"/>
      <c r="D2" s="1863"/>
      <c r="E2" s="1863"/>
      <c r="F2" s="1863"/>
      <c r="G2" s="1863"/>
      <c r="H2" s="1863"/>
      <c r="I2" s="1863"/>
      <c r="J2" s="1863"/>
      <c r="K2" s="1863"/>
      <c r="L2" s="1863"/>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4" t="s">
        <v>1390</v>
      </c>
      <c r="E7" s="1864"/>
      <c r="F7" s="1864"/>
      <c r="G7" s="1864"/>
      <c r="H7" s="1864"/>
      <c r="I7" s="1864"/>
      <c r="J7" s="1864"/>
      <c r="K7" s="1864"/>
      <c r="L7" s="1864"/>
      <c r="M7" s="1864"/>
      <c r="N7" s="1864"/>
      <c r="O7" s="1864"/>
      <c r="P7" s="1864"/>
      <c r="Q7" s="1864"/>
      <c r="R7" s="1864"/>
      <c r="S7" s="1864"/>
      <c r="T7" s="1864"/>
      <c r="U7" s="1864"/>
      <c r="V7" s="1864"/>
      <c r="W7" s="1864"/>
      <c r="X7" s="1864"/>
      <c r="Y7" s="1864"/>
      <c r="Z7" s="1864"/>
      <c r="AA7" s="1864"/>
      <c r="AB7" s="1864"/>
      <c r="AC7" s="1864"/>
      <c r="AD7" s="1864"/>
      <c r="AE7" s="1864"/>
      <c r="AF7" s="1864"/>
      <c r="AG7" s="1864"/>
      <c r="AH7" s="1864"/>
      <c r="AI7" s="1864"/>
      <c r="AJ7" s="1864"/>
      <c r="AK7" s="1864"/>
      <c r="AL7" s="746"/>
    </row>
    <row r="8" spans="1:38">
      <c r="A8" s="327"/>
      <c r="B8" s="325"/>
      <c r="C8" s="326"/>
      <c r="D8" s="1864"/>
      <c r="E8" s="1864"/>
      <c r="F8" s="1864"/>
      <c r="G8" s="1864"/>
      <c r="H8" s="1864"/>
      <c r="I8" s="1864"/>
      <c r="J8" s="1864"/>
      <c r="K8" s="1864"/>
      <c r="L8" s="1864"/>
      <c r="M8" s="1864"/>
      <c r="N8" s="1864"/>
      <c r="O8" s="1864"/>
      <c r="P8" s="1864"/>
      <c r="Q8" s="1864"/>
      <c r="R8" s="1864"/>
      <c r="S8" s="1864"/>
      <c r="T8" s="1864"/>
      <c r="U8" s="1864"/>
      <c r="V8" s="1864"/>
      <c r="W8" s="1864"/>
      <c r="X8" s="1864"/>
      <c r="Y8" s="1864"/>
      <c r="Z8" s="1864"/>
      <c r="AA8" s="1864"/>
      <c r="AB8" s="1864"/>
      <c r="AC8" s="1864"/>
      <c r="AD8" s="1864"/>
      <c r="AE8" s="1864"/>
      <c r="AF8" s="1864"/>
      <c r="AG8" s="1864"/>
      <c r="AH8" s="1864"/>
      <c r="AI8" s="1864"/>
      <c r="AJ8" s="1864"/>
      <c r="AK8" s="1864"/>
      <c r="AL8" s="746"/>
    </row>
    <row r="9" spans="1:38">
      <c r="A9" s="327"/>
      <c r="B9" s="325"/>
      <c r="C9" s="326"/>
      <c r="D9" s="1864"/>
      <c r="E9" s="1864"/>
      <c r="F9" s="1864"/>
      <c r="G9" s="1864"/>
      <c r="H9" s="1864"/>
      <c r="I9" s="1864"/>
      <c r="J9" s="1864"/>
      <c r="K9" s="1864"/>
      <c r="L9" s="1864"/>
      <c r="M9" s="1864"/>
      <c r="N9" s="1864"/>
      <c r="O9" s="1864"/>
      <c r="P9" s="1864"/>
      <c r="Q9" s="1864"/>
      <c r="R9" s="1864"/>
      <c r="S9" s="1864"/>
      <c r="T9" s="1864"/>
      <c r="U9" s="1864"/>
      <c r="V9" s="1864"/>
      <c r="W9" s="1864"/>
      <c r="X9" s="1864"/>
      <c r="Y9" s="1864"/>
      <c r="Z9" s="1864"/>
      <c r="AA9" s="1864"/>
      <c r="AB9" s="1864"/>
      <c r="AC9" s="1864"/>
      <c r="AD9" s="1864"/>
      <c r="AE9" s="1864"/>
      <c r="AF9" s="1864"/>
      <c r="AG9" s="1864"/>
      <c r="AH9" s="1864"/>
      <c r="AI9" s="1864"/>
      <c r="AJ9" s="1864"/>
      <c r="AK9" s="1864"/>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4" t="s">
        <v>1394</v>
      </c>
      <c r="E11" s="1864"/>
      <c r="F11" s="1864"/>
      <c r="G11" s="1864"/>
      <c r="H11" s="1864"/>
      <c r="I11" s="1864"/>
      <c r="J11" s="1864"/>
      <c r="K11" s="1864"/>
      <c r="L11" s="1864"/>
      <c r="M11" s="1864"/>
      <c r="N11" s="1864"/>
      <c r="O11" s="1864"/>
      <c r="P11" s="1864"/>
      <c r="Q11" s="1864"/>
      <c r="R11" s="1864"/>
      <c r="S11" s="1864"/>
      <c r="T11" s="1864"/>
      <c r="U11" s="1864"/>
      <c r="V11" s="1864"/>
      <c r="W11" s="1864"/>
      <c r="X11" s="1864"/>
      <c r="Y11" s="1864"/>
      <c r="Z11" s="1864"/>
      <c r="AA11" s="1864"/>
      <c r="AB11" s="1864"/>
      <c r="AC11" s="1864"/>
      <c r="AD11" s="1864"/>
      <c r="AE11" s="1864"/>
      <c r="AF11" s="1864"/>
      <c r="AG11" s="1864"/>
      <c r="AH11" s="1864"/>
      <c r="AI11" s="1864"/>
      <c r="AJ11" s="1864"/>
      <c r="AK11" s="1864"/>
      <c r="AL11" s="746"/>
    </row>
    <row r="12" spans="1:38">
      <c r="A12" s="327"/>
      <c r="B12" s="325"/>
      <c r="C12" s="326"/>
      <c r="D12" s="1864"/>
      <c r="E12" s="1864"/>
      <c r="F12" s="1864"/>
      <c r="G12" s="1864"/>
      <c r="H12" s="1864"/>
      <c r="I12" s="1864"/>
      <c r="J12" s="1864"/>
      <c r="K12" s="1864"/>
      <c r="L12" s="1864"/>
      <c r="M12" s="1864"/>
      <c r="N12" s="1864"/>
      <c r="O12" s="1864"/>
      <c r="P12" s="1864"/>
      <c r="Q12" s="1864"/>
      <c r="R12" s="1864"/>
      <c r="S12" s="1864"/>
      <c r="T12" s="1864"/>
      <c r="U12" s="1864"/>
      <c r="V12" s="1864"/>
      <c r="W12" s="1864"/>
      <c r="X12" s="1864"/>
      <c r="Y12" s="1864"/>
      <c r="Z12" s="1864"/>
      <c r="AA12" s="1864"/>
      <c r="AB12" s="1864"/>
      <c r="AC12" s="1864"/>
      <c r="AD12" s="1864"/>
      <c r="AE12" s="1864"/>
      <c r="AF12" s="1864"/>
      <c r="AG12" s="1864"/>
      <c r="AH12" s="1864"/>
      <c r="AI12" s="1864"/>
      <c r="AJ12" s="1864"/>
      <c r="AK12" s="1864"/>
      <c r="AL12" s="746"/>
    </row>
    <row r="13" spans="1:38" s="717" customFormat="1">
      <c r="A13" s="327"/>
      <c r="B13" s="325"/>
      <c r="C13" s="326"/>
      <c r="D13" s="1864"/>
      <c r="E13" s="1864"/>
      <c r="F13" s="1864"/>
      <c r="G13" s="1864"/>
      <c r="H13" s="1864"/>
      <c r="I13" s="1864"/>
      <c r="J13" s="1864"/>
      <c r="K13" s="1864"/>
      <c r="L13" s="1864"/>
      <c r="M13" s="1864"/>
      <c r="N13" s="1864"/>
      <c r="O13" s="1864"/>
      <c r="P13" s="1864"/>
      <c r="Q13" s="1864"/>
      <c r="R13" s="1864"/>
      <c r="S13" s="1864"/>
      <c r="T13" s="1864"/>
      <c r="U13" s="1864"/>
      <c r="V13" s="1864"/>
      <c r="W13" s="1864"/>
      <c r="X13" s="1864"/>
      <c r="Y13" s="1864"/>
      <c r="Z13" s="1864"/>
      <c r="AA13" s="1864"/>
      <c r="AB13" s="1864"/>
      <c r="AC13" s="1864"/>
      <c r="AD13" s="1864"/>
      <c r="AE13" s="1864"/>
      <c r="AF13" s="1864"/>
      <c r="AG13" s="1864"/>
      <c r="AH13" s="1864"/>
      <c r="AI13" s="1864"/>
      <c r="AJ13" s="1864"/>
      <c r="AK13" s="1864"/>
      <c r="AL13" s="746"/>
    </row>
    <row r="14" spans="1:38" s="717" customFormat="1" ht="13.15" customHeight="1">
      <c r="A14" s="327"/>
      <c r="B14" s="325"/>
      <c r="C14" s="326"/>
      <c r="E14" s="1866" t="s">
        <v>2170</v>
      </c>
      <c r="F14" s="1866"/>
      <c r="G14" s="1866"/>
      <c r="H14" s="1866"/>
      <c r="I14" s="1866"/>
      <c r="J14" s="1866"/>
      <c r="K14" s="1866"/>
      <c r="L14" s="1866"/>
      <c r="M14" s="1866"/>
      <c r="N14" s="1866"/>
      <c r="O14" s="1866"/>
      <c r="P14" s="1866"/>
      <c r="Q14" s="1866"/>
      <c r="R14" s="1866"/>
      <c r="S14" s="1866"/>
      <c r="T14" s="1866"/>
      <c r="U14" s="1866"/>
      <c r="V14" s="1866"/>
      <c r="W14" s="1866"/>
      <c r="X14" s="1866"/>
      <c r="Y14" s="1866"/>
      <c r="Z14" s="1866"/>
      <c r="AA14" s="1866"/>
      <c r="AB14" s="1866"/>
      <c r="AC14" s="1866"/>
      <c r="AD14" s="1866"/>
      <c r="AE14" s="1866"/>
      <c r="AF14" s="1866"/>
      <c r="AG14" s="1866"/>
      <c r="AH14" s="1866"/>
      <c r="AI14" s="1866"/>
      <c r="AJ14" s="1866"/>
      <c r="AK14" s="1866"/>
      <c r="AL14" s="746"/>
    </row>
    <row r="15" spans="1:38" s="717" customFormat="1" ht="13.15" customHeight="1">
      <c r="A15" s="327"/>
      <c r="B15" s="325"/>
      <c r="C15" s="326"/>
      <c r="E15" s="1866"/>
      <c r="F15" s="1866"/>
      <c r="G15" s="1866"/>
      <c r="H15" s="1866"/>
      <c r="I15" s="1866"/>
      <c r="J15" s="1866"/>
      <c r="K15" s="1866"/>
      <c r="L15" s="1866"/>
      <c r="M15" s="1866"/>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c r="AL15" s="746"/>
    </row>
    <row r="16" spans="1:38" s="717" customFormat="1">
      <c r="A16" s="327"/>
      <c r="B16" s="325"/>
      <c r="C16" s="326"/>
      <c r="D16" s="746"/>
      <c r="E16" s="1866"/>
      <c r="F16" s="1866"/>
      <c r="G16" s="1866"/>
      <c r="H16" s="1866"/>
      <c r="I16" s="1866"/>
      <c r="J16" s="1866"/>
      <c r="K16" s="1866"/>
      <c r="L16" s="1866"/>
      <c r="M16" s="1866"/>
      <c r="N16" s="1866"/>
      <c r="O16" s="1866"/>
      <c r="P16" s="1866"/>
      <c r="Q16" s="1866"/>
      <c r="R16" s="1866"/>
      <c r="S16" s="1866"/>
      <c r="T16" s="1866"/>
      <c r="U16" s="1866"/>
      <c r="V16" s="1866"/>
      <c r="W16" s="1866"/>
      <c r="X16" s="1866"/>
      <c r="Y16" s="1866"/>
      <c r="Z16" s="1866"/>
      <c r="AA16" s="1866"/>
      <c r="AB16" s="1866"/>
      <c r="AC16" s="1866"/>
      <c r="AD16" s="1866"/>
      <c r="AE16" s="1866"/>
      <c r="AF16" s="1866"/>
      <c r="AG16" s="1866"/>
      <c r="AH16" s="1866"/>
      <c r="AI16" s="1866"/>
      <c r="AJ16" s="1866"/>
      <c r="AK16" s="1866"/>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6" t="s">
        <v>1522</v>
      </c>
      <c r="E18" s="1866"/>
      <c r="F18" s="1866"/>
      <c r="G18" s="1866"/>
      <c r="H18" s="1866"/>
      <c r="I18" s="1866"/>
      <c r="J18" s="1866"/>
      <c r="K18" s="1866"/>
      <c r="L18" s="1866"/>
      <c r="M18" s="1866"/>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c r="AL18" s="325"/>
    </row>
    <row r="19" spans="1:38">
      <c r="A19" s="327"/>
      <c r="B19" s="325"/>
      <c r="C19" s="326"/>
      <c r="D19" s="1866"/>
      <c r="E19" s="1866"/>
      <c r="F19" s="1866"/>
      <c r="G19" s="1866"/>
      <c r="H19" s="1866"/>
      <c r="I19" s="1866"/>
      <c r="J19" s="1866"/>
      <c r="K19" s="1866"/>
      <c r="L19" s="1866"/>
      <c r="M19" s="1866"/>
      <c r="N19" s="1866"/>
      <c r="O19" s="1866"/>
      <c r="P19" s="1866"/>
      <c r="Q19" s="1866"/>
      <c r="R19" s="1866"/>
      <c r="S19" s="1866"/>
      <c r="T19" s="1866"/>
      <c r="U19" s="1866"/>
      <c r="V19" s="1866"/>
      <c r="W19" s="1866"/>
      <c r="X19" s="1866"/>
      <c r="Y19" s="1866"/>
      <c r="Z19" s="1866"/>
      <c r="AA19" s="1866"/>
      <c r="AB19" s="1866"/>
      <c r="AC19" s="1866"/>
      <c r="AD19" s="1866"/>
      <c r="AE19" s="1866"/>
      <c r="AF19" s="1866"/>
      <c r="AG19" s="1866"/>
      <c r="AH19" s="1866"/>
      <c r="AI19" s="1866"/>
      <c r="AJ19" s="1866"/>
      <c r="AK19" s="1866"/>
      <c r="AL19" s="325"/>
    </row>
    <row r="20" spans="1:38" s="717" customFormat="1">
      <c r="A20" s="327"/>
      <c r="B20" s="325"/>
      <c r="C20" s="326"/>
      <c r="D20" s="1866"/>
      <c r="E20" s="1866"/>
      <c r="F20" s="1866"/>
      <c r="G20" s="1866"/>
      <c r="H20" s="1866"/>
      <c r="I20" s="1866"/>
      <c r="J20" s="1866"/>
      <c r="K20" s="1866"/>
      <c r="L20" s="1866"/>
      <c r="M20" s="1866"/>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c r="AL20" s="325"/>
    </row>
    <row r="21" spans="1:38" s="717" customFormat="1" ht="13.15" customHeight="1">
      <c r="A21" s="327"/>
      <c r="B21" s="325"/>
      <c r="C21" s="326"/>
      <c r="D21" s="1866"/>
      <c r="E21" s="1866"/>
      <c r="F21" s="1866"/>
      <c r="G21" s="1866"/>
      <c r="H21" s="1866"/>
      <c r="I21" s="1866"/>
      <c r="J21" s="1866"/>
      <c r="K21" s="1866"/>
      <c r="L21" s="1866"/>
      <c r="M21" s="1866"/>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c r="AL21" s="325"/>
    </row>
    <row r="22" spans="1:38" s="717" customFormat="1">
      <c r="A22" s="327"/>
      <c r="B22" s="325"/>
      <c r="C22" s="326"/>
      <c r="D22" s="1866"/>
      <c r="E22" s="1866"/>
      <c r="F22" s="1866"/>
      <c r="G22" s="1866"/>
      <c r="H22" s="1866"/>
      <c r="I22" s="1866"/>
      <c r="J22" s="1866"/>
      <c r="K22" s="1866"/>
      <c r="L22" s="1866"/>
      <c r="M22" s="1866"/>
      <c r="N22" s="1866"/>
      <c r="O22" s="1866"/>
      <c r="P22" s="1866"/>
      <c r="Q22" s="1866"/>
      <c r="R22" s="1866"/>
      <c r="S22" s="1866"/>
      <c r="T22" s="1866"/>
      <c r="U22" s="1866"/>
      <c r="V22" s="1866"/>
      <c r="W22" s="1866"/>
      <c r="X22" s="1866"/>
      <c r="Y22" s="1866"/>
      <c r="Z22" s="1866"/>
      <c r="AA22" s="1866"/>
      <c r="AB22" s="1866"/>
      <c r="AC22" s="1866"/>
      <c r="AD22" s="1866"/>
      <c r="AE22" s="1866"/>
      <c r="AF22" s="1866"/>
      <c r="AG22" s="1866"/>
      <c r="AH22" s="1866"/>
      <c r="AI22" s="1866"/>
      <c r="AJ22" s="1866"/>
      <c r="AK22" s="1866"/>
      <c r="AL22" s="325"/>
    </row>
    <row r="23" spans="1:38" s="717" customFormat="1">
      <c r="A23" s="327"/>
      <c r="B23" s="325"/>
      <c r="C23" s="326"/>
      <c r="D23" s="1866"/>
      <c r="E23" s="1866"/>
      <c r="F23" s="1866"/>
      <c r="G23" s="1866"/>
      <c r="H23" s="1866"/>
      <c r="I23" s="1866"/>
      <c r="J23" s="1866"/>
      <c r="K23" s="1866"/>
      <c r="L23" s="1866"/>
      <c r="M23" s="1866"/>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c r="AL23" s="325"/>
    </row>
    <row r="24" spans="1:38">
      <c r="A24" s="327"/>
      <c r="B24" s="325"/>
      <c r="C24" s="326"/>
      <c r="D24" s="1866"/>
      <c r="E24" s="1866"/>
      <c r="F24" s="1866"/>
      <c r="G24" s="1866"/>
      <c r="H24" s="1866"/>
      <c r="I24" s="1866"/>
      <c r="J24" s="1866"/>
      <c r="K24" s="1866"/>
      <c r="L24" s="1866"/>
      <c r="M24" s="1866"/>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c r="AL24" s="325"/>
    </row>
    <row r="25" spans="1:38" s="717" customFormat="1">
      <c r="A25" s="327"/>
      <c r="B25" s="325"/>
      <c r="C25" s="326"/>
      <c r="D25" s="1866"/>
      <c r="E25" s="1866"/>
      <c r="F25" s="1866"/>
      <c r="G25" s="1866"/>
      <c r="H25" s="1866"/>
      <c r="I25" s="1866"/>
      <c r="J25" s="1866"/>
      <c r="K25" s="1866"/>
      <c r="L25" s="1866"/>
      <c r="M25" s="1866"/>
      <c r="N25" s="1866"/>
      <c r="O25" s="1866"/>
      <c r="P25" s="1866"/>
      <c r="Q25" s="1866"/>
      <c r="R25" s="1866"/>
      <c r="S25" s="1866"/>
      <c r="T25" s="1866"/>
      <c r="U25" s="1866"/>
      <c r="V25" s="1866"/>
      <c r="W25" s="1866"/>
      <c r="X25" s="1866"/>
      <c r="Y25" s="1866"/>
      <c r="Z25" s="1866"/>
      <c r="AA25" s="1866"/>
      <c r="AB25" s="1866"/>
      <c r="AC25" s="1866"/>
      <c r="AD25" s="1866"/>
      <c r="AE25" s="1866"/>
      <c r="AF25" s="1866"/>
      <c r="AG25" s="1866"/>
      <c r="AH25" s="1866"/>
      <c r="AI25" s="1866"/>
      <c r="AJ25" s="1866"/>
      <c r="AK25" s="1866"/>
      <c r="AL25" s="325"/>
    </row>
    <row r="26" spans="1:38" s="717" customFormat="1">
      <c r="A26" s="327"/>
      <c r="B26" s="325"/>
      <c r="C26" s="326"/>
      <c r="D26" s="1866"/>
      <c r="E26" s="1866"/>
      <c r="F26" s="1866"/>
      <c r="G26" s="1866"/>
      <c r="H26" s="1866"/>
      <c r="I26" s="1866"/>
      <c r="J26" s="1866"/>
      <c r="K26" s="1866"/>
      <c r="L26" s="1866"/>
      <c r="M26" s="1866"/>
      <c r="N26" s="1866"/>
      <c r="O26" s="1866"/>
      <c r="P26" s="1866"/>
      <c r="Q26" s="1866"/>
      <c r="R26" s="1866"/>
      <c r="S26" s="1866"/>
      <c r="T26" s="1866"/>
      <c r="U26" s="1866"/>
      <c r="V26" s="1866"/>
      <c r="W26" s="1866"/>
      <c r="X26" s="1866"/>
      <c r="Y26" s="1866"/>
      <c r="Z26" s="1866"/>
      <c r="AA26" s="1866"/>
      <c r="AB26" s="1866"/>
      <c r="AC26" s="1866"/>
      <c r="AD26" s="1866"/>
      <c r="AE26" s="1866"/>
      <c r="AF26" s="1866"/>
      <c r="AG26" s="1866"/>
      <c r="AH26" s="1866"/>
      <c r="AI26" s="1866"/>
      <c r="AJ26" s="1866"/>
      <c r="AK26" s="1866"/>
      <c r="AL26" s="325"/>
    </row>
    <row r="27" spans="1:38" s="717" customFormat="1" ht="11.85" customHeight="1">
      <c r="A27" s="327"/>
      <c r="B27" s="325"/>
      <c r="C27" s="326"/>
      <c r="D27" s="1866"/>
      <c r="E27" s="1866"/>
      <c r="F27" s="1866"/>
      <c r="G27" s="1866"/>
      <c r="H27" s="1866"/>
      <c r="I27" s="1866"/>
      <c r="J27" s="1866"/>
      <c r="K27" s="1866"/>
      <c r="L27" s="1866"/>
      <c r="M27" s="1866"/>
      <c r="N27" s="1866"/>
      <c r="O27" s="1866"/>
      <c r="P27" s="1866"/>
      <c r="Q27" s="1866"/>
      <c r="R27" s="1866"/>
      <c r="S27" s="1866"/>
      <c r="T27" s="1866"/>
      <c r="U27" s="1866"/>
      <c r="V27" s="1866"/>
      <c r="W27" s="1866"/>
      <c r="X27" s="1866"/>
      <c r="Y27" s="1866"/>
      <c r="Z27" s="1866"/>
      <c r="AA27" s="1866"/>
      <c r="AB27" s="1866"/>
      <c r="AC27" s="1866"/>
      <c r="AD27" s="1866"/>
      <c r="AE27" s="1866"/>
      <c r="AF27" s="1866"/>
      <c r="AG27" s="1866"/>
      <c r="AH27" s="1866"/>
      <c r="AI27" s="1866"/>
      <c r="AJ27" s="1866"/>
      <c r="AK27" s="1866"/>
      <c r="AL27" s="325"/>
    </row>
    <row r="28" spans="1:38" s="717" customFormat="1" ht="13.15" customHeight="1">
      <c r="A28" s="327"/>
      <c r="B28" s="325"/>
      <c r="C28" s="326"/>
      <c r="E28" s="1866" t="s">
        <v>2171</v>
      </c>
      <c r="F28" s="1866"/>
      <c r="G28" s="1866"/>
      <c r="H28" s="1866"/>
      <c r="I28" s="1866"/>
      <c r="J28" s="1866"/>
      <c r="K28" s="1866"/>
      <c r="L28" s="1866"/>
      <c r="M28" s="1866"/>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c r="AL28" s="325"/>
    </row>
    <row r="29" spans="1:38" s="717" customFormat="1" ht="13.15" customHeight="1">
      <c r="A29" s="327"/>
      <c r="B29" s="325"/>
      <c r="C29" s="326"/>
      <c r="E29" s="1866"/>
      <c r="F29" s="1866"/>
      <c r="G29" s="1866"/>
      <c r="H29" s="1866"/>
      <c r="I29" s="1866"/>
      <c r="J29" s="1866"/>
      <c r="K29" s="1866"/>
      <c r="L29" s="1866"/>
      <c r="M29" s="1866"/>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c r="AL29" s="325"/>
    </row>
    <row r="30" spans="1:38" s="717" customFormat="1">
      <c r="A30" s="327"/>
      <c r="B30" s="325"/>
      <c r="C30" s="326"/>
      <c r="D30" s="746"/>
      <c r="E30" s="1866"/>
      <c r="F30" s="1866"/>
      <c r="G30" s="1866"/>
      <c r="H30" s="1866"/>
      <c r="I30" s="1866"/>
      <c r="J30" s="1866"/>
      <c r="K30" s="1866"/>
      <c r="L30" s="1866"/>
      <c r="M30" s="1866"/>
      <c r="N30" s="1866"/>
      <c r="O30" s="1866"/>
      <c r="P30" s="1866"/>
      <c r="Q30" s="1866"/>
      <c r="R30" s="1866"/>
      <c r="S30" s="1866"/>
      <c r="T30" s="1866"/>
      <c r="U30" s="1866"/>
      <c r="V30" s="1866"/>
      <c r="W30" s="1866"/>
      <c r="X30" s="1866"/>
      <c r="Y30" s="1866"/>
      <c r="Z30" s="1866"/>
      <c r="AA30" s="1866"/>
      <c r="AB30" s="1866"/>
      <c r="AC30" s="1866"/>
      <c r="AD30" s="1866"/>
      <c r="AE30" s="1866"/>
      <c r="AF30" s="1866"/>
      <c r="AG30" s="1866"/>
      <c r="AH30" s="1866"/>
      <c r="AI30" s="1866"/>
      <c r="AJ30" s="1866"/>
      <c r="AK30" s="1866"/>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7" t="s">
        <v>1395</v>
      </c>
      <c r="E32" s="1867"/>
      <c r="F32" s="1867"/>
      <c r="G32" s="1867"/>
      <c r="H32" s="1867"/>
      <c r="I32" s="1867"/>
      <c r="J32" s="1867"/>
      <c r="K32" s="1867"/>
      <c r="L32" s="1867"/>
      <c r="M32" s="1867"/>
      <c r="N32" s="1867"/>
      <c r="O32" s="1867"/>
      <c r="P32" s="1867"/>
      <c r="Q32" s="1867"/>
      <c r="R32" s="1867"/>
      <c r="S32" s="1867"/>
      <c r="T32" s="1867"/>
      <c r="U32" s="1867"/>
      <c r="V32" s="1867"/>
      <c r="W32" s="1867"/>
      <c r="X32" s="1867"/>
      <c r="Y32" s="1867"/>
      <c r="Z32" s="1867"/>
      <c r="AA32" s="1867"/>
      <c r="AB32" s="1867"/>
      <c r="AC32" s="1867"/>
      <c r="AD32" s="1867"/>
      <c r="AE32" s="1867"/>
      <c r="AF32" s="1867"/>
      <c r="AG32" s="1867"/>
      <c r="AH32" s="1867"/>
      <c r="AI32" s="1867"/>
      <c r="AJ32" s="1867"/>
      <c r="AK32" s="1867"/>
      <c r="AL32" s="325"/>
    </row>
    <row r="33" spans="1:38" s="717" customFormat="1">
      <c r="A33" s="327"/>
      <c r="B33" s="325"/>
      <c r="C33" s="326"/>
      <c r="D33" s="746"/>
      <c r="E33" s="1873" t="s">
        <v>2410</v>
      </c>
      <c r="F33" s="1873"/>
      <c r="G33" s="1873"/>
      <c r="H33" s="1873"/>
      <c r="I33" s="1873"/>
      <c r="J33" s="1873"/>
      <c r="K33" s="1873"/>
      <c r="L33" s="1873"/>
      <c r="M33" s="1873"/>
      <c r="N33" s="1873"/>
      <c r="O33" s="1873"/>
      <c r="P33" s="1873"/>
      <c r="Q33" s="1873"/>
      <c r="R33" s="1873"/>
      <c r="S33" s="1873"/>
      <c r="T33" s="1873"/>
      <c r="U33" s="1873"/>
      <c r="V33" s="1873"/>
      <c r="W33" s="1873"/>
      <c r="X33" s="1873"/>
      <c r="Y33" s="1873"/>
      <c r="Z33" s="1873"/>
      <c r="AA33" s="1873"/>
      <c r="AB33" s="1873"/>
      <c r="AC33" s="1873"/>
      <c r="AD33" s="1873"/>
      <c r="AE33" s="1873"/>
      <c r="AF33" s="1873"/>
      <c r="AG33" s="1873"/>
      <c r="AH33" s="1873"/>
      <c r="AI33" s="1873"/>
      <c r="AJ33" s="1873"/>
      <c r="AK33" s="1873"/>
      <c r="AL33" s="325"/>
    </row>
    <row r="34" spans="1:38">
      <c r="A34" s="149"/>
      <c r="C34" s="5"/>
    </row>
    <row r="35" spans="1:38">
      <c r="A35" s="149"/>
      <c r="D35" s="1865" t="s">
        <v>2411</v>
      </c>
      <c r="E35" s="1865"/>
      <c r="F35" s="1865"/>
      <c r="G35" s="1865"/>
      <c r="H35" s="1865"/>
      <c r="I35" s="1865"/>
      <c r="J35" s="1865"/>
      <c r="K35" s="1865"/>
      <c r="L35" s="1865"/>
      <c r="M35" s="1865"/>
      <c r="N35" s="1865"/>
      <c r="O35" s="1865"/>
      <c r="P35" s="1865"/>
      <c r="Q35" s="1865"/>
      <c r="R35" s="1865"/>
      <c r="S35" s="1865"/>
      <c r="T35" s="1865"/>
      <c r="U35" s="1865"/>
      <c r="V35" s="1865"/>
      <c r="W35" s="1865"/>
      <c r="X35" s="1865"/>
      <c r="Y35" s="1865"/>
      <c r="Z35" s="1865"/>
      <c r="AA35" s="1865"/>
      <c r="AB35" s="1865"/>
      <c r="AC35" s="1865"/>
      <c r="AD35" s="1865"/>
      <c r="AE35" s="1865"/>
      <c r="AF35" s="1865"/>
      <c r="AG35" s="1865"/>
      <c r="AH35" s="1865"/>
      <c r="AI35" s="1865"/>
      <c r="AJ35" s="1865"/>
      <c r="AK35" s="1865"/>
    </row>
    <row r="36" spans="1:38">
      <c r="A36" s="149"/>
      <c r="D36" s="1865"/>
      <c r="E36" s="1865"/>
      <c r="F36" s="1865"/>
      <c r="G36" s="1865"/>
      <c r="H36" s="1865"/>
      <c r="I36" s="1865"/>
      <c r="J36" s="1865"/>
      <c r="K36" s="1865"/>
      <c r="L36" s="1865"/>
      <c r="M36" s="1865"/>
      <c r="N36" s="1865"/>
      <c r="O36" s="1865"/>
      <c r="P36" s="1865"/>
      <c r="Q36" s="1865"/>
      <c r="R36" s="1865"/>
      <c r="S36" s="1865"/>
      <c r="T36" s="1865"/>
      <c r="U36" s="1865"/>
      <c r="V36" s="1865"/>
      <c r="W36" s="1865"/>
      <c r="X36" s="1865"/>
      <c r="Y36" s="1865"/>
      <c r="Z36" s="1865"/>
      <c r="AA36" s="1865"/>
      <c r="AB36" s="1865"/>
      <c r="AC36" s="1865"/>
      <c r="AD36" s="1865"/>
      <c r="AE36" s="1865"/>
      <c r="AF36" s="1865"/>
      <c r="AG36" s="1865"/>
      <c r="AH36" s="1865"/>
      <c r="AI36" s="1865"/>
      <c r="AJ36" s="1865"/>
      <c r="AK36" s="1865"/>
    </row>
    <row r="37" spans="1:38">
      <c r="A37" s="149"/>
      <c r="D37" s="250"/>
      <c r="E37" s="1872" t="s">
        <v>1094</v>
      </c>
      <c r="F37" s="1872"/>
      <c r="G37" s="1872"/>
      <c r="H37" s="1872"/>
      <c r="I37" s="1872"/>
      <c r="J37" s="1872"/>
      <c r="K37" s="1872"/>
      <c r="L37" s="1872"/>
      <c r="M37" s="1872"/>
      <c r="N37" s="1872"/>
      <c r="O37" s="1872"/>
      <c r="P37" s="1872"/>
      <c r="Q37" s="1872"/>
      <c r="R37" s="1872"/>
      <c r="S37" s="1872"/>
      <c r="T37" s="1872"/>
      <c r="U37" s="1872"/>
      <c r="V37" s="1872"/>
      <c r="W37" s="1872"/>
      <c r="X37" s="1872"/>
      <c r="Y37" s="1872"/>
      <c r="Z37" s="1872"/>
      <c r="AA37" s="1872"/>
      <c r="AB37" s="1872"/>
      <c r="AC37" s="1872"/>
      <c r="AD37" s="1872"/>
      <c r="AE37" s="1872"/>
      <c r="AF37" s="1872"/>
      <c r="AG37" s="1872"/>
      <c r="AH37" s="1872"/>
      <c r="AI37" s="1872"/>
      <c r="AJ37" s="1872"/>
      <c r="AK37" s="1872"/>
    </row>
    <row r="38" spans="1:38">
      <c r="A38" s="149"/>
      <c r="D38" s="250"/>
      <c r="E38" s="1872" t="s">
        <v>1393</v>
      </c>
      <c r="F38" s="1872"/>
      <c r="G38" s="1872"/>
      <c r="H38" s="1872"/>
      <c r="I38" s="1872"/>
      <c r="J38" s="1872"/>
      <c r="K38" s="1872"/>
      <c r="L38" s="1872"/>
      <c r="M38" s="1872"/>
      <c r="N38" s="1872"/>
      <c r="O38" s="1872"/>
      <c r="P38" s="1872"/>
      <c r="Q38" s="1872"/>
      <c r="R38" s="1872"/>
      <c r="S38" s="1872"/>
      <c r="T38" s="1872"/>
      <c r="U38" s="1872"/>
      <c r="V38" s="1872"/>
      <c r="W38" s="1872"/>
      <c r="X38" s="1872"/>
      <c r="Y38" s="1872"/>
      <c r="Z38" s="1872"/>
      <c r="AA38" s="1872"/>
      <c r="AB38" s="1872"/>
      <c r="AC38" s="1872"/>
      <c r="AD38" s="1872"/>
      <c r="AE38" s="1872"/>
      <c r="AF38" s="1872"/>
      <c r="AG38" s="1872"/>
      <c r="AH38" s="1872"/>
      <c r="AI38" s="1872"/>
      <c r="AJ38" s="1872"/>
      <c r="AK38" s="1872"/>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6" customFormat="1" ht="13.15" customHeight="1">
      <c r="A42" s="149"/>
      <c r="B42"/>
      <c r="C42" s="5"/>
      <c r="D42" s="149"/>
      <c r="E42" s="149" t="s">
        <v>690</v>
      </c>
      <c r="F42" s="1866" t="s">
        <v>1360</v>
      </c>
    </row>
    <row r="43" spans="1:38" s="1866"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7" t="s">
        <v>1474</v>
      </c>
      <c r="G45" s="1877"/>
      <c r="H45" s="1877"/>
      <c r="I45" s="1877"/>
      <c r="J45" s="1877"/>
      <c r="K45" s="1877"/>
      <c r="L45" s="1877"/>
      <c r="M45" s="1877"/>
      <c r="N45" s="1877"/>
      <c r="O45" s="1877"/>
      <c r="P45" s="1877"/>
      <c r="Q45" s="1877"/>
      <c r="R45" s="1877"/>
      <c r="S45" s="1877"/>
      <c r="T45" s="1877"/>
      <c r="U45" s="1877"/>
      <c r="V45" s="1877"/>
      <c r="W45" s="1877"/>
      <c r="X45" s="1877"/>
      <c r="Y45" s="1877"/>
      <c r="Z45" s="1877"/>
      <c r="AA45" s="1877"/>
      <c r="AB45" s="1877"/>
      <c r="AC45" s="1877"/>
      <c r="AD45" s="1877"/>
      <c r="AE45" s="1877"/>
      <c r="AF45" s="1877"/>
      <c r="AG45" s="1877"/>
      <c r="AH45" s="1877"/>
      <c r="AI45" s="1877"/>
      <c r="AJ45" s="1877"/>
      <c r="AK45" s="1877"/>
      <c r="AL45" s="1877"/>
    </row>
    <row r="46" spans="1:38" s="770" customFormat="1">
      <c r="A46" s="149"/>
      <c r="B46" s="717"/>
      <c r="C46" s="5"/>
      <c r="D46" s="149"/>
      <c r="E46" s="149"/>
      <c r="F46" s="1877"/>
      <c r="G46" s="1877"/>
      <c r="H46" s="1877"/>
      <c r="I46" s="1877"/>
      <c r="J46" s="1877"/>
      <c r="K46" s="1877"/>
      <c r="L46" s="1877"/>
      <c r="M46" s="1877"/>
      <c r="N46" s="1877"/>
      <c r="O46" s="1877"/>
      <c r="P46" s="1877"/>
      <c r="Q46" s="1877"/>
      <c r="R46" s="1877"/>
      <c r="S46" s="1877"/>
      <c r="T46" s="1877"/>
      <c r="U46" s="1877"/>
      <c r="V46" s="1877"/>
      <c r="W46" s="1877"/>
      <c r="X46" s="1877"/>
      <c r="Y46" s="1877"/>
      <c r="Z46" s="1877"/>
      <c r="AA46" s="1877"/>
      <c r="AB46" s="1877"/>
      <c r="AC46" s="1877"/>
      <c r="AD46" s="1877"/>
      <c r="AE46" s="1877"/>
      <c r="AF46" s="1877"/>
      <c r="AG46" s="1877"/>
      <c r="AH46" s="1877"/>
      <c r="AI46" s="1877"/>
      <c r="AJ46" s="1877"/>
      <c r="AK46" s="1877"/>
      <c r="AL46" s="1877"/>
    </row>
    <row r="47" spans="1:38" s="770" customFormat="1" ht="13.15" customHeight="1">
      <c r="A47" s="149"/>
      <c r="B47" s="717"/>
      <c r="C47" s="5"/>
      <c r="D47" s="149"/>
      <c r="E47" s="149"/>
      <c r="F47" s="1877"/>
      <c r="G47" s="1877"/>
      <c r="H47" s="1877"/>
      <c r="I47" s="1877"/>
      <c r="J47" s="1877"/>
      <c r="K47" s="1877"/>
      <c r="L47" s="1877"/>
      <c r="M47" s="1877"/>
      <c r="N47" s="1877"/>
      <c r="O47" s="1877"/>
      <c r="P47" s="1877"/>
      <c r="Q47" s="1877"/>
      <c r="R47" s="1877"/>
      <c r="S47" s="1877"/>
      <c r="T47" s="1877"/>
      <c r="U47" s="1877"/>
      <c r="V47" s="1877"/>
      <c r="W47" s="1877"/>
      <c r="X47" s="1877"/>
      <c r="Y47" s="1877"/>
      <c r="Z47" s="1877"/>
      <c r="AA47" s="1877"/>
      <c r="AB47" s="1877"/>
      <c r="AC47" s="1877"/>
      <c r="AD47" s="1877"/>
      <c r="AE47" s="1877"/>
      <c r="AF47" s="1877"/>
      <c r="AG47" s="1877"/>
      <c r="AH47" s="1877"/>
      <c r="AI47" s="1877"/>
      <c r="AJ47" s="1877"/>
      <c r="AK47" s="1877"/>
      <c r="AL47" s="1877"/>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6" t="s">
        <v>1475</v>
      </c>
      <c r="G50" s="1866"/>
      <c r="H50" s="1866"/>
      <c r="I50" s="1866"/>
      <c r="J50" s="1866"/>
      <c r="K50" s="1866"/>
      <c r="L50" s="1866"/>
      <c r="M50" s="1866"/>
      <c r="N50" s="1866"/>
      <c r="O50" s="1866"/>
      <c r="P50" s="1866"/>
      <c r="Q50" s="1866"/>
      <c r="R50" s="1866"/>
      <c r="S50" s="1866"/>
      <c r="T50" s="1866"/>
      <c r="U50" s="1866"/>
      <c r="V50" s="1866"/>
      <c r="W50" s="1866"/>
      <c r="X50" s="1866"/>
      <c r="Y50" s="1866"/>
      <c r="Z50" s="1866"/>
      <c r="AA50" s="1866"/>
      <c r="AB50" s="1866"/>
      <c r="AC50" s="1866"/>
      <c r="AD50" s="1866"/>
      <c r="AE50" s="1866"/>
      <c r="AF50" s="1866"/>
      <c r="AG50" s="1866"/>
      <c r="AH50" s="1866"/>
      <c r="AI50" s="1866"/>
      <c r="AJ50" s="1866"/>
      <c r="AK50" s="1866"/>
    </row>
    <row r="51" spans="1:38">
      <c r="A51" s="149"/>
      <c r="C51" s="5"/>
      <c r="D51" s="149"/>
      <c r="E51" s="149"/>
      <c r="F51" s="1866"/>
      <c r="G51" s="1866"/>
      <c r="H51" s="1866"/>
      <c r="I51" s="1866"/>
      <c r="J51" s="1866"/>
      <c r="K51" s="1866"/>
      <c r="L51" s="1866"/>
      <c r="M51" s="1866"/>
      <c r="N51" s="1866"/>
      <c r="O51" s="1866"/>
      <c r="P51" s="1866"/>
      <c r="Q51" s="1866"/>
      <c r="R51" s="1866"/>
      <c r="S51" s="1866"/>
      <c r="T51" s="1866"/>
      <c r="U51" s="1866"/>
      <c r="V51" s="1866"/>
      <c r="W51" s="1866"/>
      <c r="X51" s="1866"/>
      <c r="Y51" s="1866"/>
      <c r="Z51" s="1866"/>
      <c r="AA51" s="1866"/>
      <c r="AB51" s="1866"/>
      <c r="AC51" s="1866"/>
      <c r="AD51" s="1866"/>
      <c r="AE51" s="1866"/>
      <c r="AF51" s="1866"/>
      <c r="AG51" s="1866"/>
      <c r="AH51" s="1866"/>
      <c r="AI51" s="1866"/>
      <c r="AJ51" s="1866"/>
      <c r="AK51" s="1866"/>
    </row>
    <row r="52" spans="1:38">
      <c r="A52" s="149"/>
      <c r="C52" s="5"/>
      <c r="D52" s="149"/>
      <c r="F52" s="1866"/>
      <c r="G52" s="1866"/>
      <c r="H52" s="1866"/>
      <c r="I52" s="1866"/>
      <c r="J52" s="1866"/>
      <c r="K52" s="1866"/>
      <c r="L52" s="1866"/>
      <c r="M52" s="1866"/>
      <c r="N52" s="1866"/>
      <c r="O52" s="1866"/>
      <c r="P52" s="1866"/>
      <c r="Q52" s="1866"/>
      <c r="R52" s="1866"/>
      <c r="S52" s="1866"/>
      <c r="T52" s="1866"/>
      <c r="U52" s="1866"/>
      <c r="V52" s="1866"/>
      <c r="W52" s="1866"/>
      <c r="X52" s="1866"/>
      <c r="Y52" s="1866"/>
      <c r="Z52" s="1866"/>
      <c r="AA52" s="1866"/>
      <c r="AB52" s="1866"/>
      <c r="AC52" s="1866"/>
      <c r="AD52" s="1866"/>
      <c r="AE52" s="1866"/>
      <c r="AF52" s="1866"/>
      <c r="AG52" s="1866"/>
      <c r="AH52" s="1866"/>
      <c r="AI52" s="1866"/>
      <c r="AJ52" s="1866"/>
      <c r="AK52" s="1866"/>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8" t="s">
        <v>1396</v>
      </c>
      <c r="H56" s="1868"/>
      <c r="I56" s="1868"/>
      <c r="J56" s="1868"/>
      <c r="K56" s="1868"/>
      <c r="L56" s="1868"/>
      <c r="M56" s="1868"/>
      <c r="N56" s="1868"/>
      <c r="O56" s="1868"/>
      <c r="P56" s="1868"/>
      <c r="Q56" s="1868"/>
      <c r="R56" s="1868"/>
      <c r="S56" s="1868"/>
      <c r="T56" s="1868"/>
      <c r="U56" s="1868"/>
      <c r="V56" s="1868"/>
      <c r="W56" s="1868"/>
      <c r="X56" s="1868"/>
      <c r="Y56" s="1868"/>
      <c r="Z56" s="1868"/>
      <c r="AA56" s="1868"/>
      <c r="AB56" s="1868"/>
      <c r="AC56" s="1868"/>
      <c r="AD56" s="1868"/>
      <c r="AE56" s="1868"/>
      <c r="AF56" s="1868"/>
      <c r="AG56" s="1868"/>
      <c r="AH56" s="1868"/>
      <c r="AI56" s="1868"/>
      <c r="AJ56" s="1868"/>
      <c r="AK56" s="1868"/>
      <c r="AL56" s="325"/>
    </row>
    <row r="57" spans="1:38" s="717" customFormat="1" ht="13.1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8" t="s">
        <v>610</v>
      </c>
      <c r="H58" s="1868"/>
      <c r="I58" s="1868"/>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76" t="s">
        <v>1476</v>
      </c>
      <c r="H59" s="1876"/>
      <c r="I59" s="1876"/>
      <c r="J59" s="1876"/>
      <c r="K59" s="1876"/>
      <c r="L59" s="1876"/>
      <c r="M59" s="1876"/>
      <c r="N59" s="1876"/>
      <c r="O59" s="1876"/>
      <c r="P59" s="1876"/>
      <c r="Q59" s="1876"/>
      <c r="R59" s="1876"/>
      <c r="S59" s="1876"/>
      <c r="T59" s="1876"/>
      <c r="U59" s="1876"/>
      <c r="V59" s="1876"/>
      <c r="W59" s="1876"/>
      <c r="X59" s="1876"/>
      <c r="Y59" s="1876"/>
      <c r="Z59" s="1876"/>
      <c r="AA59" s="1876"/>
      <c r="AB59" s="1876"/>
      <c r="AC59" s="1876"/>
      <c r="AD59" s="1876"/>
      <c r="AE59" s="1876"/>
      <c r="AF59" s="1876"/>
      <c r="AG59" s="1876"/>
      <c r="AH59" s="1876"/>
      <c r="AI59" s="1876"/>
      <c r="AJ59" s="1876"/>
      <c r="AK59" s="1876"/>
      <c r="AL59" s="1876"/>
    </row>
    <row r="60" spans="1:38" s="2" customFormat="1">
      <c r="A60" s="327"/>
      <c r="B60" s="325"/>
      <c r="C60" s="326"/>
      <c r="D60" s="326"/>
      <c r="E60" s="327"/>
      <c r="F60" s="331"/>
      <c r="G60" s="1876"/>
      <c r="H60" s="1876"/>
      <c r="I60" s="1876"/>
      <c r="J60" s="1876"/>
      <c r="K60" s="1876"/>
      <c r="L60" s="1876"/>
      <c r="M60" s="1876"/>
      <c r="N60" s="1876"/>
      <c r="O60" s="1876"/>
      <c r="P60" s="1876"/>
      <c r="Q60" s="1876"/>
      <c r="R60" s="1876"/>
      <c r="S60" s="1876"/>
      <c r="T60" s="1876"/>
      <c r="U60" s="1876"/>
      <c r="V60" s="1876"/>
      <c r="W60" s="1876"/>
      <c r="X60" s="1876"/>
      <c r="Y60" s="1876"/>
      <c r="Z60" s="1876"/>
      <c r="AA60" s="1876"/>
      <c r="AB60" s="1876"/>
      <c r="AC60" s="1876"/>
      <c r="AD60" s="1876"/>
      <c r="AE60" s="1876"/>
      <c r="AF60" s="1876"/>
      <c r="AG60" s="1876"/>
      <c r="AH60" s="1876"/>
      <c r="AI60" s="1876"/>
      <c r="AJ60" s="1876"/>
      <c r="AK60" s="1876"/>
      <c r="AL60" s="1876"/>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6" t="s">
        <v>1362</v>
      </c>
      <c r="H66" s="1866"/>
      <c r="I66" s="1866"/>
      <c r="J66" s="1866"/>
      <c r="K66" s="1866"/>
      <c r="L66" s="1866"/>
      <c r="M66" s="1866"/>
      <c r="N66" s="1866"/>
      <c r="O66" s="1866"/>
      <c r="P66" s="1866"/>
      <c r="Q66" s="1866"/>
      <c r="R66" s="1866"/>
      <c r="S66" s="1866"/>
      <c r="T66" s="1866"/>
      <c r="U66" s="1866"/>
      <c r="V66" s="1866"/>
      <c r="W66" s="1866"/>
      <c r="X66" s="1866"/>
      <c r="Y66" s="1866"/>
      <c r="Z66" s="1866"/>
      <c r="AA66" s="1866"/>
      <c r="AB66" s="1866"/>
      <c r="AC66" s="1866"/>
      <c r="AD66" s="1866"/>
      <c r="AE66" s="1866"/>
      <c r="AF66" s="1866"/>
      <c r="AG66" s="1866"/>
      <c r="AH66" s="1866"/>
      <c r="AI66" s="1866"/>
      <c r="AJ66" s="1866"/>
      <c r="AK66" s="1866"/>
    </row>
    <row r="67" spans="1:37">
      <c r="A67" s="149"/>
      <c r="C67" s="5"/>
      <c r="D67" s="149"/>
      <c r="E67" s="149"/>
      <c r="F67" s="9"/>
      <c r="G67" s="1866"/>
      <c r="H67" s="1866"/>
      <c r="I67" s="1866"/>
      <c r="J67" s="1866"/>
      <c r="K67" s="1866"/>
      <c r="L67" s="1866"/>
      <c r="M67" s="1866"/>
      <c r="N67" s="1866"/>
      <c r="O67" s="1866"/>
      <c r="P67" s="1866"/>
      <c r="Q67" s="1866"/>
      <c r="R67" s="1866"/>
      <c r="S67" s="1866"/>
      <c r="T67" s="1866"/>
      <c r="U67" s="1866"/>
      <c r="V67" s="1866"/>
      <c r="W67" s="1866"/>
      <c r="X67" s="1866"/>
      <c r="Y67" s="1866"/>
      <c r="Z67" s="1866"/>
      <c r="AA67" s="1866"/>
      <c r="AB67" s="1866"/>
      <c r="AC67" s="1866"/>
      <c r="AD67" s="1866"/>
      <c r="AE67" s="1866"/>
      <c r="AF67" s="1866"/>
      <c r="AG67" s="1866"/>
      <c r="AH67" s="1866"/>
      <c r="AI67" s="1866"/>
      <c r="AJ67" s="1866"/>
      <c r="AK67" s="1866"/>
    </row>
    <row r="68" spans="1:37">
      <c r="A68" s="149"/>
      <c r="C68" s="5"/>
      <c r="D68" s="149"/>
      <c r="E68" s="149"/>
      <c r="F68" s="9"/>
      <c r="G68" s="1866"/>
      <c r="H68" s="1866"/>
      <c r="I68" s="1866"/>
      <c r="J68" s="1866"/>
      <c r="K68" s="1866"/>
      <c r="L68" s="1866"/>
      <c r="M68" s="1866"/>
      <c r="N68" s="1866"/>
      <c r="O68" s="1866"/>
      <c r="P68" s="1866"/>
      <c r="Q68" s="1866"/>
      <c r="R68" s="1866"/>
      <c r="S68" s="1866"/>
      <c r="T68" s="1866"/>
      <c r="U68" s="1866"/>
      <c r="V68" s="1866"/>
      <c r="W68" s="1866"/>
      <c r="X68" s="1866"/>
      <c r="Y68" s="1866"/>
      <c r="Z68" s="1866"/>
      <c r="AA68" s="1866"/>
      <c r="AB68" s="1866"/>
      <c r="AC68" s="1866"/>
      <c r="AD68" s="1866"/>
      <c r="AE68" s="1866"/>
      <c r="AF68" s="1866"/>
      <c r="AG68" s="1866"/>
      <c r="AH68" s="1866"/>
      <c r="AI68" s="1866"/>
      <c r="AJ68" s="1866"/>
      <c r="AK68" s="1866"/>
    </row>
    <row r="69" spans="1:37" ht="13.15" customHeight="1">
      <c r="A69" s="149"/>
      <c r="C69" s="5"/>
      <c r="D69" s="149"/>
      <c r="E69" s="149"/>
      <c r="F69" s="9" t="s">
        <v>542</v>
      </c>
      <c r="G69" s="1866" t="s">
        <v>1363</v>
      </c>
      <c r="H69" s="1866"/>
      <c r="I69" s="1866"/>
      <c r="J69" s="1866"/>
      <c r="K69" s="1866"/>
      <c r="L69" s="1866"/>
      <c r="M69" s="1866"/>
      <c r="N69" s="1866"/>
      <c r="O69" s="1866"/>
      <c r="P69" s="1866"/>
      <c r="Q69" s="1866"/>
      <c r="R69" s="1866"/>
      <c r="S69" s="1866"/>
      <c r="T69" s="1866"/>
      <c r="U69" s="1866"/>
      <c r="V69" s="1866"/>
      <c r="W69" s="1866"/>
      <c r="X69" s="1866"/>
      <c r="Y69" s="1866"/>
      <c r="Z69" s="1866"/>
      <c r="AA69" s="1866"/>
      <c r="AB69" s="1866"/>
      <c r="AC69" s="1866"/>
      <c r="AD69" s="1866"/>
      <c r="AE69" s="1866"/>
      <c r="AF69" s="1866"/>
      <c r="AG69" s="1866"/>
      <c r="AH69" s="1866"/>
      <c r="AI69" s="1866"/>
      <c r="AJ69" s="1866"/>
      <c r="AK69" s="1866"/>
    </row>
    <row r="70" spans="1:37">
      <c r="A70" s="149"/>
      <c r="C70" s="5"/>
      <c r="D70" s="149"/>
      <c r="E70" s="149"/>
      <c r="F70" s="379"/>
      <c r="G70" s="1866"/>
      <c r="H70" s="1866"/>
      <c r="I70" s="1866"/>
      <c r="J70" s="1866"/>
      <c r="K70" s="1866"/>
      <c r="L70" s="1866"/>
      <c r="M70" s="1866"/>
      <c r="N70" s="1866"/>
      <c r="O70" s="1866"/>
      <c r="P70" s="1866"/>
      <c r="Q70" s="1866"/>
      <c r="R70" s="1866"/>
      <c r="S70" s="1866"/>
      <c r="T70" s="1866"/>
      <c r="U70" s="1866"/>
      <c r="V70" s="1866"/>
      <c r="W70" s="1866"/>
      <c r="X70" s="1866"/>
      <c r="Y70" s="1866"/>
      <c r="Z70" s="1866"/>
      <c r="AA70" s="1866"/>
      <c r="AB70" s="1866"/>
      <c r="AC70" s="1866"/>
      <c r="AD70" s="1866"/>
      <c r="AE70" s="1866"/>
      <c r="AF70" s="1866"/>
      <c r="AG70" s="1866"/>
      <c r="AH70" s="1866"/>
      <c r="AI70" s="1866"/>
      <c r="AJ70" s="1866"/>
      <c r="AK70" s="1866"/>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6" t="s">
        <v>1364</v>
      </c>
      <c r="H72" s="1866"/>
      <c r="I72" s="1866"/>
      <c r="J72" s="1866"/>
      <c r="K72" s="1866"/>
      <c r="L72" s="1866"/>
      <c r="M72" s="1866"/>
      <c r="N72" s="1866"/>
      <c r="O72" s="1866"/>
      <c r="P72" s="1866"/>
      <c r="Q72" s="1866"/>
      <c r="R72" s="1866"/>
      <c r="S72" s="1866"/>
      <c r="T72" s="1866"/>
      <c r="U72" s="1866"/>
      <c r="V72" s="1866"/>
      <c r="W72" s="1866"/>
      <c r="X72" s="1866"/>
      <c r="Y72" s="1866"/>
      <c r="Z72" s="1866"/>
      <c r="AA72" s="1866"/>
      <c r="AB72" s="1866"/>
      <c r="AC72" s="1866"/>
      <c r="AD72" s="1866"/>
      <c r="AE72" s="1866"/>
      <c r="AF72" s="1866"/>
      <c r="AG72" s="1866"/>
      <c r="AH72" s="1866"/>
      <c r="AI72" s="1866"/>
      <c r="AJ72" s="1866"/>
      <c r="AK72" s="1866"/>
    </row>
    <row r="73" spans="1:37">
      <c r="A73" s="149"/>
      <c r="C73" s="5"/>
      <c r="D73" s="149"/>
      <c r="E73" s="149"/>
      <c r="F73" s="249"/>
      <c r="G73" s="1866"/>
      <c r="H73" s="1866"/>
      <c r="I73" s="1866"/>
      <c r="J73" s="1866"/>
      <c r="K73" s="1866"/>
      <c r="L73" s="1866"/>
      <c r="M73" s="1866"/>
      <c r="N73" s="1866"/>
      <c r="O73" s="1866"/>
      <c r="P73" s="1866"/>
      <c r="Q73" s="1866"/>
      <c r="R73" s="1866"/>
      <c r="S73" s="1866"/>
      <c r="T73" s="1866"/>
      <c r="U73" s="1866"/>
      <c r="V73" s="1866"/>
      <c r="W73" s="1866"/>
      <c r="X73" s="1866"/>
      <c r="Y73" s="1866"/>
      <c r="Z73" s="1866"/>
      <c r="AA73" s="1866"/>
      <c r="AB73" s="1866"/>
      <c r="AC73" s="1866"/>
      <c r="AD73" s="1866"/>
      <c r="AE73" s="1866"/>
      <c r="AF73" s="1866"/>
      <c r="AG73" s="1866"/>
      <c r="AH73" s="1866"/>
      <c r="AI73" s="1866"/>
      <c r="AJ73" s="1866"/>
      <c r="AK73" s="1866"/>
    </row>
    <row r="74" spans="1:37">
      <c r="A74" s="149"/>
      <c r="C74" s="5"/>
      <c r="D74" s="149"/>
      <c r="E74" s="149"/>
      <c r="F74" s="249" t="s">
        <v>542</v>
      </c>
      <c r="G74" s="1866" t="s">
        <v>1365</v>
      </c>
      <c r="H74" s="1866"/>
      <c r="I74" s="1866"/>
      <c r="J74" s="1866"/>
      <c r="K74" s="1866"/>
      <c r="L74" s="1866"/>
      <c r="M74" s="1866"/>
      <c r="N74" s="1866"/>
      <c r="O74" s="1866"/>
      <c r="P74" s="1866"/>
      <c r="Q74" s="1866"/>
      <c r="R74" s="1866"/>
      <c r="S74" s="1866"/>
      <c r="T74" s="1866"/>
      <c r="U74" s="1866"/>
      <c r="V74" s="1866"/>
      <c r="W74" s="1866"/>
      <c r="X74" s="1866"/>
      <c r="Y74" s="1866"/>
      <c r="Z74" s="1866"/>
      <c r="AA74" s="1866"/>
      <c r="AB74" s="1866"/>
      <c r="AC74" s="1866"/>
      <c r="AD74" s="1866"/>
      <c r="AE74" s="1866"/>
      <c r="AF74" s="1866"/>
      <c r="AG74" s="1866"/>
      <c r="AH74" s="1866"/>
      <c r="AI74" s="1866"/>
      <c r="AJ74" s="1866"/>
      <c r="AK74" s="1866"/>
    </row>
    <row r="75" spans="1:37">
      <c r="A75" s="149"/>
      <c r="C75" s="5"/>
      <c r="D75" s="149"/>
      <c r="E75" s="149"/>
      <c r="F75" s="249"/>
      <c r="G75" s="1866"/>
      <c r="H75" s="1866"/>
      <c r="I75" s="1866"/>
      <c r="J75" s="1866"/>
      <c r="K75" s="1866"/>
      <c r="L75" s="1866"/>
      <c r="M75" s="1866"/>
      <c r="N75" s="1866"/>
      <c r="O75" s="1866"/>
      <c r="P75" s="1866"/>
      <c r="Q75" s="1866"/>
      <c r="R75" s="1866"/>
      <c r="S75" s="1866"/>
      <c r="T75" s="1866"/>
      <c r="U75" s="1866"/>
      <c r="V75" s="1866"/>
      <c r="W75" s="1866"/>
      <c r="X75" s="1866"/>
      <c r="Y75" s="1866"/>
      <c r="Z75" s="1866"/>
      <c r="AA75" s="1866"/>
      <c r="AB75" s="1866"/>
      <c r="AC75" s="1866"/>
      <c r="AD75" s="1866"/>
      <c r="AE75" s="1866"/>
      <c r="AF75" s="1866"/>
      <c r="AG75" s="1866"/>
      <c r="AH75" s="1866"/>
      <c r="AI75" s="1866"/>
      <c r="AJ75" s="1866"/>
      <c r="AK75" s="1866"/>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6" t="s">
        <v>1366</v>
      </c>
      <c r="H82" s="1866"/>
      <c r="I82" s="1866"/>
      <c r="J82" s="1866"/>
      <c r="K82" s="1866"/>
      <c r="L82" s="1866"/>
      <c r="M82" s="1866"/>
      <c r="N82" s="1866"/>
      <c r="O82" s="1866"/>
      <c r="P82" s="1866"/>
      <c r="Q82" s="1866"/>
      <c r="R82" s="1866"/>
      <c r="S82" s="1866"/>
      <c r="T82" s="1866"/>
      <c r="U82" s="1866"/>
      <c r="V82" s="1866"/>
      <c r="W82" s="1866"/>
      <c r="X82" s="1866"/>
      <c r="Y82" s="1866"/>
      <c r="Z82" s="1866"/>
      <c r="AA82" s="1866"/>
      <c r="AB82" s="1866"/>
      <c r="AC82" s="1866"/>
      <c r="AD82" s="1866"/>
      <c r="AE82" s="1866"/>
      <c r="AF82" s="1866"/>
      <c r="AG82" s="1866"/>
      <c r="AH82" s="1866"/>
      <c r="AI82" s="1866"/>
      <c r="AJ82" s="1866"/>
      <c r="AK82" s="1866"/>
    </row>
    <row r="83" spans="1:37">
      <c r="A83" s="149"/>
      <c r="C83" s="5"/>
      <c r="D83" s="149"/>
      <c r="E83" s="149"/>
      <c r="F83" s="149"/>
      <c r="G83" s="1866"/>
      <c r="H83" s="1866"/>
      <c r="I83" s="1866"/>
      <c r="J83" s="1866"/>
      <c r="K83" s="1866"/>
      <c r="L83" s="1866"/>
      <c r="M83" s="1866"/>
      <c r="N83" s="1866"/>
      <c r="O83" s="1866"/>
      <c r="P83" s="1866"/>
      <c r="Q83" s="1866"/>
      <c r="R83" s="1866"/>
      <c r="S83" s="1866"/>
      <c r="T83" s="1866"/>
      <c r="U83" s="1866"/>
      <c r="V83" s="1866"/>
      <c r="W83" s="1866"/>
      <c r="X83" s="1866"/>
      <c r="Y83" s="1866"/>
      <c r="Z83" s="1866"/>
      <c r="AA83" s="1866"/>
      <c r="AB83" s="1866"/>
      <c r="AC83" s="1866"/>
      <c r="AD83" s="1866"/>
      <c r="AE83" s="1866"/>
      <c r="AF83" s="1866"/>
      <c r="AG83" s="1866"/>
      <c r="AH83" s="1866"/>
      <c r="AI83" s="1866"/>
      <c r="AJ83" s="1866"/>
      <c r="AK83" s="1866"/>
    </row>
    <row r="84" spans="1:37" s="717" customFormat="1">
      <c r="A84" s="149"/>
      <c r="C84" s="5"/>
      <c r="D84" s="149"/>
      <c r="E84" s="149"/>
      <c r="F84" s="149"/>
      <c r="G84" s="1866"/>
      <c r="H84" s="1866"/>
      <c r="I84" s="1866"/>
      <c r="J84" s="1866"/>
      <c r="K84" s="1866"/>
      <c r="L84" s="1866"/>
      <c r="M84" s="1866"/>
      <c r="N84" s="1866"/>
      <c r="O84" s="1866"/>
      <c r="P84" s="1866"/>
      <c r="Q84" s="1866"/>
      <c r="R84" s="1866"/>
      <c r="S84" s="1866"/>
      <c r="T84" s="1866"/>
      <c r="U84" s="1866"/>
      <c r="V84" s="1866"/>
      <c r="W84" s="1866"/>
      <c r="X84" s="1866"/>
      <c r="Y84" s="1866"/>
      <c r="Z84" s="1866"/>
      <c r="AA84" s="1866"/>
      <c r="AB84" s="1866"/>
      <c r="AC84" s="1866"/>
      <c r="AD84" s="1866"/>
      <c r="AE84" s="1866"/>
      <c r="AF84" s="1866"/>
      <c r="AG84" s="1866"/>
      <c r="AH84" s="1866"/>
      <c r="AI84" s="1866"/>
      <c r="AJ84" s="1866"/>
      <c r="AK84" s="1866"/>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6" t="s">
        <v>1367</v>
      </c>
      <c r="H86" s="1866"/>
      <c r="I86" s="1866"/>
      <c r="J86" s="1866"/>
      <c r="K86" s="1866"/>
      <c r="L86" s="1866"/>
      <c r="M86" s="1866"/>
      <c r="N86" s="1866"/>
      <c r="O86" s="1866"/>
      <c r="P86" s="1866"/>
      <c r="Q86" s="1866"/>
      <c r="R86" s="1866"/>
      <c r="S86" s="1866"/>
      <c r="T86" s="1866"/>
      <c r="U86" s="1866"/>
      <c r="V86" s="1866"/>
      <c r="W86" s="1866"/>
      <c r="X86" s="1866"/>
      <c r="Y86" s="1866"/>
      <c r="Z86" s="1866"/>
      <c r="AA86" s="1866"/>
      <c r="AB86" s="1866"/>
      <c r="AC86" s="1866"/>
      <c r="AD86" s="1866"/>
      <c r="AE86" s="1866"/>
      <c r="AF86" s="1866"/>
      <c r="AG86" s="1866"/>
      <c r="AH86" s="1866"/>
      <c r="AI86" s="1866"/>
      <c r="AJ86" s="1866"/>
      <c r="AK86" s="1866"/>
    </row>
    <row r="87" spans="1:37">
      <c r="A87" s="149"/>
      <c r="C87" s="5"/>
      <c r="D87" s="149"/>
      <c r="E87" s="149"/>
      <c r="F87" s="149"/>
      <c r="G87" s="1866"/>
      <c r="H87" s="1866"/>
      <c r="I87" s="1866"/>
      <c r="J87" s="1866"/>
      <c r="K87" s="1866"/>
      <c r="L87" s="1866"/>
      <c r="M87" s="1866"/>
      <c r="N87" s="1866"/>
      <c r="O87" s="1866"/>
      <c r="P87" s="1866"/>
      <c r="Q87" s="1866"/>
      <c r="R87" s="1866"/>
      <c r="S87" s="1866"/>
      <c r="T87" s="1866"/>
      <c r="U87" s="1866"/>
      <c r="V87" s="1866"/>
      <c r="W87" s="1866"/>
      <c r="X87" s="1866"/>
      <c r="Y87" s="1866"/>
      <c r="Z87" s="1866"/>
      <c r="AA87" s="1866"/>
      <c r="AB87" s="1866"/>
      <c r="AC87" s="1866"/>
      <c r="AD87" s="1866"/>
      <c r="AE87" s="1866"/>
      <c r="AF87" s="1866"/>
      <c r="AG87" s="1866"/>
      <c r="AH87" s="1866"/>
      <c r="AI87" s="1866"/>
      <c r="AJ87" s="1866"/>
      <c r="AK87" s="1866"/>
    </row>
    <row r="88" spans="1:37">
      <c r="A88" s="149"/>
      <c r="C88" s="5"/>
      <c r="D88" s="149"/>
      <c r="E88" s="149"/>
      <c r="G88" s="1866"/>
      <c r="H88" s="1866"/>
      <c r="I88" s="1866"/>
      <c r="J88" s="1866"/>
      <c r="K88" s="1866"/>
      <c r="L88" s="1866"/>
      <c r="M88" s="1866"/>
      <c r="N88" s="1866"/>
      <c r="O88" s="1866"/>
      <c r="P88" s="1866"/>
      <c r="Q88" s="1866"/>
      <c r="R88" s="1866"/>
      <c r="S88" s="1866"/>
      <c r="T88" s="1866"/>
      <c r="U88" s="1866"/>
      <c r="V88" s="1866"/>
      <c r="W88" s="1866"/>
      <c r="X88" s="1866"/>
      <c r="Y88" s="1866"/>
      <c r="Z88" s="1866"/>
      <c r="AA88" s="1866"/>
      <c r="AB88" s="1866"/>
      <c r="AC88" s="1866"/>
      <c r="AD88" s="1866"/>
      <c r="AE88" s="1866"/>
      <c r="AF88" s="1866"/>
      <c r="AG88" s="1866"/>
      <c r="AH88" s="1866"/>
      <c r="AI88" s="1866"/>
      <c r="AJ88" s="1866"/>
      <c r="AK88" s="1866"/>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4" t="s">
        <v>1368</v>
      </c>
      <c r="H90" s="1874"/>
      <c r="I90" s="1874"/>
      <c r="J90" s="1874"/>
      <c r="K90" s="1874"/>
      <c r="L90" s="1874"/>
      <c r="M90" s="1874"/>
      <c r="N90" s="1874"/>
      <c r="O90" s="1874"/>
      <c r="P90" s="1874"/>
      <c r="Q90" s="1874"/>
      <c r="R90" s="1874"/>
      <c r="S90" s="1874"/>
      <c r="T90" s="1874"/>
      <c r="U90" s="1874"/>
      <c r="V90" s="1874"/>
      <c r="W90" s="1874"/>
      <c r="X90" s="1874"/>
      <c r="Y90" s="1874"/>
      <c r="Z90" s="1874"/>
      <c r="AA90" s="1874"/>
      <c r="AB90" s="1874"/>
      <c r="AC90" s="1874"/>
      <c r="AD90" s="1874"/>
      <c r="AE90" s="1874"/>
      <c r="AF90" s="1874"/>
      <c r="AG90" s="1874"/>
      <c r="AH90" s="1874"/>
      <c r="AI90" s="1874"/>
      <c r="AJ90" s="1874"/>
      <c r="AK90" s="1874"/>
    </row>
    <row r="91" spans="1:37" s="717" customFormat="1">
      <c r="A91" s="149"/>
      <c r="C91" s="5"/>
      <c r="D91" s="149"/>
      <c r="E91" s="149"/>
      <c r="G91" s="1874"/>
      <c r="H91" s="1874"/>
      <c r="I91" s="1874"/>
      <c r="J91" s="1874"/>
      <c r="K91" s="1874"/>
      <c r="L91" s="1874"/>
      <c r="M91" s="1874"/>
      <c r="N91" s="1874"/>
      <c r="O91" s="1874"/>
      <c r="P91" s="1874"/>
      <c r="Q91" s="1874"/>
      <c r="R91" s="1874"/>
      <c r="S91" s="1874"/>
      <c r="T91" s="1874"/>
      <c r="U91" s="1874"/>
      <c r="V91" s="1874"/>
      <c r="W91" s="1874"/>
      <c r="X91" s="1874"/>
      <c r="Y91" s="1874"/>
      <c r="Z91" s="1874"/>
      <c r="AA91" s="1874"/>
      <c r="AB91" s="1874"/>
      <c r="AC91" s="1874"/>
      <c r="AD91" s="1874"/>
      <c r="AE91" s="1874"/>
      <c r="AF91" s="1874"/>
      <c r="AG91" s="1874"/>
      <c r="AH91" s="1874"/>
      <c r="AI91" s="1874"/>
      <c r="AJ91" s="1874"/>
      <c r="AK91" s="1874"/>
    </row>
    <row r="92" spans="1:37">
      <c r="A92" s="149"/>
      <c r="C92" s="5"/>
      <c r="D92" s="149"/>
      <c r="E92" s="149"/>
      <c r="G92" s="1874"/>
      <c r="H92" s="1874"/>
      <c r="I92" s="1874"/>
      <c r="J92" s="1874"/>
      <c r="K92" s="1874"/>
      <c r="L92" s="1874"/>
      <c r="M92" s="1874"/>
      <c r="N92" s="1874"/>
      <c r="O92" s="1874"/>
      <c r="P92" s="1874"/>
      <c r="Q92" s="1874"/>
      <c r="R92" s="1874"/>
      <c r="S92" s="1874"/>
      <c r="T92" s="1874"/>
      <c r="U92" s="1874"/>
      <c r="V92" s="1874"/>
      <c r="W92" s="1874"/>
      <c r="X92" s="1874"/>
      <c r="Y92" s="1874"/>
      <c r="Z92" s="1874"/>
      <c r="AA92" s="1874"/>
      <c r="AB92" s="1874"/>
      <c r="AC92" s="1874"/>
      <c r="AD92" s="1874"/>
      <c r="AE92" s="1874"/>
      <c r="AF92" s="1874"/>
      <c r="AG92" s="1874"/>
      <c r="AH92" s="1874"/>
      <c r="AI92" s="1874"/>
      <c r="AJ92" s="1874"/>
      <c r="AK92" s="1874"/>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6" t="s">
        <v>1369</v>
      </c>
      <c r="H94" s="1866"/>
      <c r="I94" s="1866"/>
      <c r="J94" s="1866"/>
      <c r="K94" s="1866"/>
      <c r="L94" s="1866"/>
      <c r="M94" s="1866"/>
      <c r="N94" s="1866"/>
      <c r="O94" s="1866"/>
      <c r="P94" s="1866"/>
      <c r="Q94" s="1866"/>
      <c r="R94" s="1866"/>
      <c r="S94" s="1866"/>
      <c r="T94" s="1866"/>
      <c r="U94" s="1866"/>
      <c r="V94" s="1866"/>
      <c r="W94" s="1866"/>
      <c r="X94" s="1866"/>
      <c r="Y94" s="1866"/>
      <c r="Z94" s="1866"/>
      <c r="AA94" s="1866"/>
      <c r="AB94" s="1866"/>
      <c r="AC94" s="1866"/>
      <c r="AD94" s="1866"/>
      <c r="AE94" s="1866"/>
      <c r="AF94" s="1866"/>
      <c r="AG94" s="1866"/>
      <c r="AH94" s="1866"/>
      <c r="AI94" s="1866"/>
      <c r="AJ94" s="1866"/>
      <c r="AK94" s="1866"/>
    </row>
    <row r="95" spans="1:37">
      <c r="A95" s="149"/>
      <c r="C95" s="5"/>
      <c r="D95" s="149"/>
      <c r="E95" s="149"/>
      <c r="G95" s="1866"/>
      <c r="H95" s="1866"/>
      <c r="I95" s="1866"/>
      <c r="J95" s="1866"/>
      <c r="K95" s="1866"/>
      <c r="L95" s="1866"/>
      <c r="M95" s="1866"/>
      <c r="N95" s="1866"/>
      <c r="O95" s="1866"/>
      <c r="P95" s="1866"/>
      <c r="Q95" s="1866"/>
      <c r="R95" s="1866"/>
      <c r="S95" s="1866"/>
      <c r="T95" s="1866"/>
      <c r="U95" s="1866"/>
      <c r="V95" s="1866"/>
      <c r="W95" s="1866"/>
      <c r="X95" s="1866"/>
      <c r="Y95" s="1866"/>
      <c r="Z95" s="1866"/>
      <c r="AA95" s="1866"/>
      <c r="AB95" s="1866"/>
      <c r="AC95" s="1866"/>
      <c r="AD95" s="1866"/>
      <c r="AE95" s="1866"/>
      <c r="AF95" s="1866"/>
      <c r="AG95" s="1866"/>
      <c r="AH95" s="1866"/>
      <c r="AI95" s="1866"/>
      <c r="AJ95" s="1866"/>
      <c r="AK95" s="1866"/>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6" t="s">
        <v>1370</v>
      </c>
      <c r="H97" s="1866"/>
      <c r="I97" s="1866"/>
      <c r="J97" s="1866"/>
      <c r="K97" s="1866"/>
      <c r="L97" s="1866"/>
      <c r="M97" s="1866"/>
      <c r="N97" s="1866"/>
      <c r="O97" s="1866"/>
      <c r="P97" s="1866"/>
      <c r="Q97" s="1866"/>
      <c r="R97" s="1866"/>
      <c r="S97" s="1866"/>
      <c r="T97" s="1866"/>
      <c r="U97" s="1866"/>
      <c r="V97" s="1866"/>
      <c r="W97" s="1866"/>
      <c r="X97" s="1866"/>
      <c r="Y97" s="1866"/>
      <c r="Z97" s="1866"/>
      <c r="AA97" s="1866"/>
      <c r="AB97" s="1866"/>
      <c r="AC97" s="1866"/>
      <c r="AD97" s="1866"/>
      <c r="AE97" s="1866"/>
      <c r="AF97" s="1866"/>
      <c r="AG97" s="1866"/>
      <c r="AH97" s="1866"/>
      <c r="AI97" s="1866"/>
      <c r="AJ97" s="1866"/>
      <c r="AK97" s="1866"/>
    </row>
    <row r="98" spans="1:38">
      <c r="A98" s="149"/>
      <c r="C98" s="183"/>
      <c r="D98" s="182"/>
      <c r="E98" s="182"/>
      <c r="F98" s="2"/>
      <c r="G98" s="1866"/>
      <c r="H98" s="1866"/>
      <c r="I98" s="1866"/>
      <c r="J98" s="1866"/>
      <c r="K98" s="1866"/>
      <c r="L98" s="1866"/>
      <c r="M98" s="1866"/>
      <c r="N98" s="1866"/>
      <c r="O98" s="1866"/>
      <c r="P98" s="1866"/>
      <c r="Q98" s="1866"/>
      <c r="R98" s="1866"/>
      <c r="S98" s="1866"/>
      <c r="T98" s="1866"/>
      <c r="U98" s="1866"/>
      <c r="V98" s="1866"/>
      <c r="W98" s="1866"/>
      <c r="X98" s="1866"/>
      <c r="Y98" s="1866"/>
      <c r="Z98" s="1866"/>
      <c r="AA98" s="1866"/>
      <c r="AB98" s="1866"/>
      <c r="AC98" s="1866"/>
      <c r="AD98" s="1866"/>
      <c r="AE98" s="1866"/>
      <c r="AF98" s="1866"/>
      <c r="AG98" s="1866"/>
      <c r="AH98" s="1866"/>
      <c r="AI98" s="1866"/>
      <c r="AJ98" s="1866"/>
      <c r="AK98" s="1866"/>
      <c r="AL98" s="2"/>
    </row>
    <row r="99" spans="1:38">
      <c r="A99" s="149"/>
      <c r="C99" s="183"/>
      <c r="D99" s="182"/>
      <c r="E99" s="182"/>
      <c r="F99" s="2"/>
      <c r="G99" s="1866"/>
      <c r="H99" s="1866"/>
      <c r="I99" s="1866"/>
      <c r="J99" s="1866"/>
      <c r="K99" s="1866"/>
      <c r="L99" s="1866"/>
      <c r="M99" s="1866"/>
      <c r="N99" s="1866"/>
      <c r="O99" s="1866"/>
      <c r="P99" s="1866"/>
      <c r="Q99" s="1866"/>
      <c r="R99" s="1866"/>
      <c r="S99" s="1866"/>
      <c r="T99" s="1866"/>
      <c r="U99" s="1866"/>
      <c r="V99" s="1866"/>
      <c r="W99" s="1866"/>
      <c r="X99" s="1866"/>
      <c r="Y99" s="1866"/>
      <c r="Z99" s="1866"/>
      <c r="AA99" s="1866"/>
      <c r="AB99" s="1866"/>
      <c r="AC99" s="1866"/>
      <c r="AD99" s="1866"/>
      <c r="AE99" s="1866"/>
      <c r="AF99" s="1866"/>
      <c r="AG99" s="1866"/>
      <c r="AH99" s="1866"/>
      <c r="AI99" s="1866"/>
      <c r="AJ99" s="1866"/>
      <c r="AK99" s="1866"/>
      <c r="AL99" s="2"/>
    </row>
    <row r="100" spans="1:38">
      <c r="A100" s="149"/>
      <c r="C100" s="2"/>
      <c r="D100" s="491"/>
      <c r="E100" s="1875" t="s">
        <v>1371</v>
      </c>
      <c r="F100" s="1875"/>
      <c r="G100" s="1875"/>
      <c r="H100" s="1875"/>
      <c r="I100" s="1875"/>
      <c r="J100" s="1875"/>
      <c r="K100" s="1875"/>
      <c r="L100" s="1875"/>
      <c r="M100" s="1875"/>
      <c r="N100" s="1875"/>
      <c r="O100" s="1875"/>
      <c r="P100" s="1875"/>
      <c r="Q100" s="1875"/>
      <c r="R100" s="1875"/>
      <c r="S100" s="1875"/>
      <c r="T100" s="1875"/>
      <c r="U100" s="1875"/>
      <c r="V100" s="1875"/>
      <c r="W100" s="1875"/>
      <c r="X100" s="1875"/>
      <c r="Y100" s="1875"/>
      <c r="Z100" s="1875"/>
      <c r="AA100" s="1875"/>
      <c r="AB100" s="1875"/>
      <c r="AC100" s="1875"/>
      <c r="AD100" s="1875"/>
      <c r="AE100" s="1875"/>
      <c r="AF100" s="1875"/>
      <c r="AG100" s="1875"/>
      <c r="AH100" s="1875"/>
      <c r="AI100" s="1875"/>
      <c r="AJ100" s="1875"/>
      <c r="AK100" s="1875"/>
      <c r="AL100" s="2"/>
    </row>
    <row r="101" spans="1:38">
      <c r="A101" s="149"/>
      <c r="D101" s="153"/>
      <c r="E101" s="1875"/>
      <c r="F101" s="1875"/>
      <c r="G101" s="1875"/>
      <c r="H101" s="1875"/>
      <c r="I101" s="1875"/>
      <c r="J101" s="1875"/>
      <c r="K101" s="1875"/>
      <c r="L101" s="1875"/>
      <c r="M101" s="1875"/>
      <c r="N101" s="1875"/>
      <c r="O101" s="1875"/>
      <c r="P101" s="1875"/>
      <c r="Q101" s="1875"/>
      <c r="R101" s="1875"/>
      <c r="S101" s="1875"/>
      <c r="T101" s="1875"/>
      <c r="U101" s="1875"/>
      <c r="V101" s="1875"/>
      <c r="W101" s="1875"/>
      <c r="X101" s="1875"/>
      <c r="Y101" s="1875"/>
      <c r="Z101" s="1875"/>
      <c r="AA101" s="1875"/>
      <c r="AB101" s="1875"/>
      <c r="AC101" s="1875"/>
      <c r="AD101" s="1875"/>
      <c r="AE101" s="1875"/>
      <c r="AF101" s="1875"/>
      <c r="AG101" s="1875"/>
      <c r="AH101" s="1875"/>
      <c r="AI101" s="1875"/>
      <c r="AJ101" s="1875"/>
      <c r="AK101" s="1875"/>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6" t="s">
        <v>1372</v>
      </c>
      <c r="H207" s="1866"/>
      <c r="I207" s="1866"/>
      <c r="J207" s="1866"/>
      <c r="K207" s="1866"/>
      <c r="L207" s="1866"/>
      <c r="M207" s="1866"/>
      <c r="N207" s="1866"/>
      <c r="O207" s="1866"/>
      <c r="P207" s="1866"/>
      <c r="Q207" s="1866"/>
      <c r="R207" s="1866"/>
      <c r="S207" s="1866"/>
      <c r="T207" s="1866"/>
      <c r="U207" s="1866"/>
      <c r="V207" s="1866"/>
      <c r="W207" s="1866"/>
      <c r="X207" s="1866"/>
      <c r="Y207" s="1866"/>
      <c r="Z207" s="1866"/>
      <c r="AA207" s="1866"/>
      <c r="AB207" s="1866"/>
      <c r="AC207" s="1866"/>
      <c r="AD207" s="1866"/>
      <c r="AE207" s="1866"/>
      <c r="AF207" s="1866"/>
      <c r="AG207" s="1866"/>
      <c r="AH207" s="1866"/>
      <c r="AI207" s="1866"/>
      <c r="AJ207" s="1866"/>
      <c r="AK207" s="1866"/>
    </row>
    <row r="208" spans="2:37">
      <c r="B208" s="149"/>
      <c r="C208" s="149"/>
      <c r="D208" s="5"/>
      <c r="G208" s="1866"/>
      <c r="H208" s="1866"/>
      <c r="I208" s="1866"/>
      <c r="J208" s="1866"/>
      <c r="K208" s="1866"/>
      <c r="L208" s="1866"/>
      <c r="M208" s="1866"/>
      <c r="N208" s="1866"/>
      <c r="O208" s="1866"/>
      <c r="P208" s="1866"/>
      <c r="Q208" s="1866"/>
      <c r="R208" s="1866"/>
      <c r="S208" s="1866"/>
      <c r="T208" s="1866"/>
      <c r="U208" s="1866"/>
      <c r="V208" s="1866"/>
      <c r="W208" s="1866"/>
      <c r="X208" s="1866"/>
      <c r="Y208" s="1866"/>
      <c r="Z208" s="1866"/>
      <c r="AA208" s="1866"/>
      <c r="AB208" s="1866"/>
      <c r="AC208" s="1866"/>
      <c r="AD208" s="1866"/>
      <c r="AE208" s="1866"/>
      <c r="AF208" s="1866"/>
      <c r="AG208" s="1866"/>
      <c r="AH208" s="1866"/>
      <c r="AI208" s="1866"/>
      <c r="AJ208" s="1866"/>
      <c r="AK208" s="1866"/>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6" t="s">
        <v>1347</v>
      </c>
      <c r="G338" s="1866"/>
      <c r="H338" s="1866"/>
      <c r="I338" s="1866"/>
      <c r="J338" s="1866"/>
      <c r="K338" s="1866"/>
      <c r="L338" s="1866"/>
      <c r="M338" s="1866"/>
      <c r="N338" s="1866"/>
      <c r="O338" s="1866"/>
      <c r="P338" s="1866"/>
      <c r="Q338" s="1866"/>
      <c r="R338" s="1866"/>
      <c r="S338" s="1866"/>
      <c r="T338" s="1866"/>
      <c r="U338" s="1866"/>
      <c r="V338" s="1866"/>
      <c r="W338" s="1866"/>
      <c r="X338" s="1866"/>
      <c r="Y338" s="1866"/>
      <c r="Z338" s="1866"/>
      <c r="AA338" s="1866"/>
      <c r="AB338" s="1866"/>
      <c r="AC338" s="1866"/>
      <c r="AD338" s="1866"/>
      <c r="AE338" s="1866"/>
      <c r="AF338" s="1866"/>
      <c r="AG338" s="1866"/>
      <c r="AH338" s="1866"/>
      <c r="AI338" s="1866"/>
      <c r="AJ338" s="1866"/>
      <c r="AK338" s="1866"/>
    </row>
    <row r="339" spans="2:37">
      <c r="B339" s="5"/>
      <c r="E339" s="149"/>
      <c r="F339" s="1866"/>
      <c r="G339" s="1866"/>
      <c r="H339" s="1866"/>
      <c r="I339" s="1866"/>
      <c r="J339" s="1866"/>
      <c r="K339" s="1866"/>
      <c r="L339" s="1866"/>
      <c r="M339" s="1866"/>
      <c r="N339" s="1866"/>
      <c r="O339" s="1866"/>
      <c r="P339" s="1866"/>
      <c r="Q339" s="1866"/>
      <c r="R339" s="1866"/>
      <c r="S339" s="1866"/>
      <c r="T339" s="1866"/>
      <c r="U339" s="1866"/>
      <c r="V339" s="1866"/>
      <c r="W339" s="1866"/>
      <c r="X339" s="1866"/>
      <c r="Y339" s="1866"/>
      <c r="Z339" s="1866"/>
      <c r="AA339" s="1866"/>
      <c r="AB339" s="1866"/>
      <c r="AC339" s="1866"/>
      <c r="AD339" s="1866"/>
      <c r="AE339" s="1866"/>
      <c r="AF339" s="1866"/>
      <c r="AG339" s="1866"/>
      <c r="AH339" s="1866"/>
      <c r="AI339" s="1866"/>
      <c r="AJ339" s="1866"/>
      <c r="AK339" s="1866"/>
    </row>
    <row r="340" spans="2:37">
      <c r="B340" s="5"/>
      <c r="E340" s="149"/>
      <c r="F340" s="1866"/>
      <c r="G340" s="1866"/>
      <c r="H340" s="1866"/>
      <c r="I340" s="1866"/>
      <c r="J340" s="1866"/>
      <c r="K340" s="1866"/>
      <c r="L340" s="1866"/>
      <c r="M340" s="1866"/>
      <c r="N340" s="1866"/>
      <c r="O340" s="1866"/>
      <c r="P340" s="1866"/>
      <c r="Q340" s="1866"/>
      <c r="R340" s="1866"/>
      <c r="S340" s="1866"/>
      <c r="T340" s="1866"/>
      <c r="U340" s="1866"/>
      <c r="V340" s="1866"/>
      <c r="W340" s="1866"/>
      <c r="X340" s="1866"/>
      <c r="Y340" s="1866"/>
      <c r="Z340" s="1866"/>
      <c r="AA340" s="1866"/>
      <c r="AB340" s="1866"/>
      <c r="AC340" s="1866"/>
      <c r="AD340" s="1866"/>
      <c r="AE340" s="1866"/>
      <c r="AF340" s="1866"/>
      <c r="AG340" s="1866"/>
      <c r="AH340" s="1866"/>
      <c r="AI340" s="1866"/>
      <c r="AJ340" s="1866"/>
      <c r="AK340" s="1866"/>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15" customHeight="1">
      <c r="B343" s="5"/>
      <c r="E343" s="1868" t="s">
        <v>1450</v>
      </c>
      <c r="F343" s="1868"/>
      <c r="G343" s="1868"/>
      <c r="H343" s="1868"/>
      <c r="I343" s="1868"/>
      <c r="J343" s="1868"/>
      <c r="K343" s="1868"/>
      <c r="L343" s="1868"/>
      <c r="M343" s="1868"/>
      <c r="N343" s="1868"/>
      <c r="O343" s="1868"/>
      <c r="P343" s="1868"/>
      <c r="Q343" s="1868"/>
      <c r="R343" s="1868"/>
      <c r="S343" s="1868"/>
      <c r="T343" s="1868"/>
      <c r="U343" s="1868"/>
      <c r="V343" s="1868"/>
      <c r="W343" s="1868"/>
      <c r="X343" s="1868"/>
      <c r="Y343" s="1868"/>
      <c r="Z343" s="1868"/>
      <c r="AA343" s="1868"/>
      <c r="AB343" s="1868"/>
      <c r="AC343" s="1868"/>
      <c r="AD343" s="1868"/>
      <c r="AE343" s="1868"/>
      <c r="AF343" s="1868"/>
      <c r="AG343" s="1868"/>
      <c r="AH343" s="1868"/>
      <c r="AI343" s="1868"/>
      <c r="AJ343" s="1868"/>
      <c r="AK343" s="1868"/>
    </row>
    <row r="344" spans="2:37" s="717" customFormat="1">
      <c r="B344" s="5"/>
      <c r="E344" s="1868"/>
      <c r="F344" s="1868"/>
      <c r="G344" s="1868"/>
      <c r="H344" s="1868"/>
      <c r="I344" s="1868"/>
      <c r="J344" s="1868"/>
      <c r="K344" s="1868"/>
      <c r="L344" s="1868"/>
      <c r="M344" s="1868"/>
      <c r="N344" s="1868"/>
      <c r="O344" s="1868"/>
      <c r="P344" s="1868"/>
      <c r="Q344" s="1868"/>
      <c r="R344" s="1868"/>
      <c r="S344" s="1868"/>
      <c r="T344" s="1868"/>
      <c r="U344" s="1868"/>
      <c r="V344" s="1868"/>
      <c r="W344" s="1868"/>
      <c r="X344" s="1868"/>
      <c r="Y344" s="1868"/>
      <c r="Z344" s="1868"/>
      <c r="AA344" s="1868"/>
      <c r="AB344" s="1868"/>
      <c r="AC344" s="1868"/>
      <c r="AD344" s="1868"/>
      <c r="AE344" s="1868"/>
      <c r="AF344" s="1868"/>
      <c r="AG344" s="1868"/>
      <c r="AH344" s="1868"/>
      <c r="AI344" s="1868"/>
      <c r="AJ344" s="1868"/>
      <c r="AK344" s="1868"/>
    </row>
    <row r="345" spans="2:37" s="717" customFormat="1">
      <c r="B345" s="5"/>
      <c r="E345" s="1868"/>
      <c r="F345" s="1868"/>
      <c r="G345" s="1868"/>
      <c r="H345" s="1868"/>
      <c r="I345" s="1868"/>
      <c r="J345" s="1868"/>
      <c r="K345" s="1868"/>
      <c r="L345" s="1868"/>
      <c r="M345" s="1868"/>
      <c r="N345" s="1868"/>
      <c r="O345" s="1868"/>
      <c r="P345" s="1868"/>
      <c r="Q345" s="1868"/>
      <c r="R345" s="1868"/>
      <c r="S345" s="1868"/>
      <c r="T345" s="1868"/>
      <c r="U345" s="1868"/>
      <c r="V345" s="1868"/>
      <c r="W345" s="1868"/>
      <c r="X345" s="1868"/>
      <c r="Y345" s="1868"/>
      <c r="Z345" s="1868"/>
      <c r="AA345" s="1868"/>
      <c r="AB345" s="1868"/>
      <c r="AC345" s="1868"/>
      <c r="AD345" s="1868"/>
      <c r="AE345" s="1868"/>
      <c r="AF345" s="1868"/>
      <c r="AG345" s="1868"/>
      <c r="AH345" s="1868"/>
      <c r="AI345" s="1868"/>
      <c r="AJ345" s="1868"/>
      <c r="AK345" s="1868"/>
    </row>
    <row r="346" spans="2:37" s="717" customFormat="1">
      <c r="B346" s="5"/>
      <c r="E346" s="1868"/>
      <c r="F346" s="1868"/>
      <c r="G346" s="1868"/>
      <c r="H346" s="1868"/>
      <c r="I346" s="1868"/>
      <c r="J346" s="1868"/>
      <c r="K346" s="1868"/>
      <c r="L346" s="1868"/>
      <c r="M346" s="1868"/>
      <c r="N346" s="1868"/>
      <c r="O346" s="1868"/>
      <c r="P346" s="1868"/>
      <c r="Q346" s="1868"/>
      <c r="R346" s="1868"/>
      <c r="S346" s="1868"/>
      <c r="T346" s="1868"/>
      <c r="U346" s="1868"/>
      <c r="V346" s="1868"/>
      <c r="W346" s="1868"/>
      <c r="X346" s="1868"/>
      <c r="Y346" s="1868"/>
      <c r="Z346" s="1868"/>
      <c r="AA346" s="1868"/>
      <c r="AB346" s="1868"/>
      <c r="AC346" s="1868"/>
      <c r="AD346" s="1868"/>
      <c r="AE346" s="1868"/>
      <c r="AF346" s="1868"/>
      <c r="AG346" s="1868"/>
      <c r="AH346" s="1868"/>
      <c r="AI346" s="1868"/>
      <c r="AJ346" s="1868"/>
      <c r="AK346" s="1868"/>
    </row>
    <row r="347" spans="2:37" s="717" customFormat="1">
      <c r="B347" s="5"/>
      <c r="E347" s="1868"/>
      <c r="F347" s="1868"/>
      <c r="G347" s="1868"/>
      <c r="H347" s="1868"/>
      <c r="I347" s="1868"/>
      <c r="J347" s="1868"/>
      <c r="K347" s="1868"/>
      <c r="L347" s="1868"/>
      <c r="M347" s="1868"/>
      <c r="N347" s="1868"/>
      <c r="O347" s="1868"/>
      <c r="P347" s="1868"/>
      <c r="Q347" s="1868"/>
      <c r="R347" s="1868"/>
      <c r="S347" s="1868"/>
      <c r="T347" s="1868"/>
      <c r="U347" s="1868"/>
      <c r="V347" s="1868"/>
      <c r="W347" s="1868"/>
      <c r="X347" s="1868"/>
      <c r="Y347" s="1868"/>
      <c r="Z347" s="1868"/>
      <c r="AA347" s="1868"/>
      <c r="AB347" s="1868"/>
      <c r="AC347" s="1868"/>
      <c r="AD347" s="1868"/>
      <c r="AE347" s="1868"/>
      <c r="AF347" s="1868"/>
      <c r="AG347" s="1868"/>
      <c r="AH347" s="1868"/>
      <c r="AI347" s="1868"/>
      <c r="AJ347" s="1868"/>
      <c r="AK347" s="1868"/>
    </row>
    <row r="348" spans="2:37" s="717" customFormat="1">
      <c r="B348" s="5"/>
      <c r="E348" s="6" t="s">
        <v>117</v>
      </c>
      <c r="F348" s="1866" t="s">
        <v>1452</v>
      </c>
      <c r="G348" s="1866"/>
      <c r="H348" s="1866"/>
      <c r="I348" s="1866"/>
      <c r="J348" s="1866"/>
      <c r="K348" s="1866"/>
      <c r="L348" s="1866"/>
      <c r="M348" s="1866"/>
      <c r="N348" s="1866"/>
      <c r="O348" s="1866"/>
      <c r="P348" s="1866"/>
      <c r="Q348" s="1866"/>
      <c r="R348" s="1866"/>
      <c r="S348" s="1866"/>
      <c r="T348" s="1866"/>
      <c r="U348" s="1866"/>
      <c r="V348" s="1866"/>
      <c r="W348" s="1866"/>
      <c r="X348" s="1866"/>
      <c r="Y348" s="1866"/>
      <c r="Z348" s="1866"/>
      <c r="AA348" s="1866"/>
      <c r="AB348" s="1866"/>
      <c r="AC348" s="1866"/>
      <c r="AD348" s="1866"/>
      <c r="AE348" s="1866"/>
      <c r="AF348" s="1866"/>
      <c r="AG348" s="1866"/>
      <c r="AH348" s="1866"/>
      <c r="AI348" s="1866"/>
      <c r="AJ348" s="1866"/>
      <c r="AK348" s="1866"/>
    </row>
    <row r="349" spans="2:37" s="717" customFormat="1">
      <c r="B349" s="5"/>
      <c r="E349" s="6"/>
      <c r="F349" s="1866"/>
      <c r="G349" s="1866"/>
      <c r="H349" s="1866"/>
      <c r="I349" s="1866"/>
      <c r="J349" s="1866"/>
      <c r="K349" s="1866"/>
      <c r="L349" s="1866"/>
      <c r="M349" s="1866"/>
      <c r="N349" s="1866"/>
      <c r="O349" s="1866"/>
      <c r="P349" s="1866"/>
      <c r="Q349" s="1866"/>
      <c r="R349" s="1866"/>
      <c r="S349" s="1866"/>
      <c r="T349" s="1866"/>
      <c r="U349" s="1866"/>
      <c r="V349" s="1866"/>
      <c r="W349" s="1866"/>
      <c r="X349" s="1866"/>
      <c r="Y349" s="1866"/>
      <c r="Z349" s="1866"/>
      <c r="AA349" s="1866"/>
      <c r="AB349" s="1866"/>
      <c r="AC349" s="1866"/>
      <c r="AD349" s="1866"/>
      <c r="AE349" s="1866"/>
      <c r="AF349" s="1866"/>
      <c r="AG349" s="1866"/>
      <c r="AH349" s="1866"/>
      <c r="AI349" s="1866"/>
      <c r="AJ349" s="1866"/>
      <c r="AK349" s="1866"/>
    </row>
    <row r="350" spans="2:37" s="717" customFormat="1">
      <c r="B350" s="5"/>
      <c r="E350" s="6"/>
      <c r="F350" s="1866"/>
      <c r="G350" s="1866"/>
      <c r="H350" s="1866"/>
      <c r="I350" s="1866"/>
      <c r="J350" s="1866"/>
      <c r="K350" s="1866"/>
      <c r="L350" s="1866"/>
      <c r="M350" s="1866"/>
      <c r="N350" s="1866"/>
      <c r="O350" s="1866"/>
      <c r="P350" s="1866"/>
      <c r="Q350" s="1866"/>
      <c r="R350" s="1866"/>
      <c r="S350" s="1866"/>
      <c r="T350" s="1866"/>
      <c r="U350" s="1866"/>
      <c r="V350" s="1866"/>
      <c r="W350" s="1866"/>
      <c r="X350" s="1866"/>
      <c r="Y350" s="1866"/>
      <c r="Z350" s="1866"/>
      <c r="AA350" s="1866"/>
      <c r="AB350" s="1866"/>
      <c r="AC350" s="1866"/>
      <c r="AD350" s="1866"/>
      <c r="AE350" s="1866"/>
      <c r="AF350" s="1866"/>
      <c r="AG350" s="1866"/>
      <c r="AH350" s="1866"/>
      <c r="AI350" s="1866"/>
      <c r="AJ350" s="1866"/>
      <c r="AK350" s="1866"/>
    </row>
    <row r="351" spans="2:37" s="717" customFormat="1">
      <c r="B351" s="5"/>
      <c r="E351" s="6"/>
      <c r="F351" s="1866"/>
      <c r="G351" s="1866"/>
      <c r="H351" s="1866"/>
      <c r="I351" s="1866"/>
      <c r="J351" s="1866"/>
      <c r="K351" s="1866"/>
      <c r="L351" s="1866"/>
      <c r="M351" s="1866"/>
      <c r="N351" s="1866"/>
      <c r="O351" s="1866"/>
      <c r="P351" s="1866"/>
      <c r="Q351" s="1866"/>
      <c r="R351" s="1866"/>
      <c r="S351" s="1866"/>
      <c r="T351" s="1866"/>
      <c r="U351" s="1866"/>
      <c r="V351" s="1866"/>
      <c r="W351" s="1866"/>
      <c r="X351" s="1866"/>
      <c r="Y351" s="1866"/>
      <c r="Z351" s="1866"/>
      <c r="AA351" s="1866"/>
      <c r="AB351" s="1866"/>
      <c r="AC351" s="1866"/>
      <c r="AD351" s="1866"/>
      <c r="AE351" s="1866"/>
      <c r="AF351" s="1866"/>
      <c r="AG351" s="1866"/>
      <c r="AH351" s="1866"/>
      <c r="AI351" s="1866"/>
      <c r="AJ351" s="1866"/>
      <c r="AK351" s="1866"/>
    </row>
    <row r="352" spans="2:37" s="717" customFormat="1">
      <c r="B352" s="5"/>
      <c r="E352" s="6" t="s">
        <v>118</v>
      </c>
      <c r="F352" s="1866" t="s">
        <v>1451</v>
      </c>
      <c r="G352" s="1866"/>
      <c r="H352" s="1866"/>
      <c r="I352" s="1866"/>
      <c r="J352" s="1866"/>
      <c r="K352" s="1866"/>
      <c r="L352" s="1866"/>
      <c r="M352" s="1866"/>
      <c r="N352" s="1866"/>
      <c r="O352" s="1866"/>
      <c r="P352" s="1866"/>
      <c r="Q352" s="1866"/>
      <c r="R352" s="1866"/>
      <c r="S352" s="1866"/>
      <c r="T352" s="1866"/>
      <c r="U352" s="1866"/>
      <c r="V352" s="1866"/>
      <c r="W352" s="1866"/>
      <c r="X352" s="1866"/>
      <c r="Y352" s="1866"/>
      <c r="Z352" s="1866"/>
      <c r="AA352" s="1866"/>
      <c r="AB352" s="1866"/>
      <c r="AC352" s="1866"/>
      <c r="AD352" s="1866"/>
      <c r="AE352" s="1866"/>
      <c r="AF352" s="1866"/>
      <c r="AG352" s="1866"/>
      <c r="AH352" s="1866"/>
      <c r="AI352" s="1866"/>
      <c r="AJ352" s="1866"/>
      <c r="AK352" s="1866"/>
    </row>
    <row r="353" spans="1:38" s="717" customFormat="1">
      <c r="B353" s="5"/>
      <c r="F353" s="1866"/>
      <c r="G353" s="1866"/>
      <c r="H353" s="1866"/>
      <c r="I353" s="1866"/>
      <c r="J353" s="1866"/>
      <c r="K353" s="1866"/>
      <c r="L353" s="1866"/>
      <c r="M353" s="1866"/>
      <c r="N353" s="1866"/>
      <c r="O353" s="1866"/>
      <c r="P353" s="1866"/>
      <c r="Q353" s="1866"/>
      <c r="R353" s="1866"/>
      <c r="S353" s="1866"/>
      <c r="T353" s="1866"/>
      <c r="U353" s="1866"/>
      <c r="V353" s="1866"/>
      <c r="W353" s="1866"/>
      <c r="X353" s="1866"/>
      <c r="Y353" s="1866"/>
      <c r="Z353" s="1866"/>
      <c r="AA353" s="1866"/>
      <c r="AB353" s="1866"/>
      <c r="AC353" s="1866"/>
      <c r="AD353" s="1866"/>
      <c r="AE353" s="1866"/>
      <c r="AF353" s="1866"/>
      <c r="AG353" s="1866"/>
      <c r="AH353" s="1866"/>
      <c r="AI353" s="1866"/>
      <c r="AJ353" s="1866"/>
      <c r="AK353" s="1866"/>
    </row>
    <row r="354" spans="1:38" s="717" customFormat="1">
      <c r="B354" s="5"/>
      <c r="F354" s="1866"/>
      <c r="G354" s="1866"/>
      <c r="H354" s="1866"/>
      <c r="I354" s="1866"/>
      <c r="J354" s="1866"/>
      <c r="K354" s="1866"/>
      <c r="L354" s="1866"/>
      <c r="M354" s="1866"/>
      <c r="N354" s="1866"/>
      <c r="O354" s="1866"/>
      <c r="P354" s="1866"/>
      <c r="Q354" s="1866"/>
      <c r="R354" s="1866"/>
      <c r="S354" s="1866"/>
      <c r="T354" s="1866"/>
      <c r="U354" s="1866"/>
      <c r="V354" s="1866"/>
      <c r="W354" s="1866"/>
      <c r="X354" s="1866"/>
      <c r="Y354" s="1866"/>
      <c r="Z354" s="1866"/>
      <c r="AA354" s="1866"/>
      <c r="AB354" s="1866"/>
      <c r="AC354" s="1866"/>
      <c r="AD354" s="1866"/>
      <c r="AE354" s="1866"/>
      <c r="AF354" s="1866"/>
      <c r="AG354" s="1866"/>
      <c r="AH354" s="1866"/>
      <c r="AI354" s="1866"/>
      <c r="AJ354" s="1866"/>
      <c r="AK354" s="1866"/>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9" t="s">
        <v>1441</v>
      </c>
      <c r="F367" s="1869"/>
      <c r="G367" s="1869"/>
      <c r="H367" s="1869"/>
      <c r="I367" s="1869"/>
      <c r="J367" s="1869"/>
      <c r="K367" s="1869"/>
      <c r="L367" s="1869"/>
      <c r="M367" s="1869"/>
      <c r="N367" s="1869"/>
      <c r="O367" s="1869"/>
      <c r="P367" s="1869"/>
      <c r="Q367" s="1869"/>
      <c r="R367" s="1869"/>
      <c r="S367" s="1869"/>
      <c r="T367" s="1869"/>
      <c r="U367" s="1869"/>
      <c r="V367" s="1869"/>
      <c r="W367" s="1869"/>
      <c r="X367" s="1869"/>
      <c r="Y367" s="1869"/>
      <c r="Z367" s="1869"/>
      <c r="AA367" s="1869"/>
      <c r="AB367" s="1869"/>
      <c r="AC367" s="1869"/>
      <c r="AD367" s="1869"/>
      <c r="AE367" s="1869"/>
      <c r="AF367" s="1869"/>
      <c r="AG367" s="1869"/>
      <c r="AH367" s="1869"/>
      <c r="AI367" s="1869"/>
      <c r="AJ367" s="1869"/>
      <c r="AK367" s="1869"/>
      <c r="AL367" s="1869"/>
    </row>
    <row r="368" spans="1:38" s="717" customFormat="1">
      <c r="B368" s="5"/>
      <c r="E368" s="1869"/>
      <c r="F368" s="1869"/>
      <c r="G368" s="1869"/>
      <c r="H368" s="1869"/>
      <c r="I368" s="1869"/>
      <c r="J368" s="1869"/>
      <c r="K368" s="1869"/>
      <c r="L368" s="1869"/>
      <c r="M368" s="1869"/>
      <c r="N368" s="1869"/>
      <c r="O368" s="1869"/>
      <c r="P368" s="1869"/>
      <c r="Q368" s="1869"/>
      <c r="R368" s="1869"/>
      <c r="S368" s="1869"/>
      <c r="T368" s="1869"/>
      <c r="U368" s="1869"/>
      <c r="V368" s="1869"/>
      <c r="W368" s="1869"/>
      <c r="X368" s="1869"/>
      <c r="Y368" s="1869"/>
      <c r="Z368" s="1869"/>
      <c r="AA368" s="1869"/>
      <c r="AB368" s="1869"/>
      <c r="AC368" s="1869"/>
      <c r="AD368" s="1869"/>
      <c r="AE368" s="1869"/>
      <c r="AF368" s="1869"/>
      <c r="AG368" s="1869"/>
      <c r="AH368" s="1869"/>
      <c r="AI368" s="1869"/>
      <c r="AJ368" s="1869"/>
      <c r="AK368" s="1869"/>
      <c r="AL368" s="1869"/>
    </row>
    <row r="369" spans="1:38" s="1871" customFormat="1">
      <c r="A369"/>
      <c r="B369" s="5"/>
      <c r="C369"/>
      <c r="D369"/>
      <c r="E369" s="1870" t="s">
        <v>1490</v>
      </c>
    </row>
    <row r="370" spans="1:38" s="1871"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7" t="s">
        <v>1502</v>
      </c>
      <c r="G388" s="1867"/>
      <c r="H388" s="1867"/>
      <c r="I388" s="1867"/>
      <c r="J388" s="1867"/>
      <c r="K388" s="1867"/>
      <c r="L388" s="1867"/>
      <c r="M388" s="1867"/>
      <c r="N388" s="1867"/>
      <c r="O388" s="1867"/>
      <c r="P388" s="1867"/>
      <c r="Q388" s="1867"/>
      <c r="R388" s="1867"/>
      <c r="S388" s="1867"/>
      <c r="T388" s="1867"/>
      <c r="U388" s="1867"/>
      <c r="V388" s="1867"/>
      <c r="W388" s="1867"/>
      <c r="X388" s="1867"/>
      <c r="Y388" s="1867"/>
      <c r="Z388" s="1867"/>
      <c r="AA388" s="1867"/>
      <c r="AB388" s="1867"/>
      <c r="AC388" s="1867"/>
      <c r="AD388" s="1867"/>
      <c r="AE388" s="1867"/>
      <c r="AF388" s="1867"/>
      <c r="AG388" s="1867"/>
      <c r="AH388" s="1867"/>
      <c r="AI388" s="1867"/>
      <c r="AJ388" s="1867"/>
      <c r="AK388" s="1867"/>
      <c r="AL388" s="677"/>
    </row>
    <row r="389" spans="1:38" s="717" customFormat="1">
      <c r="A389" s="677"/>
      <c r="B389" s="183"/>
      <c r="C389" s="677"/>
      <c r="D389" s="677"/>
      <c r="E389" s="678"/>
      <c r="F389" s="1867"/>
      <c r="G389" s="1867"/>
      <c r="H389" s="1867"/>
      <c r="I389" s="1867"/>
      <c r="J389" s="1867"/>
      <c r="K389" s="1867"/>
      <c r="L389" s="1867"/>
      <c r="M389" s="1867"/>
      <c r="N389" s="1867"/>
      <c r="O389" s="1867"/>
      <c r="P389" s="1867"/>
      <c r="Q389" s="1867"/>
      <c r="R389" s="1867"/>
      <c r="S389" s="1867"/>
      <c r="T389" s="1867"/>
      <c r="U389" s="1867"/>
      <c r="V389" s="1867"/>
      <c r="W389" s="1867"/>
      <c r="X389" s="1867"/>
      <c r="Y389" s="1867"/>
      <c r="Z389" s="1867"/>
      <c r="AA389" s="1867"/>
      <c r="AB389" s="1867"/>
      <c r="AC389" s="1867"/>
      <c r="AD389" s="1867"/>
      <c r="AE389" s="1867"/>
      <c r="AF389" s="1867"/>
      <c r="AG389" s="1867"/>
      <c r="AH389" s="1867"/>
      <c r="AI389" s="1867"/>
      <c r="AJ389" s="1867"/>
      <c r="AK389" s="1867"/>
      <c r="AL389" s="677"/>
    </row>
    <row r="390" spans="1:38" s="717" customFormat="1">
      <c r="A390" s="677"/>
      <c r="B390" s="183"/>
      <c r="C390" s="677"/>
      <c r="D390" s="677"/>
      <c r="E390" s="678"/>
      <c r="F390" s="1867"/>
      <c r="G390" s="1867"/>
      <c r="H390" s="1867"/>
      <c r="I390" s="1867"/>
      <c r="J390" s="1867"/>
      <c r="K390" s="1867"/>
      <c r="L390" s="1867"/>
      <c r="M390" s="1867"/>
      <c r="N390" s="1867"/>
      <c r="O390" s="1867"/>
      <c r="P390" s="1867"/>
      <c r="Q390" s="1867"/>
      <c r="R390" s="1867"/>
      <c r="S390" s="1867"/>
      <c r="T390" s="1867"/>
      <c r="U390" s="1867"/>
      <c r="V390" s="1867"/>
      <c r="W390" s="1867"/>
      <c r="X390" s="1867"/>
      <c r="Y390" s="1867"/>
      <c r="Z390" s="1867"/>
      <c r="AA390" s="1867"/>
      <c r="AB390" s="1867"/>
      <c r="AC390" s="1867"/>
      <c r="AD390" s="1867"/>
      <c r="AE390" s="1867"/>
      <c r="AF390" s="1867"/>
      <c r="AG390" s="1867"/>
      <c r="AH390" s="1867"/>
      <c r="AI390" s="1867"/>
      <c r="AJ390" s="1867"/>
      <c r="AK390" s="1867"/>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59" t="s">
        <v>1879</v>
      </c>
      <c r="B1" s="3259"/>
      <c r="C1" s="3259"/>
      <c r="D1" s="3259"/>
      <c r="E1" s="3259"/>
      <c r="F1" s="3259"/>
      <c r="G1" s="3259"/>
      <c r="H1" s="3259"/>
      <c r="I1" s="3259"/>
    </row>
    <row r="2" spans="1:11" ht="15">
      <c r="A2" s="1336"/>
      <c r="B2" s="1336"/>
      <c r="E2" s="1337"/>
      <c r="I2" s="1339"/>
      <c r="K2" s="1340"/>
    </row>
    <row r="3" spans="1:11">
      <c r="A3" s="1341" t="s">
        <v>1586</v>
      </c>
      <c r="B3" s="1341"/>
      <c r="C3" s="1334" t="s">
        <v>2182</v>
      </c>
      <c r="E3" s="1824">
        <f>ROUND(Application!AM564+'Basis &amp; Credits'!AB77,0)</f>
        <v>62500000</v>
      </c>
      <c r="F3" s="1342"/>
      <c r="K3" s="1413"/>
    </row>
    <row r="4" spans="1:11" s="1343" customFormat="1" ht="15" customHeight="1">
      <c r="C4" s="1343" t="s">
        <v>1880</v>
      </c>
      <c r="E4" s="1419">
        <f>Application!AD1037</f>
        <v>0.3</v>
      </c>
      <c r="F4" s="1344"/>
      <c r="H4" s="1345"/>
      <c r="K4" s="1630"/>
    </row>
    <row r="5" spans="1:11" s="1346" customFormat="1" ht="15" customHeight="1">
      <c r="A5" s="3260"/>
      <c r="B5" s="3260"/>
      <c r="D5" s="1346" t="s">
        <v>2183</v>
      </c>
      <c r="E5" s="1347">
        <f>IF('CDLAC Points System'!C274="Yes",0.2,0)</f>
        <v>0</v>
      </c>
      <c r="F5" s="1344"/>
      <c r="H5" s="1345"/>
      <c r="K5" s="1631"/>
    </row>
    <row r="6" spans="1:11" s="1346" customFormat="1" ht="15" customHeight="1">
      <c r="A6" s="1494"/>
      <c r="B6" s="1494"/>
      <c r="D6" s="1346" t="s">
        <v>2184</v>
      </c>
      <c r="E6" s="1347" t="str">
        <f>IF(AND((Application!W464&gt;=(0.5*Application!G753)),Application!D210="Special Needs",(OR(Application!M354="Yes",Application!M355="Yes"))),0.2," ")</f>
        <v xml:space="preserve"> </v>
      </c>
      <c r="F6" s="1344"/>
      <c r="H6" s="1345"/>
      <c r="K6" s="1631"/>
    </row>
    <row r="7" spans="1:11" ht="15">
      <c r="A7" s="1336"/>
      <c r="B7" s="1336"/>
      <c r="C7" s="1334" t="s">
        <v>2186</v>
      </c>
      <c r="E7" s="1417">
        <f>E3-(E3*(E4+(MAX(E5,E6))))</f>
        <v>43750000</v>
      </c>
      <c r="F7" s="1342"/>
      <c r="I7" s="1348"/>
      <c r="K7" s="1632"/>
    </row>
    <row r="8" spans="1:11" ht="15">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ht="15">
      <c r="A11" s="1336"/>
      <c r="B11" s="1336"/>
      <c r="C11" s="1360" t="s">
        <v>1887</v>
      </c>
      <c r="D11" s="1360"/>
      <c r="E11" s="1414">
        <f>Application!BN635+Application!BN644+Application!CS658</f>
        <v>0</v>
      </c>
      <c r="G11" s="1361">
        <v>0.9</v>
      </c>
      <c r="H11" s="1362"/>
      <c r="I11" s="1363">
        <f>E11*G11</f>
        <v>0</v>
      </c>
      <c r="J11" s="1354"/>
      <c r="K11" s="1358"/>
    </row>
    <row r="12" spans="1:11" ht="15">
      <c r="A12" s="1336"/>
      <c r="B12" s="1336"/>
      <c r="C12" s="1354" t="s">
        <v>1888</v>
      </c>
      <c r="D12" s="1354"/>
      <c r="E12" s="1414">
        <f>Application!BS635+Application!BS644+Application!CX658</f>
        <v>70</v>
      </c>
      <c r="G12" s="1361">
        <v>1</v>
      </c>
      <c r="H12" s="1362"/>
      <c r="I12" s="1363">
        <f>E12*G12</f>
        <v>70</v>
      </c>
      <c r="J12" s="1354"/>
    </row>
    <row r="13" spans="1:11" ht="15">
      <c r="A13" s="1336"/>
      <c r="B13" s="1336"/>
      <c r="C13" s="1354" t="s">
        <v>1889</v>
      </c>
      <c r="D13" s="1354"/>
      <c r="E13" s="1414">
        <f>Application!BX635+Application!BX644+Application!DC658</f>
        <v>116</v>
      </c>
      <c r="G13" s="1361">
        <v>1.25</v>
      </c>
      <c r="H13" s="1362"/>
      <c r="I13" s="1363">
        <f>E13*G13</f>
        <v>145</v>
      </c>
      <c r="J13" s="1354"/>
    </row>
    <row r="14" spans="1:11" ht="15">
      <c r="A14" s="1336"/>
      <c r="B14" s="1336"/>
      <c r="C14" s="1354" t="s">
        <v>1890</v>
      </c>
      <c r="D14" s="1354"/>
      <c r="E14" s="1414">
        <f>Application!CC635+Application!CC644+Application!DH658</f>
        <v>63</v>
      </c>
      <c r="G14" s="1361">
        <f>1.5+0.25*0</f>
        <v>1.5</v>
      </c>
      <c r="H14" s="1362"/>
      <c r="I14" s="1363">
        <f>IF(E14/E16&lt;=30%,E14*G14,TRUNC(0.3*E16)*G14+(E14-TRUNC(0.3*E16))*G13)</f>
        <v>94.5</v>
      </c>
      <c r="J14" s="1354"/>
    </row>
    <row r="15" spans="1:11" ht="15">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249</v>
      </c>
      <c r="G16" s="1337"/>
      <c r="I16" s="1418">
        <f>SUM(I11:I15)</f>
        <v>309.5</v>
      </c>
    </row>
    <row r="17" spans="1:9" ht="15">
      <c r="A17" s="1336"/>
      <c r="B17" s="1336"/>
      <c r="E17" s="1337"/>
      <c r="I17" s="1365"/>
    </row>
    <row r="18" spans="1:9" ht="15">
      <c r="A18" s="1341" t="s">
        <v>1591</v>
      </c>
      <c r="B18" s="1341"/>
      <c r="C18" s="1366" t="s">
        <v>1892</v>
      </c>
      <c r="D18" s="1338"/>
      <c r="E18" s="1367">
        <f>E7/I16</f>
        <v>141357.02746365106</v>
      </c>
      <c r="F18" s="1368"/>
      <c r="G18" s="1369"/>
      <c r="H18" s="1370"/>
      <c r="I18" s="1365"/>
    </row>
    <row r="21" spans="1:9" ht="14.25" customHeight="1">
      <c r="A21" s="3261" t="s">
        <v>2181</v>
      </c>
      <c r="B21" s="3261"/>
      <c r="C21" s="3261"/>
      <c r="D21" s="3261"/>
      <c r="E21" s="3261"/>
      <c r="F21" s="3261"/>
      <c r="G21" s="3261"/>
      <c r="H21" s="3261"/>
      <c r="I21" s="3261"/>
    </row>
    <row r="22" spans="1:9">
      <c r="A22" s="3261"/>
      <c r="B22" s="3261"/>
      <c r="C22" s="3261"/>
      <c r="D22" s="3261"/>
      <c r="E22" s="3261"/>
      <c r="F22" s="3261"/>
      <c r="G22" s="3261"/>
      <c r="H22" s="3261"/>
      <c r="I22" s="3261"/>
    </row>
    <row r="23" spans="1:9">
      <c r="A23" s="3261"/>
      <c r="B23" s="3261"/>
      <c r="C23" s="3261"/>
      <c r="D23" s="3261"/>
      <c r="E23" s="3261"/>
      <c r="F23" s="3261"/>
      <c r="G23" s="3261"/>
      <c r="H23" s="3261"/>
      <c r="I23" s="3261"/>
    </row>
    <row r="24" spans="1:9">
      <c r="A24" s="3261"/>
      <c r="B24" s="3261"/>
      <c r="C24" s="3261"/>
      <c r="D24" s="3261"/>
      <c r="E24" s="3261"/>
      <c r="F24" s="3261"/>
      <c r="G24" s="3261"/>
      <c r="H24" s="3261"/>
      <c r="I24" s="3261"/>
    </row>
    <row r="26" spans="1:9" ht="20.100000000000001"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104"/>
  <sheetViews>
    <sheetView showGridLines="0" showZeros="0" view="pageBreakPreview" zoomScaleNormal="100" zoomScaleSheetLayoutView="100" workbookViewId="0">
      <selection activeCell="AB54" sqref="AB54:AF54"/>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18" t="s">
        <v>1523</v>
      </c>
      <c r="B1" s="3318"/>
      <c r="C1" s="3318"/>
      <c r="D1" s="3318"/>
      <c r="E1" s="3318"/>
      <c r="F1" s="3318"/>
      <c r="G1" s="3318"/>
      <c r="H1" s="3318"/>
      <c r="I1" s="3318"/>
      <c r="J1" s="3318"/>
      <c r="K1" s="3318"/>
      <c r="L1" s="3318"/>
      <c r="M1" s="3318"/>
      <c r="N1" s="3318"/>
      <c r="O1" s="3318"/>
      <c r="P1" s="3318"/>
      <c r="Q1" s="3318"/>
      <c r="R1" s="3318"/>
      <c r="S1" s="3318"/>
      <c r="T1" s="3318"/>
      <c r="U1" s="3318"/>
      <c r="V1" s="3318"/>
      <c r="W1" s="3318"/>
      <c r="X1" s="3318"/>
      <c r="Y1" s="3318"/>
      <c r="Z1" s="3318"/>
      <c r="AA1" s="3318"/>
      <c r="AB1" s="3318"/>
      <c r="AC1" s="3318"/>
      <c r="AD1" s="3318"/>
      <c r="AE1" s="3318"/>
      <c r="AF1" s="3318"/>
      <c r="AG1" s="3318"/>
      <c r="AH1" s="3318"/>
      <c r="AI1" s="3318"/>
      <c r="AJ1" s="3318"/>
      <c r="AK1" s="3318"/>
      <c r="AL1" s="3318"/>
      <c r="AM1" s="3318"/>
      <c r="AN1" s="3318"/>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19"/>
      <c r="B2" s="3319"/>
      <c r="C2" s="3319"/>
      <c r="D2" s="3319"/>
      <c r="E2" s="3319"/>
      <c r="F2" s="3319"/>
      <c r="G2" s="3319"/>
      <c r="H2" s="3319"/>
      <c r="I2" s="3319"/>
      <c r="J2" s="3319"/>
      <c r="K2" s="3319"/>
      <c r="L2" s="3319"/>
      <c r="M2" s="3319"/>
      <c r="N2" s="3319"/>
      <c r="O2" s="3319"/>
      <c r="P2" s="3319"/>
      <c r="Q2" s="3319"/>
      <c r="R2" s="3319"/>
      <c r="S2" s="3319"/>
      <c r="T2" s="3319"/>
      <c r="U2" s="3319"/>
      <c r="V2" s="3319"/>
      <c r="W2" s="3319"/>
      <c r="X2" s="3319"/>
      <c r="Y2" s="3319"/>
      <c r="Z2" s="3319"/>
      <c r="AA2" s="3319"/>
      <c r="AB2" s="3319"/>
      <c r="AC2" s="3319"/>
      <c r="AD2" s="3319"/>
      <c r="AE2" s="3319"/>
      <c r="AF2" s="3319"/>
      <c r="AG2" s="3319"/>
      <c r="AH2" s="3319"/>
      <c r="AI2" s="3319"/>
      <c r="AJ2" s="3319"/>
      <c r="AK2" s="3319"/>
      <c r="AL2" s="3319"/>
      <c r="AM2" s="3319"/>
      <c r="AN2" s="3319"/>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293" t="str">
        <f xml:space="preserve"> IF(T25=100%,'Sources and Basis Breakdown'!G2,'Sources and Basis Breakdown'!F2)</f>
        <v>30% PVC for New Const/
Rehabilitation
DDA/QCT
Building(s)</v>
      </c>
      <c r="U7" s="3293"/>
      <c r="V7" s="3293"/>
      <c r="W7" s="3293"/>
      <c r="X7" s="3293"/>
      <c r="Y7" s="3293" t="str">
        <f>IF(T25=100%," ",'Sources and Basis Breakdown'!G2)</f>
        <v>30% PVC for New Const/
Rehabilitation
NON-DDA/
NON-QCT Building(s)</v>
      </c>
      <c r="Z7" s="3293"/>
      <c r="AA7" s="3293"/>
      <c r="AB7" s="3293"/>
      <c r="AC7" s="3293"/>
      <c r="AD7" s="3293" t="str">
        <f xml:space="preserve"> IF(T25=100%, 'Sources and Basis Breakdown'!J2,'Sources and Basis Breakdown'!I2)</f>
        <v>30% PVC for Acquisition
DDA/QCT Building(s)</v>
      </c>
      <c r="AE7" s="3293"/>
      <c r="AF7" s="3293"/>
      <c r="AG7" s="3293"/>
      <c r="AH7" s="3293"/>
      <c r="AI7" s="3293" t="str">
        <f>IF(T25=100%," ",'Sources and Basis Breakdown'!J2)</f>
        <v>30% PVC for Acquisition
NON-DDA/
NON-QCT Building(s)</v>
      </c>
      <c r="AJ7" s="3293"/>
      <c r="AK7" s="3293"/>
      <c r="AL7" s="3293"/>
      <c r="AM7" s="3293"/>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3"/>
      <c r="U8" s="3293"/>
      <c r="V8" s="3293"/>
      <c r="W8" s="3293"/>
      <c r="X8" s="3293"/>
      <c r="Y8" s="3293"/>
      <c r="Z8" s="3293"/>
      <c r="AA8" s="3293"/>
      <c r="AB8" s="3293"/>
      <c r="AC8" s="3293"/>
      <c r="AD8" s="3293"/>
      <c r="AE8" s="3293"/>
      <c r="AF8" s="3293"/>
      <c r="AG8" s="3293"/>
      <c r="AH8" s="3293"/>
      <c r="AI8" s="3293"/>
      <c r="AJ8" s="3293"/>
      <c r="AK8" s="3293"/>
      <c r="AL8" s="3293"/>
      <c r="AM8" s="3293"/>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93"/>
      <c r="U9" s="3293"/>
      <c r="V9" s="3293"/>
      <c r="W9" s="3293"/>
      <c r="X9" s="3293"/>
      <c r="Y9" s="3293"/>
      <c r="Z9" s="3293"/>
      <c r="AA9" s="3293"/>
      <c r="AB9" s="3293"/>
      <c r="AC9" s="3293"/>
      <c r="AD9" s="3293"/>
      <c r="AE9" s="3293"/>
      <c r="AF9" s="3293"/>
      <c r="AG9" s="3293"/>
      <c r="AH9" s="3293"/>
      <c r="AI9" s="3293"/>
      <c r="AJ9" s="3293"/>
      <c r="AK9" s="3293"/>
      <c r="AL9" s="3293"/>
      <c r="AM9" s="3293"/>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293"/>
      <c r="U10" s="3293"/>
      <c r="V10" s="3293"/>
      <c r="W10" s="3293"/>
      <c r="X10" s="3293"/>
      <c r="Y10" s="3293"/>
      <c r="Z10" s="3293"/>
      <c r="AA10" s="3293"/>
      <c r="AB10" s="3293"/>
      <c r="AC10" s="3293"/>
      <c r="AD10" s="3293"/>
      <c r="AE10" s="3293"/>
      <c r="AF10" s="3293"/>
      <c r="AG10" s="3293"/>
      <c r="AH10" s="3293"/>
      <c r="AI10" s="3293"/>
      <c r="AJ10" s="3293"/>
      <c r="AK10" s="3293"/>
      <c r="AL10" s="3293"/>
      <c r="AM10" s="3293"/>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5" t="s">
        <v>393</v>
      </c>
      <c r="C11" s="3276"/>
      <c r="D11" s="3276"/>
      <c r="E11" s="3276"/>
      <c r="F11" s="3276"/>
      <c r="G11" s="3276"/>
      <c r="H11" s="3276"/>
      <c r="I11" s="3276"/>
      <c r="J11" s="3276"/>
      <c r="K11" s="3276"/>
      <c r="L11" s="3276"/>
      <c r="M11" s="3276"/>
      <c r="N11" s="3276"/>
      <c r="O11" s="3276"/>
      <c r="P11" s="3276"/>
      <c r="Q11" s="3276"/>
      <c r="R11" s="3276"/>
      <c r="S11" s="3277"/>
      <c r="T11" s="3320">
        <f>IF('Sources and Basis Breakdown'!F107=0,'Sources and Basis Breakdown'!E107,'Sources and Basis Breakdown'!F107)</f>
        <v>106037953</v>
      </c>
      <c r="U11" s="3321"/>
      <c r="V11" s="3321"/>
      <c r="W11" s="3321"/>
      <c r="X11" s="3321"/>
      <c r="Y11" s="3320">
        <f>IF(Y7=" ",0,IF('Sources and Basis Breakdown'!G107+'Sources and Basis Breakdown'!F107='Sources and Basis Breakdown'!E107,'Sources and Basis Breakdown'!G107,0))</f>
        <v>0</v>
      </c>
      <c r="Z11" s="3321"/>
      <c r="AA11" s="3321"/>
      <c r="AB11" s="3321"/>
      <c r="AC11" s="3321"/>
      <c r="AD11" s="3321">
        <f>IF('Sources and Basis Breakdown'!I107=0,'Sources and Basis Breakdown'!H107,'Sources and Basis Breakdown'!I107)</f>
        <v>0</v>
      </c>
      <c r="AE11" s="3321"/>
      <c r="AF11" s="3321"/>
      <c r="AG11" s="3321"/>
      <c r="AH11" s="3321"/>
      <c r="AI11" s="3321">
        <f>IF(Y7=" ",0,IF('Sources and Basis Breakdown'!I107+'Sources and Basis Breakdown'!J107='Sources and Basis Breakdown'!H107,'Sources and Basis Breakdown'!J107,0))</f>
        <v>0</v>
      </c>
      <c r="AJ11" s="3321"/>
      <c r="AK11" s="3321"/>
      <c r="AL11" s="3321"/>
      <c r="AM11" s="3321"/>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24" t="s">
        <v>530</v>
      </c>
      <c r="C12" s="3325"/>
      <c r="D12" s="3325"/>
      <c r="E12" s="3325"/>
      <c r="F12" s="3325"/>
      <c r="G12" s="3325"/>
      <c r="H12" s="3325"/>
      <c r="I12" s="3325"/>
      <c r="J12" s="3325"/>
      <c r="K12" s="3325"/>
      <c r="L12" s="3325"/>
      <c r="M12" s="3325"/>
      <c r="N12" s="3325"/>
      <c r="O12" s="3325"/>
      <c r="P12" s="3325"/>
      <c r="Q12" s="3325"/>
      <c r="R12" s="3325"/>
      <c r="S12" s="3326"/>
      <c r="T12" s="3313"/>
      <c r="U12" s="3314"/>
      <c r="V12" s="3314"/>
      <c r="W12" s="3314"/>
      <c r="X12" s="3315"/>
      <c r="Y12" s="3313"/>
      <c r="Z12" s="3314"/>
      <c r="AA12" s="3314"/>
      <c r="AB12" s="3314"/>
      <c r="AC12" s="3315"/>
      <c r="AD12" s="3313"/>
      <c r="AE12" s="3314"/>
      <c r="AF12" s="3314"/>
      <c r="AG12" s="3314"/>
      <c r="AH12" s="3315"/>
      <c r="AI12" s="3313"/>
      <c r="AJ12" s="3314"/>
      <c r="AK12" s="3314"/>
      <c r="AL12" s="3314"/>
      <c r="AM12" s="3315"/>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27" t="s">
        <v>531</v>
      </c>
      <c r="D13" s="3327"/>
      <c r="E13" s="3327"/>
      <c r="F13" s="3327"/>
      <c r="G13" s="3327"/>
      <c r="H13" s="3327"/>
      <c r="I13" s="3327"/>
      <c r="J13" s="3327"/>
      <c r="K13" s="3327"/>
      <c r="L13" s="3327"/>
      <c r="M13" s="3327"/>
      <c r="N13" s="3327"/>
      <c r="O13" s="3327"/>
      <c r="P13" s="3327"/>
      <c r="Q13" s="3327"/>
      <c r="R13" s="3327"/>
      <c r="S13" s="3328"/>
      <c r="T13" s="3316"/>
      <c r="U13" s="3317"/>
      <c r="V13" s="3317"/>
      <c r="W13" s="3317"/>
      <c r="X13" s="3317"/>
      <c r="Y13" s="3316"/>
      <c r="Z13" s="3317"/>
      <c r="AA13" s="3317"/>
      <c r="AB13" s="3317"/>
      <c r="AC13" s="3317"/>
      <c r="AD13" s="3317"/>
      <c r="AE13" s="3317"/>
      <c r="AF13" s="3317"/>
      <c r="AG13" s="3317"/>
      <c r="AH13" s="3317"/>
      <c r="AI13" s="3317"/>
      <c r="AJ13" s="3317"/>
      <c r="AK13" s="3317"/>
      <c r="AL13" s="3317"/>
      <c r="AM13" s="3317"/>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27" t="s">
        <v>532</v>
      </c>
      <c r="D14" s="3327"/>
      <c r="E14" s="3327"/>
      <c r="F14" s="3327"/>
      <c r="G14" s="3327"/>
      <c r="H14" s="3327"/>
      <c r="I14" s="3327"/>
      <c r="J14" s="3327"/>
      <c r="K14" s="3327"/>
      <c r="L14" s="3327"/>
      <c r="M14" s="3327"/>
      <c r="N14" s="3327"/>
      <c r="O14" s="3327"/>
      <c r="P14" s="3327"/>
      <c r="Q14" s="3327"/>
      <c r="R14" s="3327"/>
      <c r="S14" s="3328"/>
      <c r="T14" s="3302"/>
      <c r="U14" s="3303"/>
      <c r="V14" s="3303"/>
      <c r="W14" s="3303"/>
      <c r="X14" s="3303"/>
      <c r="Y14" s="3302"/>
      <c r="Z14" s="3303"/>
      <c r="AA14" s="3303"/>
      <c r="AB14" s="3303"/>
      <c r="AC14" s="3303"/>
      <c r="AD14" s="3303"/>
      <c r="AE14" s="3303"/>
      <c r="AF14" s="3303"/>
      <c r="AG14" s="3303"/>
      <c r="AH14" s="3303"/>
      <c r="AI14" s="3303"/>
      <c r="AJ14" s="3303"/>
      <c r="AK14" s="3303"/>
      <c r="AL14" s="3303"/>
      <c r="AM14" s="3303"/>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27" t="s">
        <v>533</v>
      </c>
      <c r="D15" s="3327"/>
      <c r="E15" s="3327"/>
      <c r="F15" s="3327"/>
      <c r="G15" s="3327"/>
      <c r="H15" s="3327"/>
      <c r="I15" s="3327"/>
      <c r="J15" s="3327"/>
      <c r="K15" s="3327"/>
      <c r="L15" s="3327"/>
      <c r="M15" s="3327"/>
      <c r="N15" s="3327"/>
      <c r="O15" s="3327"/>
      <c r="P15" s="3327"/>
      <c r="Q15" s="3327"/>
      <c r="R15" s="3327"/>
      <c r="S15" s="3328"/>
      <c r="T15" s="3302"/>
      <c r="U15" s="3303"/>
      <c r="V15" s="3303"/>
      <c r="W15" s="3303"/>
      <c r="X15" s="3303"/>
      <c r="Y15" s="3302"/>
      <c r="Z15" s="3303"/>
      <c r="AA15" s="3303"/>
      <c r="AB15" s="3303"/>
      <c r="AC15" s="3303"/>
      <c r="AD15" s="3303"/>
      <c r="AE15" s="3303"/>
      <c r="AF15" s="3303"/>
      <c r="AG15" s="3303"/>
      <c r="AH15" s="3303"/>
      <c r="AI15" s="3303"/>
      <c r="AJ15" s="3303"/>
      <c r="AK15" s="3303"/>
      <c r="AL15" s="3303"/>
      <c r="AM15" s="3303"/>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27" t="s">
        <v>864</v>
      </c>
      <c r="D16" s="3327"/>
      <c r="E16" s="3327"/>
      <c r="F16" s="3327"/>
      <c r="G16" s="3327"/>
      <c r="H16" s="3327"/>
      <c r="I16" s="3327"/>
      <c r="J16" s="3327"/>
      <c r="K16" s="3327"/>
      <c r="L16" s="3327"/>
      <c r="M16" s="3327"/>
      <c r="N16" s="3327"/>
      <c r="O16" s="3327"/>
      <c r="P16" s="3327"/>
      <c r="Q16" s="3327"/>
      <c r="R16" s="3327"/>
      <c r="S16" s="3328"/>
      <c r="T16" s="3302"/>
      <c r="U16" s="3303"/>
      <c r="V16" s="3303"/>
      <c r="W16" s="3303"/>
      <c r="X16" s="3303"/>
      <c r="Y16" s="3302"/>
      <c r="Z16" s="3303"/>
      <c r="AA16" s="3303"/>
      <c r="AB16" s="3303"/>
      <c r="AC16" s="3303"/>
      <c r="AD16" s="3303"/>
      <c r="AE16" s="3303"/>
      <c r="AF16" s="3303"/>
      <c r="AG16" s="3303"/>
      <c r="AH16" s="3303"/>
      <c r="AI16" s="3303"/>
      <c r="AJ16" s="3303"/>
      <c r="AK16" s="3303"/>
      <c r="AL16" s="3303"/>
      <c r="AM16" s="3303"/>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27" t="s">
        <v>534</v>
      </c>
      <c r="D17" s="3327"/>
      <c r="E17" s="3327"/>
      <c r="F17" s="3327"/>
      <c r="G17" s="3327"/>
      <c r="H17" s="3327"/>
      <c r="I17" s="3327"/>
      <c r="J17" s="3327"/>
      <c r="K17" s="3327"/>
      <c r="L17" s="3327"/>
      <c r="M17" s="3327"/>
      <c r="N17" s="3327"/>
      <c r="O17" s="3327"/>
      <c r="P17" s="3327"/>
      <c r="Q17" s="3327"/>
      <c r="R17" s="3327"/>
      <c r="S17" s="3328"/>
      <c r="T17" s="3302"/>
      <c r="U17" s="3303"/>
      <c r="V17" s="3303"/>
      <c r="W17" s="3303"/>
      <c r="X17" s="3303"/>
      <c r="Y17" s="3302"/>
      <c r="Z17" s="3303"/>
      <c r="AA17" s="3303"/>
      <c r="AB17" s="3303"/>
      <c r="AC17" s="3303"/>
      <c r="AD17" s="3303"/>
      <c r="AE17" s="3303"/>
      <c r="AF17" s="3303"/>
      <c r="AG17" s="3303"/>
      <c r="AH17" s="3303"/>
      <c r="AI17" s="3303"/>
      <c r="AJ17" s="3303"/>
      <c r="AK17" s="3303"/>
      <c r="AL17" s="3303"/>
      <c r="AM17" s="3303"/>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22" t="s">
        <v>1039</v>
      </c>
      <c r="D18" s="3322"/>
      <c r="E18" s="3322"/>
      <c r="F18" s="3322"/>
      <c r="G18" s="3322"/>
      <c r="H18" s="3322"/>
      <c r="I18" s="3322"/>
      <c r="J18" s="3322"/>
      <c r="K18" s="3322"/>
      <c r="L18" s="3322"/>
      <c r="M18" s="3322"/>
      <c r="N18" s="3322"/>
      <c r="O18" s="3322"/>
      <c r="P18" s="3322"/>
      <c r="Q18" s="3322"/>
      <c r="R18" s="3322"/>
      <c r="S18" s="3323"/>
      <c r="T18" s="3302"/>
      <c r="U18" s="3303"/>
      <c r="V18" s="3303"/>
      <c r="W18" s="3303"/>
      <c r="X18" s="3303"/>
      <c r="Y18" s="3302"/>
      <c r="Z18" s="3303"/>
      <c r="AA18" s="3303"/>
      <c r="AB18" s="3303"/>
      <c r="AC18" s="3303"/>
      <c r="AD18" s="3303"/>
      <c r="AE18" s="3303"/>
      <c r="AF18" s="3303"/>
      <c r="AG18" s="3303"/>
      <c r="AH18" s="3303"/>
      <c r="AI18" s="3303"/>
      <c r="AJ18" s="3303"/>
      <c r="AK18" s="3303"/>
      <c r="AL18" s="3303"/>
      <c r="AM18" s="3303"/>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22" t="s">
        <v>1039</v>
      </c>
      <c r="D19" s="3322"/>
      <c r="E19" s="3322"/>
      <c r="F19" s="3322"/>
      <c r="G19" s="3322"/>
      <c r="H19" s="3322"/>
      <c r="I19" s="3322"/>
      <c r="J19" s="3322"/>
      <c r="K19" s="3322"/>
      <c r="L19" s="3322"/>
      <c r="M19" s="3322"/>
      <c r="N19" s="3322"/>
      <c r="O19" s="3322"/>
      <c r="P19" s="3322"/>
      <c r="Q19" s="3322"/>
      <c r="R19" s="3322"/>
      <c r="S19" s="3323"/>
      <c r="T19" s="3302"/>
      <c r="U19" s="3303"/>
      <c r="V19" s="3303"/>
      <c r="W19" s="3303"/>
      <c r="X19" s="3303"/>
      <c r="Y19" s="3302"/>
      <c r="Z19" s="3303"/>
      <c r="AA19" s="3303"/>
      <c r="AB19" s="3303"/>
      <c r="AC19" s="3303"/>
      <c r="AD19" s="3303"/>
      <c r="AE19" s="3303"/>
      <c r="AF19" s="3303"/>
      <c r="AG19" s="3303"/>
      <c r="AH19" s="3303"/>
      <c r="AI19" s="3303"/>
      <c r="AJ19" s="3303"/>
      <c r="AK19" s="3303"/>
      <c r="AL19" s="3303"/>
      <c r="AM19" s="3303"/>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5" t="s">
        <v>535</v>
      </c>
      <c r="C20" s="3276"/>
      <c r="D20" s="3276"/>
      <c r="E20" s="3276"/>
      <c r="F20" s="3276"/>
      <c r="G20" s="3276"/>
      <c r="H20" s="3276"/>
      <c r="I20" s="3276"/>
      <c r="J20" s="3276"/>
      <c r="K20" s="3276"/>
      <c r="L20" s="3276"/>
      <c r="M20" s="3276"/>
      <c r="N20" s="3276"/>
      <c r="O20" s="3276"/>
      <c r="P20" s="3276"/>
      <c r="Q20" s="3276"/>
      <c r="R20" s="3276"/>
      <c r="S20" s="3277"/>
      <c r="T20" s="3292">
        <f>SUM(T13:X19)</f>
        <v>0</v>
      </c>
      <c r="U20" s="3295"/>
      <c r="V20" s="3295"/>
      <c r="W20" s="3295"/>
      <c r="X20" s="3295"/>
      <c r="Y20" s="3292">
        <f>SUM(Y13:AC19)</f>
        <v>0</v>
      </c>
      <c r="Z20" s="3295"/>
      <c r="AA20" s="3295"/>
      <c r="AB20" s="3295"/>
      <c r="AC20" s="3295"/>
      <c r="AD20" s="3290">
        <f>SUM(AD13:AH19)</f>
        <v>0</v>
      </c>
      <c r="AE20" s="3291"/>
      <c r="AF20" s="3291"/>
      <c r="AG20" s="3291"/>
      <c r="AH20" s="3292"/>
      <c r="AI20" s="3290">
        <f>SUM(AI13:AM19)</f>
        <v>0</v>
      </c>
      <c r="AJ20" s="3291"/>
      <c r="AK20" s="3291"/>
      <c r="AL20" s="3291"/>
      <c r="AM20" s="3292"/>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5" t="s">
        <v>1495</v>
      </c>
      <c r="C21" s="3276"/>
      <c r="D21" s="3276"/>
      <c r="E21" s="3276"/>
      <c r="F21" s="3276"/>
      <c r="G21" s="3276"/>
      <c r="H21" s="3276"/>
      <c r="I21" s="3276"/>
      <c r="J21" s="3276"/>
      <c r="K21" s="3276"/>
      <c r="L21" s="3276"/>
      <c r="M21" s="3276"/>
      <c r="N21" s="3276"/>
      <c r="O21" s="3276"/>
      <c r="P21" s="3276"/>
      <c r="Q21" s="3276"/>
      <c r="R21" s="3276"/>
      <c r="S21" s="3277"/>
      <c r="T21" s="3302"/>
      <c r="U21" s="3303"/>
      <c r="V21" s="3303"/>
      <c r="W21" s="3303"/>
      <c r="X21" s="3303"/>
      <c r="Y21" s="3302"/>
      <c r="Z21" s="3303"/>
      <c r="AA21" s="3303"/>
      <c r="AB21" s="3303"/>
      <c r="AC21" s="3303"/>
      <c r="AD21" s="3313"/>
      <c r="AE21" s="3314"/>
      <c r="AF21" s="3314"/>
      <c r="AG21" s="3314"/>
      <c r="AH21" s="3315"/>
      <c r="AI21" s="3313"/>
      <c r="AJ21" s="3314"/>
      <c r="AK21" s="3314"/>
      <c r="AL21" s="3314"/>
      <c r="AM21" s="3315"/>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5" t="s">
        <v>536</v>
      </c>
      <c r="C22" s="3276"/>
      <c r="D22" s="3276"/>
      <c r="E22" s="3276"/>
      <c r="F22" s="3276"/>
      <c r="G22" s="3276"/>
      <c r="H22" s="3276"/>
      <c r="I22" s="3276"/>
      <c r="J22" s="3276"/>
      <c r="K22" s="3276"/>
      <c r="L22" s="3276"/>
      <c r="M22" s="3276"/>
      <c r="N22" s="3276"/>
      <c r="O22" s="3276"/>
      <c r="P22" s="3276"/>
      <c r="Q22" s="3276"/>
      <c r="R22" s="3276"/>
      <c r="S22" s="3277"/>
      <c r="T22" s="3298">
        <f>(T20+T21)*-1</f>
        <v>0</v>
      </c>
      <c r="U22" s="3299"/>
      <c r="V22" s="3299"/>
      <c r="W22" s="3299"/>
      <c r="X22" s="3299"/>
      <c r="Y22" s="3298">
        <f>(Y20+Y21)*-1</f>
        <v>0</v>
      </c>
      <c r="Z22" s="3299"/>
      <c r="AA22" s="3299"/>
      <c r="AB22" s="3299"/>
      <c r="AC22" s="3299"/>
      <c r="AD22" s="3300">
        <f>(AD20)*-1</f>
        <v>0</v>
      </c>
      <c r="AE22" s="3301"/>
      <c r="AF22" s="3301"/>
      <c r="AG22" s="3301"/>
      <c r="AH22" s="3298"/>
      <c r="AI22" s="3300">
        <f>(AI20)*-1</f>
        <v>0</v>
      </c>
      <c r="AJ22" s="3301"/>
      <c r="AK22" s="3301"/>
      <c r="AL22" s="3301"/>
      <c r="AM22" s="3298"/>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31" t="s">
        <v>537</v>
      </c>
      <c r="C23" s="3332"/>
      <c r="D23" s="3332"/>
      <c r="E23" s="3332"/>
      <c r="F23" s="3332"/>
      <c r="G23" s="3332"/>
      <c r="H23" s="3332"/>
      <c r="I23" s="3332"/>
      <c r="J23" s="3332"/>
      <c r="K23" s="3332"/>
      <c r="L23" s="3332"/>
      <c r="M23" s="3332"/>
      <c r="N23" s="3332"/>
      <c r="O23" s="3332"/>
      <c r="P23" s="3332"/>
      <c r="Q23" s="3332"/>
      <c r="R23" s="3332"/>
      <c r="S23" s="3333"/>
      <c r="T23" s="3292">
        <f>T11+T22</f>
        <v>106037953</v>
      </c>
      <c r="U23" s="3295"/>
      <c r="V23" s="3295"/>
      <c r="W23" s="3295"/>
      <c r="X23" s="3295"/>
      <c r="Y23" s="3292">
        <f>Y11+Y22</f>
        <v>0</v>
      </c>
      <c r="Z23" s="3295"/>
      <c r="AA23" s="3295"/>
      <c r="AB23" s="3295"/>
      <c r="AC23" s="3295"/>
      <c r="AD23" s="3292">
        <f>AD11+AD22</f>
        <v>0</v>
      </c>
      <c r="AE23" s="3295"/>
      <c r="AF23" s="3295"/>
      <c r="AG23" s="3295"/>
      <c r="AH23" s="3295"/>
      <c r="AI23" s="3292">
        <f>AI11+AI22</f>
        <v>0</v>
      </c>
      <c r="AJ23" s="3295"/>
      <c r="AK23" s="3295"/>
      <c r="AL23" s="3295"/>
      <c r="AM23" s="3295"/>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5" t="s">
        <v>1040</v>
      </c>
      <c r="C24" s="3276"/>
      <c r="D24" s="3276"/>
      <c r="E24" s="3276"/>
      <c r="F24" s="3276"/>
      <c r="G24" s="3276"/>
      <c r="H24" s="3276"/>
      <c r="I24" s="3276"/>
      <c r="J24" s="3276"/>
      <c r="K24" s="3276"/>
      <c r="L24" s="3276"/>
      <c r="M24" s="3276"/>
      <c r="N24" s="3276"/>
      <c r="O24" s="3276"/>
      <c r="P24" s="3276"/>
      <c r="Q24" s="3276"/>
      <c r="R24" s="3276"/>
      <c r="S24" s="3277"/>
      <c r="T24" s="3290">
        <f>Application!AJ1032</f>
        <v>211454129</v>
      </c>
      <c r="U24" s="3291"/>
      <c r="V24" s="3291"/>
      <c r="W24" s="3291"/>
      <c r="X24" s="3291"/>
      <c r="Y24" s="3291"/>
      <c r="Z24" s="3291"/>
      <c r="AA24" s="3291"/>
      <c r="AB24" s="3291"/>
      <c r="AC24" s="3291"/>
      <c r="AD24" s="3291"/>
      <c r="AE24" s="3291"/>
      <c r="AF24" s="3291"/>
      <c r="AG24" s="3291"/>
      <c r="AH24" s="3291"/>
      <c r="AI24" s="3291"/>
      <c r="AJ24" s="3291"/>
      <c r="AK24" s="3291"/>
      <c r="AL24" s="3291"/>
      <c r="AM24" s="3292"/>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34" t="s">
        <v>1496</v>
      </c>
      <c r="C25" s="3335"/>
      <c r="D25" s="3335"/>
      <c r="E25" s="3335"/>
      <c r="F25" s="3335"/>
      <c r="G25" s="3335"/>
      <c r="H25" s="3335"/>
      <c r="I25" s="3335"/>
      <c r="J25" s="3335"/>
      <c r="K25" s="3335"/>
      <c r="L25" s="3335"/>
      <c r="M25" s="3335"/>
      <c r="N25" s="3335"/>
      <c r="O25" s="3335"/>
      <c r="P25" s="3335"/>
      <c r="Q25" s="3335"/>
      <c r="R25" s="3335"/>
      <c r="S25" s="3336"/>
      <c r="T25" s="3308">
        <f>IF(OR(Application!T195="yes",Application!T194="yes"),1.3,1)</f>
        <v>1.3</v>
      </c>
      <c r="U25" s="3309"/>
      <c r="V25" s="3309"/>
      <c r="W25" s="3309"/>
      <c r="X25" s="3309"/>
      <c r="Y25" s="3308">
        <v>1</v>
      </c>
      <c r="Z25" s="3309"/>
      <c r="AA25" s="3309"/>
      <c r="AB25" s="3309"/>
      <c r="AC25" s="3309"/>
      <c r="AD25" s="3308">
        <v>1</v>
      </c>
      <c r="AE25" s="3309"/>
      <c r="AF25" s="3309"/>
      <c r="AG25" s="3309"/>
      <c r="AH25" s="3310"/>
      <c r="AI25" s="3308">
        <v>1</v>
      </c>
      <c r="AJ25" s="3309"/>
      <c r="AK25" s="3309"/>
      <c r="AL25" s="3309"/>
      <c r="AM25" s="3310"/>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5" t="s">
        <v>538</v>
      </c>
      <c r="C26" s="3276"/>
      <c r="D26" s="3276"/>
      <c r="E26" s="3276"/>
      <c r="F26" s="3276"/>
      <c r="G26" s="3276"/>
      <c r="H26" s="3276"/>
      <c r="I26" s="3276"/>
      <c r="J26" s="3276"/>
      <c r="K26" s="3276"/>
      <c r="L26" s="3276"/>
      <c r="M26" s="3276"/>
      <c r="N26" s="3276"/>
      <c r="O26" s="3276"/>
      <c r="P26" s="3276"/>
      <c r="Q26" s="3276"/>
      <c r="R26" s="3276"/>
      <c r="S26" s="3277"/>
      <c r="T26" s="3311">
        <f>T23*T25</f>
        <v>137849338.90000001</v>
      </c>
      <c r="U26" s="3312"/>
      <c r="V26" s="3312"/>
      <c r="W26" s="3312"/>
      <c r="X26" s="3312"/>
      <c r="Y26" s="3311">
        <f>Y23*Y25</f>
        <v>0</v>
      </c>
      <c r="Z26" s="3312"/>
      <c r="AA26" s="3312"/>
      <c r="AB26" s="3312"/>
      <c r="AC26" s="3312"/>
      <c r="AD26" s="3311">
        <f>AD23*AD25</f>
        <v>0</v>
      </c>
      <c r="AE26" s="3312"/>
      <c r="AF26" s="3312"/>
      <c r="AG26" s="3312"/>
      <c r="AH26" s="3312"/>
      <c r="AI26" s="3311">
        <f>AI23*AI25</f>
        <v>0</v>
      </c>
      <c r="AJ26" s="3312"/>
      <c r="AK26" s="3312"/>
      <c r="AL26" s="3312"/>
      <c r="AM26" s="3312"/>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37" t="s">
        <v>447</v>
      </c>
      <c r="C27" s="3338"/>
      <c r="D27" s="3338"/>
      <c r="E27" s="3338"/>
      <c r="F27" s="3338"/>
      <c r="G27" s="3338"/>
      <c r="H27" s="3338"/>
      <c r="I27" s="3338"/>
      <c r="J27" s="3338"/>
      <c r="K27" s="3338"/>
      <c r="L27" s="3338"/>
      <c r="M27" s="3338"/>
      <c r="N27" s="3338"/>
      <c r="O27" s="3338"/>
      <c r="P27" s="3338"/>
      <c r="Q27" s="3338"/>
      <c r="R27" s="3338"/>
      <c r="S27" s="3339"/>
      <c r="T27" s="3306">
        <f>Application!$AG$444</f>
        <v>1</v>
      </c>
      <c r="U27" s="3307"/>
      <c r="V27" s="3307"/>
      <c r="W27" s="3307"/>
      <c r="X27" s="3307"/>
      <c r="Y27" s="3306">
        <f>Application!$AG$444</f>
        <v>1</v>
      </c>
      <c r="Z27" s="3307"/>
      <c r="AA27" s="3307"/>
      <c r="AB27" s="3307"/>
      <c r="AC27" s="3307"/>
      <c r="AD27" s="3306">
        <f>Application!$AG$444</f>
        <v>1</v>
      </c>
      <c r="AE27" s="3307"/>
      <c r="AF27" s="3307"/>
      <c r="AG27" s="3307"/>
      <c r="AH27" s="3307"/>
      <c r="AI27" s="3306">
        <f>Application!$AG$444</f>
        <v>1</v>
      </c>
      <c r="AJ27" s="3307"/>
      <c r="AK27" s="3307"/>
      <c r="AL27" s="3307"/>
      <c r="AM27" s="3307"/>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5" t="s">
        <v>539</v>
      </c>
      <c r="C28" s="3276"/>
      <c r="D28" s="3276"/>
      <c r="E28" s="3276"/>
      <c r="F28" s="3276"/>
      <c r="G28" s="3276"/>
      <c r="H28" s="3276"/>
      <c r="I28" s="3276"/>
      <c r="J28" s="3276"/>
      <c r="K28" s="3276"/>
      <c r="L28" s="3276"/>
      <c r="M28" s="3276"/>
      <c r="N28" s="3276"/>
      <c r="O28" s="3276"/>
      <c r="P28" s="3276"/>
      <c r="Q28" s="3276"/>
      <c r="R28" s="3276"/>
      <c r="S28" s="3277"/>
      <c r="T28" s="3304">
        <f>IF(ISERROR((T26*T27)),0,(T26*T27))</f>
        <v>137849338.90000001</v>
      </c>
      <c r="U28" s="3305"/>
      <c r="V28" s="3305"/>
      <c r="W28" s="3305"/>
      <c r="X28" s="3305"/>
      <c r="Y28" s="3304">
        <f>IF(ISERROR((Y26*Y27)),0,(Y26*Y27))</f>
        <v>0</v>
      </c>
      <c r="Z28" s="3305"/>
      <c r="AA28" s="3305"/>
      <c r="AB28" s="3305"/>
      <c r="AC28" s="3305"/>
      <c r="AD28" s="3304">
        <f>IF(ISERROR((AD26*AD27)),0,(AD26*AD27))</f>
        <v>0</v>
      </c>
      <c r="AE28" s="3305"/>
      <c r="AF28" s="3305"/>
      <c r="AG28" s="3305"/>
      <c r="AH28" s="3305"/>
      <c r="AI28" s="3304">
        <f>IF(ISERROR((AI26*AI27)),0,(AI26*AI27))</f>
        <v>0</v>
      </c>
      <c r="AJ28" s="3305"/>
      <c r="AK28" s="3305"/>
      <c r="AL28" s="3305"/>
      <c r="AM28" s="3305"/>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5" t="s">
        <v>556</v>
      </c>
      <c r="C29" s="3276"/>
      <c r="D29" s="3276"/>
      <c r="E29" s="3276"/>
      <c r="F29" s="3276"/>
      <c r="G29" s="3276"/>
      <c r="H29" s="3276"/>
      <c r="I29" s="3276"/>
      <c r="J29" s="3276"/>
      <c r="K29" s="3276"/>
      <c r="L29" s="3276"/>
      <c r="M29" s="3276"/>
      <c r="N29" s="3276"/>
      <c r="O29" s="3276"/>
      <c r="P29" s="3276"/>
      <c r="Q29" s="3276"/>
      <c r="R29" s="3276"/>
      <c r="S29" s="3277"/>
      <c r="T29" s="3290">
        <f>T28+Y28+AD28+AI28</f>
        <v>137849338.90000001</v>
      </c>
      <c r="U29" s="3291"/>
      <c r="V29" s="3291"/>
      <c r="W29" s="3291"/>
      <c r="X29" s="3291"/>
      <c r="Y29" s="3291"/>
      <c r="Z29" s="3291"/>
      <c r="AA29" s="3291"/>
      <c r="AB29" s="3291"/>
      <c r="AC29" s="3291"/>
      <c r="AD29" s="3291"/>
      <c r="AE29" s="3291"/>
      <c r="AF29" s="3291"/>
      <c r="AG29" s="3291"/>
      <c r="AH29" s="3291"/>
      <c r="AI29" s="3291"/>
      <c r="AJ29" s="3291"/>
      <c r="AK29" s="3291"/>
      <c r="AL29" s="3291"/>
      <c r="AM29" s="3292"/>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7" t="s">
        <v>1498</v>
      </c>
      <c r="C30" s="3297"/>
      <c r="D30" s="3297"/>
      <c r="E30" s="3297"/>
      <c r="F30" s="3297"/>
      <c r="G30" s="3297"/>
      <c r="H30" s="3297"/>
      <c r="I30" s="3297"/>
      <c r="J30" s="3297"/>
      <c r="K30" s="3297"/>
      <c r="L30" s="3297"/>
      <c r="M30" s="3297"/>
      <c r="N30" s="3297"/>
      <c r="O30" s="3297"/>
      <c r="P30" s="3297"/>
      <c r="Q30" s="3297"/>
      <c r="R30" s="3297"/>
      <c r="S30" s="3297"/>
      <c r="T30" s="3297"/>
      <c r="U30" s="3297"/>
      <c r="V30" s="3297"/>
      <c r="W30" s="3297"/>
      <c r="X30" s="3297"/>
      <c r="Y30" s="3297"/>
      <c r="Z30" s="3297"/>
      <c r="AA30" s="3297"/>
      <c r="AB30" s="3297"/>
      <c r="AC30" s="3297"/>
      <c r="AD30" s="3297"/>
      <c r="AE30" s="3297"/>
      <c r="AF30" s="3297"/>
      <c r="AG30" s="3297"/>
      <c r="AH30" s="3297"/>
      <c r="AI30" s="3297"/>
      <c r="AJ30" s="3297"/>
      <c r="AK30" s="3297"/>
      <c r="AL30" s="3297"/>
      <c r="AM30" s="3297"/>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7" t="s">
        <v>1497</v>
      </c>
      <c r="C31" s="3297"/>
      <c r="D31" s="3297"/>
      <c r="E31" s="3297"/>
      <c r="F31" s="3297"/>
      <c r="G31" s="3297"/>
      <c r="H31" s="3297"/>
      <c r="I31" s="3297"/>
      <c r="J31" s="3297"/>
      <c r="K31" s="3297"/>
      <c r="L31" s="3297"/>
      <c r="M31" s="3297"/>
      <c r="N31" s="3297"/>
      <c r="O31" s="3297"/>
      <c r="P31" s="3297"/>
      <c r="Q31" s="3297"/>
      <c r="R31" s="3297"/>
      <c r="S31" s="3297"/>
      <c r="T31" s="3297"/>
      <c r="U31" s="3297"/>
      <c r="V31" s="3297"/>
      <c r="W31" s="3297"/>
      <c r="X31" s="3297"/>
      <c r="Y31" s="3297"/>
      <c r="Z31" s="3297"/>
      <c r="AA31" s="3297"/>
      <c r="AB31" s="3297"/>
      <c r="AC31" s="3297"/>
      <c r="AD31" s="3297"/>
      <c r="AE31" s="3297"/>
      <c r="AF31" s="3297"/>
      <c r="AG31" s="3297"/>
      <c r="AH31" s="3297"/>
      <c r="AI31" s="3297"/>
      <c r="AJ31" s="3297"/>
      <c r="AK31" s="3297"/>
      <c r="AL31" s="3297"/>
      <c r="AM31" s="3297"/>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3" t="s">
        <v>1346</v>
      </c>
      <c r="Z35" s="3293"/>
      <c r="AA35" s="3293"/>
      <c r="AB35" s="3293"/>
      <c r="AC35" s="3293"/>
      <c r="AD35" s="3294" t="s">
        <v>380</v>
      </c>
      <c r="AE35" s="3294"/>
      <c r="AF35" s="3294"/>
      <c r="AG35" s="3294"/>
      <c r="AH35" s="3294"/>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3"/>
      <c r="Z36" s="3293"/>
      <c r="AA36" s="3293"/>
      <c r="AB36" s="3293"/>
      <c r="AC36" s="3293"/>
      <c r="AD36" s="3294"/>
      <c r="AE36" s="3294"/>
      <c r="AF36" s="3294"/>
      <c r="AG36" s="3294"/>
      <c r="AH36" s="3294"/>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3"/>
      <c r="Z37" s="3293"/>
      <c r="AA37" s="3293"/>
      <c r="AB37" s="3293"/>
      <c r="AC37" s="3293"/>
      <c r="AD37" s="3294"/>
      <c r="AE37" s="3294"/>
      <c r="AF37" s="3294"/>
      <c r="AG37" s="3294"/>
      <c r="AH37" s="3294"/>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5" t="s">
        <v>539</v>
      </c>
      <c r="C38" s="3276"/>
      <c r="D38" s="3276"/>
      <c r="E38" s="3276"/>
      <c r="F38" s="3276"/>
      <c r="G38" s="3276"/>
      <c r="H38" s="3276"/>
      <c r="I38" s="3276"/>
      <c r="J38" s="3276"/>
      <c r="K38" s="3276"/>
      <c r="L38" s="3276"/>
      <c r="M38" s="3276"/>
      <c r="N38" s="3276"/>
      <c r="O38" s="3276"/>
      <c r="P38" s="3276"/>
      <c r="Q38" s="3276"/>
      <c r="R38" s="3276"/>
      <c r="S38" s="3276"/>
      <c r="T38" s="3276"/>
      <c r="U38" s="3276"/>
      <c r="V38" s="3276"/>
      <c r="W38" s="3276"/>
      <c r="X38" s="3277"/>
      <c r="Y38" s="3295">
        <f>IF(T24&gt;=(T23+Y23+AD23+AI23),T28+Y28,0)</f>
        <v>137849338.90000001</v>
      </c>
      <c r="Z38" s="3295"/>
      <c r="AA38" s="3295"/>
      <c r="AB38" s="3295"/>
      <c r="AC38" s="3295"/>
      <c r="AD38" s="3295">
        <f>IF(T24&gt;=(T23+Y23+AD23+AI23),AD28+AI28,0)</f>
        <v>0</v>
      </c>
      <c r="AE38" s="3295"/>
      <c r="AF38" s="3295"/>
      <c r="AG38" s="3295"/>
      <c r="AH38" s="3295"/>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5" t="s">
        <v>2180</v>
      </c>
      <c r="C39" s="3276"/>
      <c r="D39" s="3276"/>
      <c r="E39" s="3276"/>
      <c r="F39" s="3276"/>
      <c r="G39" s="3276"/>
      <c r="H39" s="3276"/>
      <c r="I39" s="3276"/>
      <c r="J39" s="3276"/>
      <c r="K39" s="3276"/>
      <c r="L39" s="3276"/>
      <c r="M39" s="3276"/>
      <c r="N39" s="3276"/>
      <c r="O39" s="3276"/>
      <c r="P39" s="3276"/>
      <c r="Q39" s="3276"/>
      <c r="R39" s="3276"/>
      <c r="S39" s="3276"/>
      <c r="T39" s="3276"/>
      <c r="U39" s="3276"/>
      <c r="V39" s="3276"/>
      <c r="W39" s="3276"/>
      <c r="X39" s="3277"/>
      <c r="Y39" s="3296">
        <v>0.04</v>
      </c>
      <c r="Z39" s="3296"/>
      <c r="AA39" s="3296"/>
      <c r="AB39" s="3296"/>
      <c r="AC39" s="3296"/>
      <c r="AD39" s="3296">
        <v>0.04</v>
      </c>
      <c r="AE39" s="3296"/>
      <c r="AF39" s="3296"/>
      <c r="AG39" s="3296"/>
      <c r="AH39" s="3296"/>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5" t="s">
        <v>677</v>
      </c>
      <c r="C40" s="3276"/>
      <c r="D40" s="3276"/>
      <c r="E40" s="3276"/>
      <c r="F40" s="3276"/>
      <c r="G40" s="3276"/>
      <c r="H40" s="3276"/>
      <c r="I40" s="3276"/>
      <c r="J40" s="3276"/>
      <c r="K40" s="3276"/>
      <c r="L40" s="3276"/>
      <c r="M40" s="3276"/>
      <c r="N40" s="3276"/>
      <c r="O40" s="3276"/>
      <c r="P40" s="3276"/>
      <c r="Q40" s="3276"/>
      <c r="R40" s="3276"/>
      <c r="S40" s="3276"/>
      <c r="T40" s="3276"/>
      <c r="U40" s="3276"/>
      <c r="V40" s="3276"/>
      <c r="W40" s="3276"/>
      <c r="X40" s="3277"/>
      <c r="Y40" s="3295">
        <f>ROUND(Y38*Y39,0)</f>
        <v>5513974</v>
      </c>
      <c r="Z40" s="3295"/>
      <c r="AA40" s="3295"/>
      <c r="AB40" s="3295"/>
      <c r="AC40" s="3295"/>
      <c r="AD40" s="3292">
        <f>ROUND(AD38*AD39,0)</f>
        <v>0</v>
      </c>
      <c r="AE40" s="3295"/>
      <c r="AF40" s="3295"/>
      <c r="AG40" s="3295"/>
      <c r="AH40" s="3295"/>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5" t="s">
        <v>678</v>
      </c>
      <c r="C41" s="3276"/>
      <c r="D41" s="3276"/>
      <c r="E41" s="3276"/>
      <c r="F41" s="3276"/>
      <c r="G41" s="3276"/>
      <c r="H41" s="3276"/>
      <c r="I41" s="3276"/>
      <c r="J41" s="3276"/>
      <c r="K41" s="3276"/>
      <c r="L41" s="3276"/>
      <c r="M41" s="3276"/>
      <c r="N41" s="3276"/>
      <c r="O41" s="3276"/>
      <c r="P41" s="3276"/>
      <c r="Q41" s="3276"/>
      <c r="R41" s="3276"/>
      <c r="S41" s="3276"/>
      <c r="T41" s="3276"/>
      <c r="U41" s="3276"/>
      <c r="V41" s="3276"/>
      <c r="W41" s="3276"/>
      <c r="X41" s="3277"/>
      <c r="Y41" s="3340">
        <f>Y40+AD40</f>
        <v>5513974</v>
      </c>
      <c r="Z41" s="3341"/>
      <c r="AA41" s="3341"/>
      <c r="AB41" s="3341"/>
      <c r="AC41" s="3341"/>
      <c r="AD41" s="3341"/>
      <c r="AE41" s="3341"/>
      <c r="AF41" s="3341"/>
      <c r="AG41" s="3341"/>
      <c r="AH41" s="3342"/>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28"/>
      <c r="C42" s="1628"/>
      <c r="D42" s="1628"/>
      <c r="E42" s="1628"/>
      <c r="F42" s="1628"/>
      <c r="G42" s="1628"/>
      <c r="H42" s="1628"/>
      <c r="I42" s="1628"/>
      <c r="J42" s="1628"/>
      <c r="K42" s="1628"/>
      <c r="L42" s="1628"/>
      <c r="M42" s="1628"/>
      <c r="N42" s="1628"/>
      <c r="O42" s="1628"/>
      <c r="P42" s="1628"/>
      <c r="Q42" s="1628"/>
      <c r="R42" s="1628"/>
      <c r="S42" s="1628"/>
      <c r="T42" s="1628"/>
      <c r="U42" s="1628"/>
      <c r="V42" s="1628"/>
      <c r="W42" s="1628"/>
      <c r="X42" s="1628"/>
      <c r="Y42" s="1628"/>
      <c r="Z42" s="1628"/>
      <c r="AA42" s="1628"/>
      <c r="AB42" s="1628"/>
      <c r="AC42" s="1628"/>
      <c r="AD42" s="1628"/>
      <c r="AE42" s="1628"/>
      <c r="AF42" s="1628"/>
      <c r="AG42" s="1628"/>
      <c r="AH42" s="1628"/>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89" t="s">
        <v>1512</v>
      </c>
      <c r="B44" s="3289"/>
      <c r="C44" s="3289"/>
      <c r="D44" s="3289"/>
      <c r="E44" s="3289"/>
      <c r="F44" s="3289"/>
      <c r="G44" s="3289"/>
      <c r="H44" s="3289"/>
      <c r="I44" s="3289"/>
      <c r="J44" s="3289"/>
      <c r="K44" s="3289"/>
      <c r="L44" s="3289"/>
      <c r="M44" s="3289"/>
      <c r="N44" s="3289"/>
      <c r="O44" s="3289"/>
      <c r="P44" s="3289"/>
      <c r="Q44" s="3289"/>
      <c r="R44" s="3289"/>
      <c r="S44" s="3289"/>
      <c r="T44" s="3289"/>
      <c r="U44" s="3289"/>
      <c r="V44" s="3289"/>
      <c r="W44" s="3289"/>
      <c r="X44" s="3289"/>
      <c r="Y44" s="3289"/>
      <c r="Z44" s="3289"/>
      <c r="AA44" s="3289"/>
      <c r="AB44" s="3289"/>
      <c r="AC44" s="3289"/>
      <c r="AD44" s="3289"/>
      <c r="AE44" s="3289"/>
      <c r="AF44" s="3289"/>
      <c r="AG44" s="3289"/>
      <c r="AH44" s="3289"/>
      <c r="AI44" s="3289"/>
      <c r="AJ44" s="3289"/>
      <c r="AK44" s="3289"/>
      <c r="AL44" s="3289"/>
      <c r="AM44" s="3289"/>
      <c r="AN44" s="3289"/>
      <c r="AO44" s="3289"/>
      <c r="AP44" s="3289"/>
      <c r="AQ44" s="3289"/>
      <c r="AR44" s="3289"/>
      <c r="AS44" s="3289"/>
      <c r="AT44" s="3289"/>
      <c r="AU44" s="3289"/>
      <c r="AV44" s="3289"/>
      <c r="AW44" s="3289"/>
      <c r="AX44" s="3289"/>
      <c r="AY44" s="3289"/>
      <c r="AZ44" s="3289"/>
      <c r="BA44" s="3289"/>
      <c r="BB44" s="3289"/>
      <c r="BC44" s="3289"/>
      <c r="BD44" s="3289"/>
      <c r="BE44" s="3289"/>
      <c r="BF44" s="3289"/>
      <c r="BG44" s="3289"/>
      <c r="BH44" s="3289"/>
      <c r="BI44" s="3289"/>
      <c r="BJ44" s="3289"/>
      <c r="BK44" s="3289"/>
      <c r="BL44" s="3289"/>
      <c r="BM44" s="3289"/>
      <c r="BN44" s="3289"/>
      <c r="BO44" s="3289"/>
      <c r="BP44" s="3289"/>
      <c r="BQ44" s="3289"/>
      <c r="BR44" s="3289"/>
      <c r="BS44" s="3289"/>
      <c r="BT44" s="3289"/>
      <c r="BU44" s="3289"/>
      <c r="BV44" s="3289"/>
      <c r="BW44" s="3289"/>
      <c r="BX44" s="328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3">
        <f>'Sources and Uses Budget'!B105-'Sources and Uses Budget'!B15</f>
        <v>124455933</v>
      </c>
      <c r="AC47" s="3284"/>
      <c r="AD47" s="3284"/>
      <c r="AE47" s="3284"/>
      <c r="AF47" s="3285"/>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3">
        <f>Application!AO649-MIN('Sources and Uses Budget'!B15,Application!AG394)</f>
        <v>77591844</v>
      </c>
      <c r="AC48" s="3284"/>
      <c r="AD48" s="3284"/>
      <c r="AE48" s="3284"/>
      <c r="AF48" s="3285"/>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3">
        <f>AB47-AB48</f>
        <v>46864089</v>
      </c>
      <c r="AC49" s="3284"/>
      <c r="AD49" s="3284"/>
      <c r="AE49" s="3284"/>
      <c r="AF49" s="3285"/>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1">
        <v>0.85</v>
      </c>
      <c r="AC50" s="3272"/>
      <c r="AD50" s="3272"/>
      <c r="AE50" s="3272"/>
      <c r="AF50" s="3273"/>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2" t="s">
        <v>2376</v>
      </c>
      <c r="F51" s="3282"/>
      <c r="G51" s="3282"/>
      <c r="H51" s="3282"/>
      <c r="I51" s="3282"/>
      <c r="J51" s="3282"/>
      <c r="K51" s="3282"/>
      <c r="L51" s="3282"/>
      <c r="M51" s="3282"/>
      <c r="N51" s="3282"/>
      <c r="O51" s="3282"/>
      <c r="P51" s="3282"/>
      <c r="Q51" s="3282"/>
      <c r="R51" s="3282"/>
      <c r="S51" s="3282"/>
      <c r="T51" s="3282"/>
      <c r="U51" s="3282"/>
      <c r="V51" s="3282"/>
      <c r="W51" s="3282"/>
      <c r="X51" s="3282"/>
      <c r="Y51" s="3282"/>
      <c r="Z51" s="3282"/>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2"/>
      <c r="F52" s="3282"/>
      <c r="G52" s="3282"/>
      <c r="H52" s="3282"/>
      <c r="I52" s="3282"/>
      <c r="J52" s="3282"/>
      <c r="K52" s="3282"/>
      <c r="L52" s="3282"/>
      <c r="M52" s="3282"/>
      <c r="N52" s="3282"/>
      <c r="O52" s="3282"/>
      <c r="P52" s="3282"/>
      <c r="Q52" s="3282"/>
      <c r="R52" s="3282"/>
      <c r="S52" s="3282"/>
      <c r="T52" s="3282"/>
      <c r="U52" s="3282"/>
      <c r="V52" s="3282"/>
      <c r="W52" s="3282"/>
      <c r="X52" s="3282"/>
      <c r="Y52" s="3282"/>
      <c r="Z52" s="3282"/>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3">
        <f>ROUND(IF(ISERROR((AB49/AB50)),0,(AB49/AB50)),0)</f>
        <v>55134222</v>
      </c>
      <c r="AC54" s="3284"/>
      <c r="AD54" s="3284"/>
      <c r="AE54" s="3284"/>
      <c r="AF54" s="3285"/>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3">
        <f>(AB54/10)</f>
        <v>5513422.2000000002</v>
      </c>
      <c r="AC55" s="3284"/>
      <c r="AD55" s="3284"/>
      <c r="AE55" s="3284"/>
      <c r="AF55" s="3285"/>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6">
        <f>(IF((Y41&lt;AB55),Y41,AB55))</f>
        <v>5513422.2000000002</v>
      </c>
      <c r="AC56" s="3287"/>
      <c r="AD56" s="3287"/>
      <c r="AE56" s="3287"/>
      <c r="AF56" s="3288"/>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3">
        <f>ROUND((10*AB56*AB50),0)</f>
        <v>46864089</v>
      </c>
      <c r="AC57" s="3284"/>
      <c r="AD57" s="3284"/>
      <c r="AE57" s="3284"/>
      <c r="AF57" s="3285"/>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7">
        <f>AB49-AB57</f>
        <v>0</v>
      </c>
      <c r="AC59" s="3267"/>
      <c r="AD59" s="3267"/>
      <c r="AE59" s="3267"/>
      <c r="AF59" s="3267"/>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89" t="str">
        <f>IF(Application!AP204="yes","Farmworker State Credit", "State Credit" )</f>
        <v>State Credit</v>
      </c>
      <c r="B61" s="3289"/>
      <c r="C61" s="3289"/>
      <c r="D61" s="3289"/>
      <c r="E61" s="3289"/>
      <c r="F61" s="3289"/>
      <c r="G61" s="3289"/>
      <c r="H61" s="3289"/>
      <c r="I61" s="3289"/>
      <c r="J61" s="3289"/>
      <c r="K61" s="3289"/>
      <c r="L61" s="3289"/>
      <c r="M61" s="3289"/>
      <c r="N61" s="3289"/>
      <c r="O61" s="3289"/>
      <c r="P61" s="3289"/>
      <c r="Q61" s="3289"/>
      <c r="R61" s="3289"/>
      <c r="S61" s="3289"/>
      <c r="T61" s="3289"/>
      <c r="U61" s="3289"/>
      <c r="V61" s="3289"/>
      <c r="W61" s="3289"/>
      <c r="X61" s="3289"/>
      <c r="Y61" s="3289"/>
      <c r="Z61" s="3289"/>
      <c r="AA61" s="3289"/>
      <c r="AB61" s="3289"/>
      <c r="AC61" s="3289"/>
      <c r="AD61" s="3289"/>
      <c r="AE61" s="3289"/>
      <c r="AF61" s="3289"/>
      <c r="AG61" s="3289"/>
      <c r="AH61" s="3289"/>
      <c r="AI61" s="3289"/>
      <c r="AJ61" s="3289"/>
      <c r="AK61" s="3289"/>
      <c r="AL61" s="3289"/>
      <c r="AM61" s="3289"/>
      <c r="AN61" s="3289"/>
      <c r="AO61" s="3289"/>
      <c r="AP61" s="3289"/>
      <c r="AQ61" s="3289"/>
      <c r="AR61" s="3289"/>
      <c r="AS61" s="3289"/>
      <c r="AT61" s="3289"/>
      <c r="AU61" s="3289"/>
      <c r="AV61" s="3289"/>
      <c r="AW61" s="3289"/>
      <c r="AX61" s="3289"/>
      <c r="AY61" s="3289"/>
      <c r="AZ61" s="3289"/>
      <c r="BA61" s="3289"/>
      <c r="BB61" s="3289"/>
      <c r="BC61" s="3289"/>
      <c r="BD61" s="3289"/>
      <c r="BE61" s="3289"/>
      <c r="BF61" s="3289"/>
      <c r="BG61" s="3289"/>
      <c r="BH61" s="3289"/>
      <c r="BI61" s="3289"/>
      <c r="BJ61" s="3289"/>
      <c r="BK61" s="3289"/>
      <c r="BL61" s="3289"/>
      <c r="BM61" s="3289"/>
      <c r="BN61" s="3289"/>
      <c r="BO61" s="3289"/>
      <c r="BP61" s="3289"/>
      <c r="BQ61" s="3289"/>
      <c r="BR61" s="3289"/>
      <c r="BS61" s="3289"/>
      <c r="BT61" s="3289"/>
      <c r="BU61" s="3289"/>
      <c r="BV61" s="3289"/>
      <c r="BW61" s="3289"/>
      <c r="BX61" s="328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278" t="s">
        <v>1068</v>
      </c>
      <c r="Z63" s="3278"/>
      <c r="AA63" s="3278"/>
      <c r="AB63" s="3278"/>
      <c r="AC63" s="3278"/>
      <c r="AD63" s="3278" t="s">
        <v>380</v>
      </c>
      <c r="AE63" s="3278"/>
      <c r="AF63" s="3278"/>
      <c r="AG63" s="3278"/>
      <c r="AH63" s="3278"/>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279">
        <f>IF(Application!Z204="(select)",0,((T23*T27)+Y28))</f>
        <v>106037953</v>
      </c>
      <c r="Z64" s="3280"/>
      <c r="AA64" s="3280"/>
      <c r="AB64" s="3280"/>
      <c r="AC64" s="3281"/>
      <c r="AD64" s="3279">
        <f>IF(AND(Application!AP204="yes",Application!M357="yes"),AD28+AI28,0)</f>
        <v>0</v>
      </c>
      <c r="AE64" s="3280"/>
      <c r="AF64" s="3280"/>
      <c r="AG64" s="3280"/>
      <c r="AH64" s="3281"/>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2" t="s">
        <v>2372</v>
      </c>
      <c r="F65" s="1629"/>
      <c r="G65" s="1629"/>
      <c r="H65" s="1629"/>
      <c r="I65" s="1629"/>
      <c r="J65" s="1629"/>
      <c r="K65" s="1629"/>
      <c r="L65" s="1629"/>
      <c r="M65" s="1629"/>
      <c r="N65" s="1629"/>
      <c r="O65" s="1629"/>
      <c r="P65" s="1629"/>
      <c r="Q65" s="1629"/>
      <c r="R65" s="1629"/>
      <c r="S65" s="1629"/>
      <c r="T65" s="1629"/>
      <c r="U65" s="1629"/>
      <c r="V65" s="1629"/>
      <c r="W65" s="1629"/>
      <c r="X65" s="1629"/>
      <c r="Y65" s="1629"/>
      <c r="Z65" s="1629"/>
      <c r="AA65" s="1629"/>
      <c r="AB65" s="1629"/>
      <c r="AC65" s="1629"/>
      <c r="AD65" s="1629"/>
      <c r="AE65" s="1629"/>
      <c r="AF65" s="1629"/>
      <c r="AG65" s="1629"/>
      <c r="AH65" s="1629"/>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2" t="s">
        <v>2373</v>
      </c>
      <c r="F66" s="1629"/>
      <c r="G66" s="1629"/>
      <c r="H66" s="1629"/>
      <c r="I66" s="1629"/>
      <c r="J66" s="1629"/>
      <c r="K66" s="1629"/>
      <c r="L66" s="1629"/>
      <c r="M66" s="1629"/>
      <c r="N66" s="1629"/>
      <c r="O66" s="1629"/>
      <c r="P66" s="1629"/>
      <c r="Q66" s="1629"/>
      <c r="R66" s="1629"/>
      <c r="S66" s="1629"/>
      <c r="T66" s="1629"/>
      <c r="U66" s="1629"/>
      <c r="V66" s="1629"/>
      <c r="W66" s="1629"/>
      <c r="X66" s="1629"/>
      <c r="Y66" s="1629"/>
      <c r="Z66" s="1629"/>
      <c r="AA66" s="1629"/>
      <c r="AB66" s="1629"/>
      <c r="AC66" s="1629"/>
      <c r="AD66" s="1629"/>
      <c r="AE66" s="1629"/>
      <c r="AF66" s="1629"/>
      <c r="AG66" s="1629"/>
      <c r="AH66" s="1629"/>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68">
        <f>IF(Application!AP204="yes",0.75,IF(Application!Z203="15% set-aside",0.13,IF(Application!Z203="15% set-aside with qualifying low value rehab",0.95,0.3)))</f>
        <v>0.3</v>
      </c>
      <c r="Z67" s="3268"/>
      <c r="AA67" s="3268"/>
      <c r="AB67" s="3268"/>
      <c r="AC67" s="3268"/>
      <c r="AD67" s="3268">
        <f>IF(Application!AP204="yes",0.75,IF(Application!Z203="15% set-aside with qualifying low value rehab", 0.95,0.13))</f>
        <v>0.13</v>
      </c>
      <c r="AE67" s="3268"/>
      <c r="AF67" s="3268"/>
      <c r="AG67" s="3268"/>
      <c r="AH67" s="3268"/>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269">
        <f>ROUND(Y64*Y67,0)</f>
        <v>31811386</v>
      </c>
      <c r="Z68" s="3270"/>
      <c r="AA68" s="3270"/>
      <c r="AB68" s="3270"/>
      <c r="AC68" s="3270"/>
      <c r="AD68" s="3269" t="str">
        <f>IF(Application!D210="At-Risk",AD64*AD67,"$0")</f>
        <v>$0</v>
      </c>
      <c r="AE68" s="3270"/>
      <c r="AF68" s="3270"/>
      <c r="AG68" s="3270"/>
      <c r="AH68" s="3270"/>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1"/>
      <c r="AC71" s="3272"/>
      <c r="AD71" s="3272"/>
      <c r="AE71" s="3272"/>
      <c r="AF71" s="3273"/>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4" t="s">
        <v>1483</v>
      </c>
      <c r="F72" s="3274"/>
      <c r="G72" s="3274"/>
      <c r="H72" s="3274"/>
      <c r="I72" s="3274"/>
      <c r="J72" s="3274"/>
      <c r="K72" s="3274"/>
      <c r="L72" s="3274"/>
      <c r="M72" s="3274"/>
      <c r="N72" s="3274"/>
      <c r="O72" s="3274"/>
      <c r="P72" s="3274"/>
      <c r="Q72" s="3274"/>
      <c r="R72" s="3274"/>
      <c r="S72" s="3274"/>
      <c r="T72" s="3274"/>
      <c r="U72" s="3274"/>
      <c r="V72" s="3274"/>
      <c r="W72" s="3274"/>
      <c r="X72" s="3274"/>
      <c r="Y72" s="3274"/>
      <c r="Z72" s="3274"/>
      <c r="AA72" s="3274"/>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4"/>
      <c r="F73" s="3274"/>
      <c r="G73" s="3274"/>
      <c r="H73" s="3274"/>
      <c r="I73" s="3274"/>
      <c r="J73" s="3274"/>
      <c r="K73" s="3274"/>
      <c r="L73" s="3274"/>
      <c r="M73" s="3274"/>
      <c r="N73" s="3274"/>
      <c r="O73" s="3274"/>
      <c r="P73" s="3274"/>
      <c r="Q73" s="3274"/>
      <c r="R73" s="3274"/>
      <c r="S73" s="3274"/>
      <c r="T73" s="3274"/>
      <c r="U73" s="3274"/>
      <c r="V73" s="3274"/>
      <c r="W73" s="3274"/>
      <c r="X73" s="3274"/>
      <c r="Y73" s="3274"/>
      <c r="Z73" s="3274"/>
      <c r="AA73" s="3274"/>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4"/>
      <c r="F74" s="3274"/>
      <c r="G74" s="3274"/>
      <c r="H74" s="3274"/>
      <c r="I74" s="3274"/>
      <c r="J74" s="3274"/>
      <c r="K74" s="3274"/>
      <c r="L74" s="3274"/>
      <c r="M74" s="3274"/>
      <c r="N74" s="3274"/>
      <c r="O74" s="3274"/>
      <c r="P74" s="3274"/>
      <c r="Q74" s="3274"/>
      <c r="R74" s="3274"/>
      <c r="S74" s="3274"/>
      <c r="T74" s="3274"/>
      <c r="U74" s="3274"/>
      <c r="V74" s="3274"/>
      <c r="W74" s="3274"/>
      <c r="X74" s="3274"/>
      <c r="Y74" s="3274"/>
      <c r="Z74" s="3274"/>
      <c r="AA74" s="3274"/>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2">
        <f>ROUND(IF(ISERROR((AB59/AB71)),0,(AB59/AB71)),0)</f>
        <v>0</v>
      </c>
      <c r="AC76" s="3262"/>
      <c r="AD76" s="3262"/>
      <c r="AE76" s="3262"/>
      <c r="AF76" s="3262"/>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3">
        <f>IF((Y68+AD68&lt;AB76),Y68+AD68,AB76)</f>
        <v>0</v>
      </c>
      <c r="AC77" s="3264"/>
      <c r="AD77" s="3264"/>
      <c r="AE77" s="3264"/>
      <c r="AF77" s="3265"/>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6">
        <f>AB77*AB71</f>
        <v>0</v>
      </c>
      <c r="AC78" s="3266"/>
      <c r="AD78" s="3266"/>
      <c r="AE78" s="3266"/>
      <c r="AF78" s="3266"/>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7">
        <f>AB49-(AB57+AB78)</f>
        <v>0</v>
      </c>
      <c r="AC80" s="3267"/>
      <c r="AD80" s="3267"/>
      <c r="AE80" s="3267"/>
      <c r="AF80" s="3267"/>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9"/>
      <c r="B83" s="3289"/>
      <c r="C83" s="3289"/>
      <c r="D83" s="3289"/>
      <c r="E83" s="3289"/>
      <c r="F83" s="3289"/>
      <c r="G83" s="3289"/>
      <c r="H83" s="3289"/>
      <c r="I83" s="3289"/>
      <c r="J83" s="3289"/>
      <c r="K83" s="3289"/>
      <c r="L83" s="3289"/>
      <c r="M83" s="3289"/>
      <c r="N83" s="3289"/>
      <c r="O83" s="3289"/>
      <c r="P83" s="3289"/>
      <c r="Q83" s="3289"/>
      <c r="R83" s="3289"/>
      <c r="S83" s="3289"/>
      <c r="T83" s="3289"/>
      <c r="U83" s="3289"/>
      <c r="V83" s="3289"/>
      <c r="W83" s="3289"/>
      <c r="X83" s="3289"/>
      <c r="Y83" s="3289"/>
      <c r="Z83" s="3289"/>
      <c r="AA83" s="3289"/>
      <c r="AB83" s="3289"/>
      <c r="AC83" s="3289"/>
      <c r="AD83" s="3289"/>
      <c r="AE83" s="3289"/>
      <c r="AF83" s="3289"/>
      <c r="AG83" s="3289"/>
      <c r="AH83" s="3289"/>
      <c r="AI83" s="3289"/>
      <c r="AJ83" s="3289"/>
      <c r="AK83" s="3289"/>
      <c r="AL83" s="3289"/>
      <c r="AM83" s="3289"/>
      <c r="AN83" s="3289"/>
      <c r="AO83" s="3289"/>
      <c r="AP83" s="3289"/>
      <c r="AQ83" s="3289"/>
      <c r="AR83" s="3289"/>
      <c r="AS83" s="3289"/>
      <c r="AT83" s="3289"/>
      <c r="AU83" s="3289"/>
      <c r="AV83" s="3289"/>
      <c r="AW83" s="3289"/>
      <c r="AX83" s="3289"/>
      <c r="AY83" s="3289"/>
      <c r="AZ83" s="3289"/>
      <c r="BA83" s="3289"/>
      <c r="BB83" s="3289"/>
      <c r="BC83" s="3289"/>
      <c r="BD83" s="3289"/>
      <c r="BE83" s="3289"/>
      <c r="BF83" s="3289"/>
      <c r="BG83" s="3289"/>
      <c r="BH83" s="3289"/>
      <c r="BI83" s="3289"/>
      <c r="BJ83" s="3289"/>
      <c r="BK83" s="3289"/>
      <c r="BL83" s="3289"/>
      <c r="BM83" s="3289"/>
      <c r="BN83" s="3289"/>
      <c r="BO83" s="3289"/>
      <c r="BP83" s="3289"/>
      <c r="BQ83" s="3289"/>
      <c r="BR83" s="3289"/>
      <c r="BS83" s="3289"/>
      <c r="BT83" s="3289"/>
      <c r="BU83" s="3289"/>
      <c r="BV83" s="3289"/>
      <c r="BW83" s="3289"/>
      <c r="BX83" s="3289"/>
    </row>
    <row r="84" spans="1:98" ht="13.5" thickTop="1"/>
    <row r="85" spans="1:98" ht="12.75">
      <c r="A85" s="794"/>
      <c r="C85" s="334"/>
      <c r="Z85" s="619"/>
      <c r="AA85" s="619"/>
      <c r="AB85" s="619"/>
      <c r="AC85" s="619"/>
      <c r="AD85" s="619"/>
      <c r="AE85" s="619"/>
      <c r="AF85" s="619"/>
      <c r="AG85" s="619"/>
      <c r="AH85" s="619"/>
    </row>
    <row r="86" spans="1:98" ht="12.75">
      <c r="D86" s="334"/>
      <c r="Z86" s="619"/>
      <c r="AA86" s="619"/>
      <c r="AB86" s="3330"/>
      <c r="AC86" s="3330"/>
      <c r="AD86" s="3330"/>
      <c r="AE86" s="3330"/>
      <c r="AF86" s="3330"/>
      <c r="AG86" s="619"/>
      <c r="AH86" s="619"/>
    </row>
    <row r="87" spans="1:98" ht="13.5" thickBot="1">
      <c r="D87" s="334"/>
      <c r="Z87" s="619"/>
      <c r="AA87" s="619"/>
      <c r="AB87" s="3329"/>
      <c r="AC87" s="3329"/>
      <c r="AD87" s="3329"/>
      <c r="AE87" s="3329"/>
      <c r="AF87" s="3329"/>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Y28" sqref="Y28"/>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45" t="s">
        <v>1936</v>
      </c>
      <c r="B1" s="3345"/>
      <c r="C1" s="3345"/>
      <c r="D1" s="3345"/>
      <c r="E1" s="3345"/>
      <c r="F1" s="3345"/>
      <c r="G1" s="3345"/>
      <c r="H1" s="3345"/>
      <c r="I1" s="3345"/>
      <c r="J1" s="3345"/>
      <c r="K1" s="3345"/>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5"/>
      <c r="B2" s="3345"/>
      <c r="C2" s="3345"/>
      <c r="D2" s="3345"/>
      <c r="E2" s="3345"/>
      <c r="F2" s="3345"/>
      <c r="G2" s="3345"/>
      <c r="H2" s="3345"/>
      <c r="I2" s="3345"/>
      <c r="J2" s="3345"/>
      <c r="K2" s="3345"/>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6" t="s">
        <v>1937</v>
      </c>
      <c r="D4" s="3346"/>
      <c r="E4" s="3346"/>
      <c r="F4" s="3346"/>
      <c r="G4" s="3346"/>
      <c r="H4" s="3346"/>
      <c r="I4" s="3346"/>
      <c r="J4" s="3346"/>
    </row>
    <row r="5" spans="1:33">
      <c r="C5" s="3346"/>
      <c r="D5" s="3346"/>
      <c r="E5" s="3346"/>
      <c r="F5" s="3346"/>
      <c r="G5" s="3346"/>
      <c r="H5" s="3346"/>
      <c r="I5" s="3346"/>
      <c r="J5" s="3346"/>
    </row>
    <row r="6" spans="1:33">
      <c r="C6" s="1426"/>
      <c r="D6" s="1426"/>
      <c r="E6" s="1426"/>
      <c r="F6" s="1426"/>
      <c r="G6" s="1426"/>
      <c r="H6" s="1426"/>
      <c r="I6" s="1426"/>
      <c r="J6" s="1426"/>
    </row>
    <row r="7" spans="1:33">
      <c r="C7" s="1427" t="s">
        <v>1938</v>
      </c>
      <c r="D7" s="1426"/>
      <c r="E7" s="3347" t="str">
        <f>Application!H16</f>
        <v>JEMCOR Development Partners, LLC</v>
      </c>
      <c r="F7" s="3347"/>
      <c r="G7" s="3347"/>
      <c r="H7" s="1426"/>
      <c r="I7" s="1427" t="s">
        <v>1939</v>
      </c>
      <c r="J7" s="1428">
        <f>Application!AG437+Application!AG439</f>
        <v>246</v>
      </c>
    </row>
    <row r="8" spans="1:33">
      <c r="C8" s="1427" t="s">
        <v>1940</v>
      </c>
      <c r="D8" s="1426"/>
      <c r="E8" s="3347" t="str">
        <f>Application!H18</f>
        <v xml:space="preserve">Monterey and Madrone Apartments </v>
      </c>
      <c r="F8" s="3347"/>
      <c r="G8" s="3347"/>
      <c r="H8" s="1426"/>
      <c r="I8" s="1427" t="s">
        <v>1941</v>
      </c>
      <c r="J8" s="1429">
        <f>Application!CS663</f>
        <v>485</v>
      </c>
    </row>
    <row r="9" spans="1:33" ht="14.25" customHeight="1">
      <c r="C9" s="1427" t="s">
        <v>1942</v>
      </c>
      <c r="D9" s="1426"/>
      <c r="E9" s="3348" t="str">
        <f>Application!D210</f>
        <v>Large Family</v>
      </c>
      <c r="F9" s="3348"/>
      <c r="G9" s="3348"/>
      <c r="H9" s="1426"/>
      <c r="I9" s="1427" t="s">
        <v>1943</v>
      </c>
      <c r="J9" s="1430"/>
      <c r="N9" s="1431"/>
    </row>
    <row r="10" spans="1:33" ht="26.85" customHeight="1">
      <c r="C10" s="3346" t="s">
        <v>1944</v>
      </c>
      <c r="D10" s="3346"/>
      <c r="E10" s="3349" t="str">
        <f>Application!D213</f>
        <v>N/A</v>
      </c>
      <c r="F10" s="3349"/>
      <c r="G10" s="3349"/>
      <c r="H10" s="1426"/>
      <c r="I10" s="1432" t="s">
        <v>1945</v>
      </c>
      <c r="J10" s="1433">
        <f>IF(J9&gt;0,J8-J9,J8)</f>
        <v>485</v>
      </c>
      <c r="N10" s="1431"/>
    </row>
    <row r="11" spans="1:33">
      <c r="C11" s="1434"/>
      <c r="N11" s="1431"/>
    </row>
    <row r="12" spans="1:33" ht="15" customHeight="1">
      <c r="C12" s="3350" t="s">
        <v>1946</v>
      </c>
      <c r="D12" s="3351"/>
      <c r="E12" s="3352"/>
      <c r="F12" s="3343" t="s">
        <v>1947</v>
      </c>
      <c r="G12" s="3343" t="s">
        <v>1948</v>
      </c>
      <c r="H12" s="3356" t="s">
        <v>2162</v>
      </c>
      <c r="I12" s="3343" t="s">
        <v>2161</v>
      </c>
      <c r="J12" s="3343" t="s">
        <v>1949</v>
      </c>
      <c r="N12" s="1431"/>
    </row>
    <row r="13" spans="1:33" ht="68.25" customHeight="1">
      <c r="C13" s="3353"/>
      <c r="D13" s="3354"/>
      <c r="E13" s="3355"/>
      <c r="F13" s="3344"/>
      <c r="G13" s="3344"/>
      <c r="H13" s="3357"/>
      <c r="I13" s="3344"/>
      <c r="J13" s="3344"/>
    </row>
    <row r="14" spans="1:33" ht="15" customHeight="1">
      <c r="C14" s="1435" t="s">
        <v>1950</v>
      </c>
      <c r="D14" s="1436"/>
      <c r="E14" s="1436"/>
      <c r="F14" s="1437"/>
      <c r="G14" s="1437"/>
      <c r="H14" s="1438"/>
      <c r="I14" s="1438"/>
      <c r="J14" s="1438"/>
    </row>
    <row r="15" spans="1:33">
      <c r="C15" s="1439" t="s">
        <v>1951</v>
      </c>
      <c r="D15" s="1424" t="s">
        <v>1952</v>
      </c>
      <c r="F15" s="1857">
        <v>156</v>
      </c>
      <c r="G15" s="1858">
        <v>2683.2</v>
      </c>
      <c r="H15" s="1859"/>
      <c r="I15" s="1859"/>
      <c r="J15" s="1859" t="s">
        <v>2554</v>
      </c>
    </row>
    <row r="16" spans="1:33">
      <c r="C16" s="1439" t="s">
        <v>1953</v>
      </c>
      <c r="D16" s="1424" t="s">
        <v>1954</v>
      </c>
      <c r="F16" s="1857"/>
      <c r="G16" s="1860"/>
      <c r="H16" s="1859"/>
      <c r="I16" s="1859"/>
      <c r="J16" s="1859"/>
    </row>
    <row r="17" spans="3:10">
      <c r="C17" s="1439" t="s">
        <v>1837</v>
      </c>
      <c r="D17" s="1424" t="s">
        <v>1955</v>
      </c>
      <c r="F17" s="1857">
        <v>104</v>
      </c>
      <c r="G17" s="1858">
        <v>1788.8</v>
      </c>
      <c r="H17" s="1859"/>
      <c r="I17" s="1859"/>
      <c r="J17" s="1859" t="s">
        <v>2554</v>
      </c>
    </row>
    <row r="18" spans="3:10">
      <c r="C18" s="1439" t="s">
        <v>1956</v>
      </c>
      <c r="D18" s="1425" t="s">
        <v>1957</v>
      </c>
      <c r="E18" s="1425"/>
      <c r="F18" s="1857"/>
      <c r="G18" s="1860"/>
      <c r="H18" s="1859"/>
      <c r="I18" s="1859"/>
      <c r="J18" s="1859"/>
    </row>
    <row r="19" spans="3:10">
      <c r="C19" s="1439" t="s">
        <v>1958</v>
      </c>
      <c r="D19" s="1425" t="s">
        <v>1959</v>
      </c>
      <c r="E19" s="1425"/>
      <c r="F19" s="1857"/>
      <c r="G19" s="1860"/>
      <c r="H19" s="1859"/>
      <c r="I19" s="1859"/>
      <c r="J19" s="1859"/>
    </row>
    <row r="20" spans="3:10">
      <c r="C20" s="1439" t="s">
        <v>1960</v>
      </c>
      <c r="D20" s="1425" t="s">
        <v>1961</v>
      </c>
      <c r="E20" s="1443"/>
      <c r="F20" s="1861">
        <v>520</v>
      </c>
      <c r="G20" s="1858">
        <v>8944</v>
      </c>
      <c r="H20" s="1859"/>
      <c r="I20" s="1859"/>
      <c r="J20" s="1859" t="s">
        <v>2554</v>
      </c>
    </row>
    <row r="21" spans="3:10">
      <c r="C21" s="1444"/>
      <c r="D21" s="1445"/>
      <c r="E21" s="1446"/>
      <c r="F21" s="1861"/>
      <c r="G21" s="1860"/>
      <c r="H21" s="1859"/>
      <c r="I21" s="1859"/>
      <c r="J21" s="1859"/>
    </row>
    <row r="22" spans="3:10">
      <c r="C22" s="1447" t="s">
        <v>1962</v>
      </c>
      <c r="D22" s="1448"/>
      <c r="E22" s="1448"/>
      <c r="F22" s="1449"/>
      <c r="G22" s="1450"/>
      <c r="H22" s="1451"/>
      <c r="I22" s="1451"/>
      <c r="J22" s="1451"/>
    </row>
    <row r="23" spans="3:10">
      <c r="C23" s="1439" t="s">
        <v>1963</v>
      </c>
      <c r="D23" s="1425" t="s">
        <v>1964</v>
      </c>
      <c r="E23" s="1425"/>
      <c r="F23" s="1440"/>
      <c r="G23" s="1442"/>
      <c r="H23" s="1441"/>
      <c r="I23" s="1441"/>
      <c r="J23" s="1441"/>
    </row>
    <row r="24" spans="3:10">
      <c r="C24" s="1439" t="s">
        <v>1965</v>
      </c>
      <c r="D24" s="1425" t="s">
        <v>1966</v>
      </c>
      <c r="E24" s="1425"/>
      <c r="F24" s="1440"/>
      <c r="G24" s="1442"/>
      <c r="H24" s="1441"/>
      <c r="I24" s="1441"/>
      <c r="J24" s="1441"/>
    </row>
    <row r="25" spans="3:10">
      <c r="C25" s="1439" t="s">
        <v>1967</v>
      </c>
      <c r="D25" s="1424" t="s">
        <v>1955</v>
      </c>
      <c r="E25" s="1425"/>
      <c r="F25" s="1440"/>
      <c r="G25" s="1442"/>
      <c r="H25" s="1441"/>
      <c r="I25" s="1441"/>
      <c r="J25" s="1441"/>
    </row>
    <row r="26" spans="3:10">
      <c r="C26" s="1439" t="s">
        <v>1968</v>
      </c>
      <c r="D26" s="1425" t="s">
        <v>1969</v>
      </c>
      <c r="E26" s="1425"/>
      <c r="F26" s="1440"/>
      <c r="G26" s="1442"/>
      <c r="H26" s="1441"/>
      <c r="I26" s="1441"/>
      <c r="J26" s="1441"/>
    </row>
    <row r="27" spans="3:10">
      <c r="C27" s="1439" t="s">
        <v>1970</v>
      </c>
      <c r="D27" s="1425" t="s">
        <v>1959</v>
      </c>
      <c r="E27" s="1425"/>
      <c r="F27" s="1440"/>
      <c r="G27" s="1442"/>
      <c r="H27" s="1441"/>
      <c r="I27" s="1441"/>
      <c r="J27" s="1441"/>
    </row>
    <row r="28" spans="3:10">
      <c r="C28" s="1439" t="s">
        <v>1971</v>
      </c>
      <c r="D28" s="1425" t="s">
        <v>1961</v>
      </c>
      <c r="E28" s="1425"/>
      <c r="F28" s="1440"/>
      <c r="G28" s="1442"/>
      <c r="H28" s="1441"/>
      <c r="I28" s="1441"/>
      <c r="J28" s="1441"/>
    </row>
    <row r="29" spans="3:10">
      <c r="C29" s="1452"/>
      <c r="D29" s="1434"/>
      <c r="E29" s="1434"/>
      <c r="F29" s="1440"/>
      <c r="G29" s="1442"/>
      <c r="H29" s="1441"/>
      <c r="I29" s="1441"/>
      <c r="J29" s="1441"/>
    </row>
    <row r="30" spans="3:10" ht="15">
      <c r="C30" s="1453" t="s">
        <v>1972</v>
      </c>
      <c r="D30" s="1448"/>
      <c r="E30" s="1448"/>
      <c r="F30" s="1454"/>
      <c r="G30" s="1455"/>
      <c r="H30" s="1456"/>
      <c r="I30" s="1456"/>
      <c r="J30" s="1456"/>
    </row>
    <row r="31" spans="3:10">
      <c r="C31" s="1439"/>
      <c r="D31" s="1457"/>
      <c r="E31" s="1457"/>
      <c r="F31" s="1857"/>
      <c r="G31" s="1858">
        <v>5984</v>
      </c>
      <c r="H31" s="1859"/>
      <c r="I31" s="1859"/>
      <c r="J31" s="1859" t="s">
        <v>2554</v>
      </c>
    </row>
    <row r="32" spans="3:10">
      <c r="C32" s="1439"/>
      <c r="D32" s="1457"/>
      <c r="E32" s="1457"/>
      <c r="F32" s="1857"/>
      <c r="G32" s="1858">
        <v>600</v>
      </c>
      <c r="H32" s="1859"/>
      <c r="I32" s="1859"/>
      <c r="J32" s="1859" t="s">
        <v>2554</v>
      </c>
    </row>
    <row r="33" spans="3:10">
      <c r="C33" s="1439"/>
      <c r="D33" s="1458"/>
      <c r="E33" s="1457"/>
      <c r="F33" s="1857"/>
      <c r="G33" s="1860"/>
      <c r="H33" s="1859"/>
      <c r="I33" s="1859"/>
      <c r="J33" s="1859"/>
    </row>
    <row r="34" spans="3:10">
      <c r="C34" s="1439"/>
      <c r="F34" s="1459"/>
      <c r="G34" s="1459"/>
      <c r="H34" s="1459"/>
      <c r="I34" s="1459"/>
      <c r="J34" s="1459"/>
    </row>
    <row r="35" spans="3:10" ht="15">
      <c r="C35" s="1460" t="s">
        <v>968</v>
      </c>
      <c r="D35" s="1461"/>
      <c r="E35" s="1461"/>
      <c r="F35" s="1462"/>
      <c r="G35" s="1463">
        <f>SUM(G15:G33)</f>
        <v>20000</v>
      </c>
      <c r="H35" s="1464"/>
      <c r="I35" s="1464"/>
      <c r="J35" s="1464"/>
    </row>
    <row r="36" spans="3:10"/>
    <row r="37" spans="3:10" ht="16.5">
      <c r="C37" s="1465" t="s">
        <v>1973</v>
      </c>
    </row>
    <row r="38" spans="3:10" s="1467" customFormat="1" ht="17.25" customHeight="1">
      <c r="C38" s="1466" t="s">
        <v>1974</v>
      </c>
    </row>
    <row r="39" spans="3:10" s="1467" customFormat="1" ht="15">
      <c r="C39" s="1467" t="s">
        <v>1975</v>
      </c>
    </row>
    <row r="40" spans="3:10" s="1467" customFormat="1"/>
    <row r="41" spans="3:10" s="1467" customFormat="1"/>
    <row r="42" spans="3:10" s="1467" customFormat="1" hidden="1"/>
    <row r="43" spans="3:10" s="1467" customFormat="1" hidden="1"/>
    <row r="44" spans="3:10" s="1467" customFormat="1" hidden="1"/>
    <row r="45" spans="3:10" s="1467" customFormat="1" hidden="1"/>
    <row r="46" spans="3:10" s="1467" customFormat="1" hidden="1"/>
    <row r="47" spans="3:10" s="1467" customFormat="1" hidden="1"/>
    <row r="48" spans="3:10" s="1467" customFormat="1" hidden="1"/>
    <row r="49" s="1467" customFormat="1" hidden="1"/>
    <row r="50" s="1467" customFormat="1" hidden="1"/>
    <row r="51" s="1467" customFormat="1" hidden="1"/>
    <row r="52" s="1467" customFormat="1" hidden="1"/>
    <row r="53" s="1467"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A51" sqref="A51:C51"/>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5942268</v>
      </c>
      <c r="G4" s="354">
        <f>E4*$C$4</f>
        <v>6090824.6999999993</v>
      </c>
      <c r="I4" s="354">
        <f>G4*$C$4</f>
        <v>6243095.317499999</v>
      </c>
      <c r="K4" s="354">
        <f>I4*$C$4</f>
        <v>6399172.7004374983</v>
      </c>
      <c r="M4" s="354">
        <f>K4*$C$4</f>
        <v>6559152.0179484356</v>
      </c>
      <c r="O4" s="354">
        <f>M4*$C$4</f>
        <v>6723130.8183971457</v>
      </c>
      <c r="Q4" s="354">
        <f>O4*$C$4</f>
        <v>6891209.0888570733</v>
      </c>
      <c r="S4" s="354">
        <f>Q4*$C$4</f>
        <v>7063489.3160784999</v>
      </c>
      <c r="U4" s="354">
        <f>S4*$C$4</f>
        <v>7240076.5489804614</v>
      </c>
      <c r="W4" s="354">
        <f>U4*$C$4</f>
        <v>7421078.4627049724</v>
      </c>
      <c r="Y4" s="354">
        <f>W4*$C$4</f>
        <v>7606605.4242725959</v>
      </c>
      <c r="AA4" s="354">
        <f>Y4*$C$4</f>
        <v>7796770.5598794101</v>
      </c>
      <c r="AC4" s="354">
        <f>AA4*$C$4</f>
        <v>7991689.8238763949</v>
      </c>
      <c r="AE4" s="354">
        <f>AC4*$C$4</f>
        <v>8191482.0694733039</v>
      </c>
      <c r="AG4" s="354">
        <f>AE4*$C$4</f>
        <v>8396269.1212101355</v>
      </c>
    </row>
    <row r="5" spans="1:34" s="339" customFormat="1" ht="14.25">
      <c r="B5" s="339" t="s">
        <v>901</v>
      </c>
      <c r="C5" s="375">
        <f>IF(Application!$D$210="Special Needs",0.1,0.05)</f>
        <v>0.05</v>
      </c>
      <c r="E5" s="356">
        <f>-E4*$C$5</f>
        <v>-297113.40000000002</v>
      </c>
      <c r="F5" s="356"/>
      <c r="G5" s="356">
        <f>-G4*$C$5</f>
        <v>-304541.23499999999</v>
      </c>
      <c r="H5" s="356"/>
      <c r="I5" s="356">
        <f>-I4*$C$5</f>
        <v>-312154.76587499998</v>
      </c>
      <c r="J5" s="356"/>
      <c r="K5" s="356">
        <f>-K4*$C$5</f>
        <v>-319958.63502187491</v>
      </c>
      <c r="L5" s="356"/>
      <c r="M5" s="356">
        <f>-M4*$C$5</f>
        <v>-327957.60089742183</v>
      </c>
      <c r="N5" s="356"/>
      <c r="O5" s="356">
        <f>-O4*$C$5</f>
        <v>-336156.54091985733</v>
      </c>
      <c r="P5" s="356"/>
      <c r="Q5" s="356">
        <f>-Q4*$C$5</f>
        <v>-344560.45444285369</v>
      </c>
      <c r="R5" s="356"/>
      <c r="S5" s="356">
        <f>-S4*$C$5</f>
        <v>-353174.46580392501</v>
      </c>
      <c r="T5" s="356"/>
      <c r="U5" s="356">
        <f>-U4*$C$5</f>
        <v>-362003.82744902308</v>
      </c>
      <c r="V5" s="356"/>
      <c r="W5" s="356">
        <f>-W4*$C$5</f>
        <v>-371053.92313524865</v>
      </c>
      <c r="X5" s="356"/>
      <c r="Y5" s="356">
        <f>-Y4*$C$5</f>
        <v>-380330.27121362981</v>
      </c>
      <c r="Z5" s="356"/>
      <c r="AA5" s="356">
        <f>-AA4*$C$5</f>
        <v>-389838.52799397055</v>
      </c>
      <c r="AB5" s="356"/>
      <c r="AC5" s="356">
        <f>-AC4*$C$5</f>
        <v>-399584.49119381979</v>
      </c>
      <c r="AD5" s="356"/>
      <c r="AE5" s="356">
        <f>-AE4*$C$5</f>
        <v>-409574.10347366519</v>
      </c>
      <c r="AF5" s="356"/>
      <c r="AG5" s="356">
        <f>-AG4*$C$5</f>
        <v>-419813.45606050681</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49800</v>
      </c>
      <c r="F8" s="357"/>
      <c r="G8" s="357">
        <f>E8*$C$8</f>
        <v>51044.999999999993</v>
      </c>
      <c r="H8" s="357"/>
      <c r="I8" s="357">
        <f>G8*$C$8</f>
        <v>52321.124999999985</v>
      </c>
      <c r="J8" s="357"/>
      <c r="K8" s="357">
        <f>I8*$C$8</f>
        <v>53629.153124999983</v>
      </c>
      <c r="L8" s="357"/>
      <c r="M8" s="357">
        <f>K8*$C$8</f>
        <v>54969.881953124976</v>
      </c>
      <c r="N8" s="357"/>
      <c r="O8" s="357">
        <f>M8*$C$8</f>
        <v>56344.129001953093</v>
      </c>
      <c r="P8" s="357"/>
      <c r="Q8" s="357">
        <f>O8*$C$8</f>
        <v>57752.732227001914</v>
      </c>
      <c r="R8" s="357"/>
      <c r="S8" s="357">
        <f>Q8*$C$8</f>
        <v>59196.550532676956</v>
      </c>
      <c r="T8" s="357"/>
      <c r="U8" s="357">
        <f>S8*$C$8</f>
        <v>60676.464295993872</v>
      </c>
      <c r="V8" s="357"/>
      <c r="W8" s="357">
        <f>U8*$C$8</f>
        <v>62193.375903393717</v>
      </c>
      <c r="X8" s="357"/>
      <c r="Y8" s="357">
        <f>W8*$C$8</f>
        <v>63748.210300978557</v>
      </c>
      <c r="Z8" s="357"/>
      <c r="AA8" s="357">
        <f>Y8*$C$8</f>
        <v>65341.915558503017</v>
      </c>
      <c r="AB8" s="357"/>
      <c r="AC8" s="357">
        <f>AA8*$C$8</f>
        <v>66975.46344746559</v>
      </c>
      <c r="AD8" s="357"/>
      <c r="AE8" s="357">
        <f>AC8*$C$8</f>
        <v>68649.850033652227</v>
      </c>
      <c r="AF8" s="357"/>
      <c r="AG8" s="357">
        <f>AE8*$C$8</f>
        <v>70366.096284493527</v>
      </c>
    </row>
    <row r="9" spans="1:34" s="339" customFormat="1" ht="14.25">
      <c r="B9" s="339" t="s">
        <v>901</v>
      </c>
      <c r="C9" s="375">
        <f>IF(Application!$D$210="Special Needs",0.1,0.05)</f>
        <v>0.05</v>
      </c>
      <c r="E9" s="373">
        <f>-E8*$C$9</f>
        <v>-2490</v>
      </c>
      <c r="F9" s="356"/>
      <c r="G9" s="373">
        <f>-G8*$C$9</f>
        <v>-2552.25</v>
      </c>
      <c r="H9" s="356"/>
      <c r="I9" s="373">
        <f>-I8*$C$9</f>
        <v>-2616.0562499999996</v>
      </c>
      <c r="J9" s="356"/>
      <c r="K9" s="373">
        <f>-K8*$C$9</f>
        <v>-2681.4576562499992</v>
      </c>
      <c r="L9" s="356"/>
      <c r="M9" s="373">
        <f>-M8*$C$9</f>
        <v>-2748.4940976562489</v>
      </c>
      <c r="N9" s="356"/>
      <c r="O9" s="373">
        <f>-O8*$C$9</f>
        <v>-2817.2064500976549</v>
      </c>
      <c r="P9" s="356"/>
      <c r="Q9" s="373">
        <f>-Q8*$C$9</f>
        <v>-2887.6366113500958</v>
      </c>
      <c r="R9" s="356"/>
      <c r="S9" s="373">
        <f>-S8*$C$9</f>
        <v>-2959.8275266338478</v>
      </c>
      <c r="T9" s="356"/>
      <c r="U9" s="373">
        <f>-U8*$C$9</f>
        <v>-3033.8232147996937</v>
      </c>
      <c r="V9" s="356"/>
      <c r="W9" s="373">
        <f>-W8*$C$9</f>
        <v>-3109.6687951696858</v>
      </c>
      <c r="X9" s="356"/>
      <c r="Y9" s="373">
        <f>-Y8*$C$9</f>
        <v>-3187.4105150489281</v>
      </c>
      <c r="Z9" s="356"/>
      <c r="AA9" s="373">
        <f>-AA8*$C$9</f>
        <v>-3267.0957779251512</v>
      </c>
      <c r="AB9" s="356"/>
      <c r="AC9" s="373">
        <f>-AC8*$C$9</f>
        <v>-3348.7731723732795</v>
      </c>
      <c r="AD9" s="356"/>
      <c r="AE9" s="373">
        <f>-AE8*$C$9</f>
        <v>-3432.4925016826114</v>
      </c>
      <c r="AF9" s="356"/>
      <c r="AG9" s="373">
        <f>-AG8*$C$9</f>
        <v>-3518.3048142246766</v>
      </c>
    </row>
    <row r="10" spans="1:34" s="358" customFormat="1" ht="15">
      <c r="A10" s="358" t="s">
        <v>922</v>
      </c>
      <c r="C10" s="349"/>
      <c r="E10" s="358">
        <f>SUM(E4:E9)</f>
        <v>5692464.5999999996</v>
      </c>
      <c r="G10" s="358">
        <f>SUM(G4:G9)</f>
        <v>5834776.2149999989</v>
      </c>
      <c r="I10" s="358">
        <f>SUM(I4:I9)</f>
        <v>5980645.620374999</v>
      </c>
      <c r="K10" s="358">
        <f>SUM(K4:K9)</f>
        <v>6130161.7608843734</v>
      </c>
      <c r="M10" s="358">
        <f>SUM(M4:M9)</f>
        <v>6283415.8049064819</v>
      </c>
      <c r="O10" s="358">
        <f>SUM(O4:O9)</f>
        <v>6440501.2000291441</v>
      </c>
      <c r="Q10" s="358">
        <f>SUM(Q4:Q9)</f>
        <v>6601513.7300298717</v>
      </c>
      <c r="S10" s="358">
        <f>SUM(S4:S9)</f>
        <v>6766551.5732806185</v>
      </c>
      <c r="U10" s="358">
        <f>SUM(U4:U9)</f>
        <v>6935715.3626126321</v>
      </c>
      <c r="W10" s="358">
        <f>SUM(W4:W9)</f>
        <v>7109108.2466779482</v>
      </c>
      <c r="Y10" s="358">
        <f>SUM(Y4:Y9)</f>
        <v>7286835.9528448954</v>
      </c>
      <c r="AA10" s="358">
        <f>SUM(AA4:AA9)</f>
        <v>7469006.8516660174</v>
      </c>
      <c r="AC10" s="358">
        <f>SUM(AC4:AC9)</f>
        <v>7655732.0229576677</v>
      </c>
      <c r="AE10" s="358">
        <f>SUM(AE4:AE9)</f>
        <v>7847125.3235316081</v>
      </c>
      <c r="AG10" s="358">
        <f>SUM(AG4:AG9)</f>
        <v>8043303.4566198979</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67230</v>
      </c>
      <c r="G14" s="354">
        <f>E14*$C$13</f>
        <v>69583.049999999988</v>
      </c>
      <c r="I14" s="354">
        <f>G14*$C$13</f>
        <v>72018.456749999983</v>
      </c>
      <c r="K14" s="354">
        <f>I14*$C$13</f>
        <v>74539.102736249974</v>
      </c>
      <c r="M14" s="354">
        <f>K14*$C$13</f>
        <v>77147.971332018715</v>
      </c>
      <c r="O14" s="354">
        <f>M14*$C$13</f>
        <v>79848.150328639371</v>
      </c>
      <c r="Q14" s="354">
        <f>O14*$C$13</f>
        <v>82642.835590141738</v>
      </c>
      <c r="S14" s="354">
        <f>Q14*$C$13</f>
        <v>85535.33483579669</v>
      </c>
      <c r="U14" s="354">
        <f>S14*$C$13</f>
        <v>88529.071555049566</v>
      </c>
      <c r="W14" s="354">
        <f>U14*$C$13</f>
        <v>91627.58905947629</v>
      </c>
      <c r="Y14" s="354">
        <f>W14*$C$13</f>
        <v>94834.554676557949</v>
      </c>
      <c r="AA14" s="354">
        <f>Y14*$C$13</f>
        <v>98153.76409023747</v>
      </c>
      <c r="AC14" s="354">
        <f>AA14*$C$13</f>
        <v>101589.14583339577</v>
      </c>
      <c r="AE14" s="354">
        <f>AC14*$C$13</f>
        <v>105144.76593756462</v>
      </c>
      <c r="AG14" s="354">
        <f>AE14*$C$13</f>
        <v>108824.83274537938</v>
      </c>
    </row>
    <row r="15" spans="1:34" s="339" customFormat="1" ht="14.25">
      <c r="A15" s="339" t="s">
        <v>354</v>
      </c>
      <c r="C15" s="368"/>
      <c r="E15" s="357">
        <f>Application!W847</f>
        <v>113849</v>
      </c>
      <c r="F15" s="357"/>
      <c r="G15" s="357">
        <f t="shared" ref="G15:AG20" si="0">E15*$C$13</f>
        <v>117833.715</v>
      </c>
      <c r="H15" s="357"/>
      <c r="I15" s="357">
        <f t="shared" si="0"/>
        <v>121957.89502499999</v>
      </c>
      <c r="J15" s="357"/>
      <c r="K15" s="357">
        <f t="shared" si="0"/>
        <v>126226.42135087498</v>
      </c>
      <c r="L15" s="357"/>
      <c r="M15" s="357">
        <f t="shared" si="0"/>
        <v>130644.3460981556</v>
      </c>
      <c r="N15" s="357"/>
      <c r="O15" s="357">
        <f t="shared" si="0"/>
        <v>135216.89821159103</v>
      </c>
      <c r="P15" s="357"/>
      <c r="Q15" s="357">
        <f t="shared" si="0"/>
        <v>139949.48964899671</v>
      </c>
      <c r="R15" s="357"/>
      <c r="S15" s="357">
        <f t="shared" si="0"/>
        <v>144847.72178671157</v>
      </c>
      <c r="T15" s="357"/>
      <c r="U15" s="357">
        <f t="shared" si="0"/>
        <v>149917.39204924647</v>
      </c>
      <c r="V15" s="357"/>
      <c r="W15" s="357">
        <f t="shared" si="0"/>
        <v>155164.50077097007</v>
      </c>
      <c r="X15" s="357"/>
      <c r="Y15" s="357">
        <f t="shared" si="0"/>
        <v>160595.25829795402</v>
      </c>
      <c r="Z15" s="357"/>
      <c r="AA15" s="357">
        <f t="shared" si="0"/>
        <v>166216.09233838238</v>
      </c>
      <c r="AB15" s="357"/>
      <c r="AC15" s="357">
        <f t="shared" si="0"/>
        <v>172033.65557022576</v>
      </c>
      <c r="AD15" s="357"/>
      <c r="AE15" s="357">
        <f t="shared" si="0"/>
        <v>178054.83351518365</v>
      </c>
      <c r="AF15" s="357"/>
      <c r="AG15" s="357">
        <f t="shared" si="0"/>
        <v>184286.75268821506</v>
      </c>
    </row>
    <row r="16" spans="1:34" s="339" customFormat="1" ht="14.25">
      <c r="A16" s="339" t="s">
        <v>594</v>
      </c>
      <c r="C16" s="368"/>
      <c r="E16" s="357">
        <f>Application!W853</f>
        <v>354825</v>
      </c>
      <c r="F16" s="357"/>
      <c r="G16" s="357">
        <f t="shared" si="0"/>
        <v>367243.875</v>
      </c>
      <c r="H16" s="357"/>
      <c r="I16" s="357">
        <f t="shared" si="0"/>
        <v>380097.41062499996</v>
      </c>
      <c r="J16" s="357"/>
      <c r="K16" s="357">
        <f t="shared" si="0"/>
        <v>393400.81999687495</v>
      </c>
      <c r="L16" s="357"/>
      <c r="M16" s="357">
        <f t="shared" si="0"/>
        <v>407169.84869676555</v>
      </c>
      <c r="N16" s="357"/>
      <c r="O16" s="357">
        <f t="shared" si="0"/>
        <v>421420.7934011523</v>
      </c>
      <c r="P16" s="357"/>
      <c r="Q16" s="357">
        <f t="shared" si="0"/>
        <v>436170.52117019257</v>
      </c>
      <c r="R16" s="357"/>
      <c r="S16" s="357">
        <f t="shared" si="0"/>
        <v>451436.48941114929</v>
      </c>
      <c r="T16" s="357"/>
      <c r="U16" s="357">
        <f t="shared" si="0"/>
        <v>467236.76654053945</v>
      </c>
      <c r="V16" s="357"/>
      <c r="W16" s="357">
        <f t="shared" si="0"/>
        <v>483590.0533694583</v>
      </c>
      <c r="X16" s="357"/>
      <c r="Y16" s="357">
        <f t="shared" si="0"/>
        <v>500515.70523738931</v>
      </c>
      <c r="Z16" s="357"/>
      <c r="AA16" s="357">
        <f t="shared" si="0"/>
        <v>518033.75492069789</v>
      </c>
      <c r="AB16" s="357"/>
      <c r="AC16" s="357">
        <f t="shared" si="0"/>
        <v>536164.93634292227</v>
      </c>
      <c r="AD16" s="357"/>
      <c r="AE16" s="357">
        <f t="shared" si="0"/>
        <v>554930.70911492454</v>
      </c>
      <c r="AF16" s="357"/>
      <c r="AG16" s="357">
        <f t="shared" si="0"/>
        <v>574353.28393394686</v>
      </c>
    </row>
    <row r="17" spans="1:33" s="339" customFormat="1" ht="14.25">
      <c r="A17" s="339" t="s">
        <v>905</v>
      </c>
      <c r="C17" s="368"/>
      <c r="E17" s="357">
        <f>Application!W860</f>
        <v>385950</v>
      </c>
      <c r="F17" s="357"/>
      <c r="G17" s="357">
        <f t="shared" si="0"/>
        <v>399458.24999999994</v>
      </c>
      <c r="H17" s="357"/>
      <c r="I17" s="357">
        <f t="shared" si="0"/>
        <v>413439.28874999989</v>
      </c>
      <c r="J17" s="357"/>
      <c r="K17" s="357">
        <f t="shared" si="0"/>
        <v>427909.66385624983</v>
      </c>
      <c r="L17" s="357"/>
      <c r="M17" s="357">
        <f t="shared" si="0"/>
        <v>442886.50209121854</v>
      </c>
      <c r="N17" s="357"/>
      <c r="O17" s="357">
        <f t="shared" si="0"/>
        <v>458387.52966441115</v>
      </c>
      <c r="P17" s="357"/>
      <c r="Q17" s="357">
        <f t="shared" si="0"/>
        <v>474431.09320266551</v>
      </c>
      <c r="R17" s="357"/>
      <c r="S17" s="357">
        <f t="shared" si="0"/>
        <v>491036.18146475876</v>
      </c>
      <c r="T17" s="357"/>
      <c r="U17" s="357">
        <f t="shared" si="0"/>
        <v>508222.44781602529</v>
      </c>
      <c r="V17" s="357"/>
      <c r="W17" s="357">
        <f t="shared" si="0"/>
        <v>526010.23348958616</v>
      </c>
      <c r="X17" s="357"/>
      <c r="Y17" s="357">
        <f t="shared" si="0"/>
        <v>544420.59166172158</v>
      </c>
      <c r="Z17" s="357"/>
      <c r="AA17" s="357">
        <f t="shared" si="0"/>
        <v>563475.31236988178</v>
      </c>
      <c r="AB17" s="357"/>
      <c r="AC17" s="357">
        <f t="shared" si="0"/>
        <v>583196.94830282754</v>
      </c>
      <c r="AD17" s="357"/>
      <c r="AE17" s="357">
        <f t="shared" si="0"/>
        <v>603608.84149342647</v>
      </c>
      <c r="AF17" s="357"/>
      <c r="AG17" s="357">
        <f t="shared" si="0"/>
        <v>624735.1509456964</v>
      </c>
    </row>
    <row r="18" spans="1:33" s="339" customFormat="1" ht="14.25">
      <c r="A18" s="339" t="s">
        <v>160</v>
      </c>
      <c r="C18" s="368"/>
      <c r="E18" s="357">
        <f>Application!W861</f>
        <v>136950</v>
      </c>
      <c r="F18" s="357"/>
      <c r="G18" s="357">
        <f t="shared" si="0"/>
        <v>141743.25</v>
      </c>
      <c r="H18" s="357"/>
      <c r="I18" s="357">
        <f t="shared" si="0"/>
        <v>146704.26374999998</v>
      </c>
      <c r="J18" s="357"/>
      <c r="K18" s="357">
        <f t="shared" si="0"/>
        <v>151838.91298124997</v>
      </c>
      <c r="L18" s="357"/>
      <c r="M18" s="357">
        <f t="shared" si="0"/>
        <v>157153.27493559371</v>
      </c>
      <c r="N18" s="357"/>
      <c r="O18" s="357">
        <f t="shared" si="0"/>
        <v>162653.63955833949</v>
      </c>
      <c r="P18" s="357"/>
      <c r="Q18" s="357">
        <f t="shared" si="0"/>
        <v>168346.51694288137</v>
      </c>
      <c r="R18" s="357"/>
      <c r="S18" s="357">
        <f t="shared" si="0"/>
        <v>174238.64503588219</v>
      </c>
      <c r="T18" s="357"/>
      <c r="U18" s="357">
        <f t="shared" si="0"/>
        <v>180336.99761213805</v>
      </c>
      <c r="V18" s="357"/>
      <c r="W18" s="357">
        <f t="shared" si="0"/>
        <v>186648.79252856286</v>
      </c>
      <c r="X18" s="357"/>
      <c r="Y18" s="357">
        <f t="shared" si="0"/>
        <v>193181.50026706254</v>
      </c>
      <c r="Z18" s="357"/>
      <c r="AA18" s="357">
        <f t="shared" si="0"/>
        <v>199942.85277640971</v>
      </c>
      <c r="AB18" s="357"/>
      <c r="AC18" s="357">
        <f t="shared" si="0"/>
        <v>206940.85262358404</v>
      </c>
      <c r="AD18" s="357"/>
      <c r="AE18" s="357">
        <f t="shared" si="0"/>
        <v>214183.78246540946</v>
      </c>
      <c r="AF18" s="357"/>
      <c r="AG18" s="357">
        <f t="shared" si="0"/>
        <v>221680.21485169878</v>
      </c>
    </row>
    <row r="19" spans="1:33" s="339" customFormat="1" ht="14.25">
      <c r="A19" s="339" t="s">
        <v>409</v>
      </c>
      <c r="C19" s="368"/>
      <c r="E19" s="357">
        <f>Application!W870</f>
        <v>286350</v>
      </c>
      <c r="F19" s="357"/>
      <c r="G19" s="357">
        <f t="shared" si="0"/>
        <v>296372.25</v>
      </c>
      <c r="H19" s="357"/>
      <c r="I19" s="357">
        <f t="shared" si="0"/>
        <v>306745.27875</v>
      </c>
      <c r="J19" s="357"/>
      <c r="K19" s="357">
        <f t="shared" si="0"/>
        <v>317481.36350624997</v>
      </c>
      <c r="L19" s="357"/>
      <c r="M19" s="357">
        <f t="shared" si="0"/>
        <v>328593.21122896869</v>
      </c>
      <c r="N19" s="357"/>
      <c r="O19" s="357">
        <f t="shared" si="0"/>
        <v>340093.97362198256</v>
      </c>
      <c r="P19" s="357"/>
      <c r="Q19" s="357">
        <f t="shared" si="0"/>
        <v>351997.26269875193</v>
      </c>
      <c r="R19" s="357"/>
      <c r="S19" s="357">
        <f t="shared" si="0"/>
        <v>364317.16689320822</v>
      </c>
      <c r="T19" s="357"/>
      <c r="U19" s="357">
        <f t="shared" si="0"/>
        <v>377068.26773447049</v>
      </c>
      <c r="V19" s="357"/>
      <c r="W19" s="357">
        <f t="shared" si="0"/>
        <v>390265.65710517694</v>
      </c>
      <c r="X19" s="357"/>
      <c r="Y19" s="357">
        <f t="shared" si="0"/>
        <v>403924.95510385808</v>
      </c>
      <c r="Z19" s="357"/>
      <c r="AA19" s="357">
        <f t="shared" si="0"/>
        <v>418062.32853249309</v>
      </c>
      <c r="AB19" s="357"/>
      <c r="AC19" s="357">
        <f t="shared" si="0"/>
        <v>432694.51003113034</v>
      </c>
      <c r="AD19" s="357"/>
      <c r="AE19" s="357">
        <f t="shared" si="0"/>
        <v>447838.81788221985</v>
      </c>
      <c r="AF19" s="357"/>
      <c r="AG19" s="357">
        <f t="shared" si="0"/>
        <v>463513.1765080975</v>
      </c>
    </row>
    <row r="20" spans="1:33" s="339" customFormat="1" ht="14.25">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906</v>
      </c>
      <c r="C21" s="368"/>
      <c r="E21" s="358">
        <f>SUM(E14:E20)</f>
        <v>1345154</v>
      </c>
      <c r="G21" s="358">
        <f>SUM(G14:G20)</f>
        <v>1392234.39</v>
      </c>
      <c r="I21" s="358">
        <f>SUM(I14:I20)</f>
        <v>1440962.5936499997</v>
      </c>
      <c r="K21" s="358">
        <f>SUM(K14:K20)</f>
        <v>1491396.2844277499</v>
      </c>
      <c r="M21" s="358">
        <f>SUM(M14:M20)</f>
        <v>1543595.1543827206</v>
      </c>
      <c r="O21" s="358">
        <f>SUM(O14:O20)</f>
        <v>1597620.9847861161</v>
      </c>
      <c r="Q21" s="358">
        <f>SUM(Q14:Q20)</f>
        <v>1653537.7192536297</v>
      </c>
      <c r="S21" s="358">
        <f>SUM(S14:S20)</f>
        <v>1711411.5394275067</v>
      </c>
      <c r="U21" s="358">
        <f>SUM(U14:U20)</f>
        <v>1771310.9433074694</v>
      </c>
      <c r="W21" s="358">
        <f>SUM(W14:W20)</f>
        <v>1833306.8263232308</v>
      </c>
      <c r="Y21" s="358">
        <f>SUM(Y14:Y20)</f>
        <v>1897472.5652445436</v>
      </c>
      <c r="AA21" s="358">
        <f>SUM(AA14:AA20)</f>
        <v>1963884.1050281022</v>
      </c>
      <c r="AC21" s="358">
        <f>SUM(AC14:AC20)</f>
        <v>2032620.0487040859</v>
      </c>
      <c r="AE21" s="358">
        <f>SUM(AE14:AE20)</f>
        <v>2103761.7504087286</v>
      </c>
      <c r="AG21" s="358">
        <f>SUM(AG14:AG20)</f>
        <v>2177393.4116730341</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2160</v>
      </c>
      <c r="C23" s="368"/>
      <c r="E23" s="1603"/>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20000</v>
      </c>
      <c r="F26" s="357"/>
      <c r="G26" s="357">
        <f>E26*$C$26</f>
        <v>20700</v>
      </c>
      <c r="H26" s="357"/>
      <c r="I26" s="357">
        <f>G26*$C$26</f>
        <v>21424.5</v>
      </c>
      <c r="J26" s="357"/>
      <c r="K26" s="357">
        <f>I26*$C$26</f>
        <v>22174.357499999998</v>
      </c>
      <c r="L26" s="357"/>
      <c r="M26" s="357">
        <f>K26*$C$26</f>
        <v>22950.460012499996</v>
      </c>
      <c r="N26" s="357"/>
      <c r="O26" s="357">
        <f>M26*$C$26</f>
        <v>23753.726112937493</v>
      </c>
      <c r="P26" s="357"/>
      <c r="Q26" s="357">
        <f>O26*$C$26</f>
        <v>24585.106526890304</v>
      </c>
      <c r="R26" s="357"/>
      <c r="S26" s="357">
        <f>Q26*$C$26</f>
        <v>25445.585255331462</v>
      </c>
      <c r="T26" s="357"/>
      <c r="U26" s="357">
        <f>S26*$C$26</f>
        <v>26336.18073926806</v>
      </c>
      <c r="V26" s="357"/>
      <c r="W26" s="357">
        <f>U26*$C$26</f>
        <v>27257.947065142442</v>
      </c>
      <c r="X26" s="357"/>
      <c r="Y26" s="357">
        <f>W26*$C$26</f>
        <v>28211.975212422425</v>
      </c>
      <c r="Z26" s="357"/>
      <c r="AA26" s="357">
        <f>Y26*$C$26</f>
        <v>29199.394344857206</v>
      </c>
      <c r="AB26" s="357"/>
      <c r="AC26" s="357">
        <f>AA26*$C$26</f>
        <v>30221.373146927206</v>
      </c>
      <c r="AD26" s="357"/>
      <c r="AE26" s="357">
        <f>AC26*$C$26</f>
        <v>31279.121207069657</v>
      </c>
      <c r="AF26" s="357"/>
      <c r="AG26" s="357">
        <f>AE26*$C$26</f>
        <v>32373.890449317092</v>
      </c>
    </row>
    <row r="27" spans="1:33" s="339" customFormat="1" ht="14.25">
      <c r="A27" s="339" t="s">
        <v>909</v>
      </c>
      <c r="C27" s="376"/>
      <c r="E27" s="357">
        <f>Application!AC887</f>
        <v>62250</v>
      </c>
      <c r="F27" s="357"/>
      <c r="G27" s="357">
        <f>$E$27</f>
        <v>62250</v>
      </c>
      <c r="H27" s="357"/>
      <c r="I27" s="357">
        <f>$E$27</f>
        <v>62250</v>
      </c>
      <c r="J27" s="357"/>
      <c r="K27" s="357">
        <f>$E$27</f>
        <v>62250</v>
      </c>
      <c r="L27" s="357"/>
      <c r="M27" s="357">
        <f>$E$27</f>
        <v>62250</v>
      </c>
      <c r="N27" s="357"/>
      <c r="O27" s="357">
        <f>$E$27</f>
        <v>62250</v>
      </c>
      <c r="P27" s="357"/>
      <c r="Q27" s="357">
        <f>$E$27</f>
        <v>62250</v>
      </c>
      <c r="R27" s="357"/>
      <c r="S27" s="357">
        <f>$E$27</f>
        <v>62250</v>
      </c>
      <c r="T27" s="357"/>
      <c r="U27" s="357">
        <f>$E$27</f>
        <v>62250</v>
      </c>
      <c r="V27" s="357"/>
      <c r="W27" s="357">
        <f>$E$27</f>
        <v>62250</v>
      </c>
      <c r="X27" s="357"/>
      <c r="Y27" s="357">
        <f>$E$27</f>
        <v>62250</v>
      </c>
      <c r="Z27" s="357"/>
      <c r="AA27" s="357">
        <f>$E$27</f>
        <v>62250</v>
      </c>
      <c r="AB27" s="357"/>
      <c r="AC27" s="357">
        <f>$E$27</f>
        <v>62250</v>
      </c>
      <c r="AD27" s="357"/>
      <c r="AE27" s="357">
        <f>$E$27</f>
        <v>62250</v>
      </c>
      <c r="AF27" s="357"/>
      <c r="AG27" s="357">
        <f>$E$27</f>
        <v>62250</v>
      </c>
    </row>
    <row r="28" spans="1:33" s="339" customFormat="1" ht="14.25">
      <c r="A28" s="339" t="s">
        <v>2158</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12450</v>
      </c>
      <c r="F29" s="357"/>
      <c r="G29" s="357">
        <f>E29*$C$29</f>
        <v>12699</v>
      </c>
      <c r="H29" s="357"/>
      <c r="I29" s="357">
        <f>G29*$C$29</f>
        <v>12952.98</v>
      </c>
      <c r="J29" s="357"/>
      <c r="K29" s="357">
        <f>I29*$C$29</f>
        <v>13212.0396</v>
      </c>
      <c r="L29" s="357"/>
      <c r="M29" s="357">
        <f>K29*$C$29</f>
        <v>13476.280392000001</v>
      </c>
      <c r="N29" s="357"/>
      <c r="O29" s="357">
        <f>M29*$C$29</f>
        <v>13745.80599984</v>
      </c>
      <c r="P29" s="357"/>
      <c r="Q29" s="357">
        <f>O29*$C$29</f>
        <v>14020.722119836801</v>
      </c>
      <c r="R29" s="357"/>
      <c r="S29" s="357">
        <f>Q29*$C$29</f>
        <v>14301.136562233536</v>
      </c>
      <c r="T29" s="357"/>
      <c r="U29" s="357">
        <f>S29*$C$29</f>
        <v>14587.159293478207</v>
      </c>
      <c r="V29" s="357"/>
      <c r="W29" s="357">
        <f>U29*$C$29</f>
        <v>14878.902479347771</v>
      </c>
      <c r="X29" s="357"/>
      <c r="Y29" s="357">
        <f>W29*$C$29</f>
        <v>15176.480528934726</v>
      </c>
      <c r="Z29" s="357"/>
      <c r="AA29" s="357">
        <f>Y29*$C$29</f>
        <v>15480.010139513421</v>
      </c>
      <c r="AB29" s="357"/>
      <c r="AC29" s="357">
        <f>AA29*$C$29</f>
        <v>15789.610342303689</v>
      </c>
      <c r="AD29" s="357"/>
      <c r="AE29" s="357">
        <f>AC29*$C$29</f>
        <v>16105.402549149763</v>
      </c>
      <c r="AF29" s="357"/>
      <c r="AG29" s="357">
        <f>AE29*$C$29</f>
        <v>16427.510600132759</v>
      </c>
    </row>
    <row r="30" spans="1:33" s="339" customFormat="1" ht="14.25">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1439854</v>
      </c>
      <c r="G34" s="358">
        <f>SUM(G21:G32)</f>
        <v>1487883.39</v>
      </c>
      <c r="I34" s="358">
        <f>SUM(I21:I32)</f>
        <v>1537590.0736499997</v>
      </c>
      <c r="K34" s="358">
        <f>SUM(K21:K32)</f>
        <v>1589032.6815277499</v>
      </c>
      <c r="M34" s="358">
        <f>SUM(M21:M32)</f>
        <v>1642271.8947872205</v>
      </c>
      <c r="O34" s="358">
        <f>SUM(O21:O32)</f>
        <v>1697370.5168988935</v>
      </c>
      <c r="Q34" s="358">
        <f>SUM(Q21:Q32)</f>
        <v>1754393.5479003568</v>
      </c>
      <c r="S34" s="358">
        <f>SUM(S21:S32)</f>
        <v>1813408.2612450717</v>
      </c>
      <c r="U34" s="358">
        <f>SUM(U21:U32)</f>
        <v>1874484.2833402155</v>
      </c>
      <c r="W34" s="358">
        <f>SUM(W21:W32)</f>
        <v>1937693.675867721</v>
      </c>
      <c r="Y34" s="358">
        <f>SUM(Y21:Y32)</f>
        <v>2003111.0209859007</v>
      </c>
      <c r="AA34" s="358">
        <f>SUM(AA21:AA32)</f>
        <v>2070813.5095124729</v>
      </c>
      <c r="AC34" s="358">
        <f>SUM(AC21:AC32)</f>
        <v>2140881.0321933166</v>
      </c>
      <c r="AE34" s="358">
        <f>SUM(AE21:AE32)</f>
        <v>2213396.2741649481</v>
      </c>
      <c r="AG34" s="358">
        <f>SUM(AG21:AG32)</f>
        <v>2288444.8127224841</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4252610.5999999996</v>
      </c>
      <c r="G36" s="358">
        <f>G10-G34</f>
        <v>4346892.8249999993</v>
      </c>
      <c r="I36" s="358">
        <f>I10-I34</f>
        <v>4443055.5467249993</v>
      </c>
      <c r="K36" s="358">
        <f>K10-K34</f>
        <v>4541129.0793566238</v>
      </c>
      <c r="M36" s="358">
        <f>M10-M34</f>
        <v>4641143.9101192616</v>
      </c>
      <c r="O36" s="358">
        <f>O10-O34</f>
        <v>4743130.6831302503</v>
      </c>
      <c r="Q36" s="358">
        <f>Q10-Q34</f>
        <v>4847120.1821295153</v>
      </c>
      <c r="S36" s="358">
        <f>S10-S34</f>
        <v>4953143.3120355466</v>
      </c>
      <c r="U36" s="358">
        <f>U10-U34</f>
        <v>5061231.0792724164</v>
      </c>
      <c r="W36" s="358">
        <f>W10-W34</f>
        <v>5171414.5708102267</v>
      </c>
      <c r="Y36" s="358">
        <f>Y10-Y34</f>
        <v>5283724.931858995</v>
      </c>
      <c r="AA36" s="358">
        <f>AA10-AA34</f>
        <v>5398193.3421535445</v>
      </c>
      <c r="AC36" s="358">
        <f>AC10-AC34</f>
        <v>5514850.9907643516</v>
      </c>
      <c r="AE36" s="358">
        <f>AE10-AE34</f>
        <v>5633729.0493666604</v>
      </c>
      <c r="AG36" s="358">
        <f>AG10-AG34</f>
        <v>5754858.6438974142</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Citibank</v>
      </c>
      <c r="B39" s="361"/>
      <c r="C39" s="355"/>
      <c r="E39" s="357">
        <f>Application!AF637</f>
        <v>3691665</v>
      </c>
      <c r="F39" s="357"/>
      <c r="G39" s="357">
        <f>$E$39</f>
        <v>3691665</v>
      </c>
      <c r="H39" s="357"/>
      <c r="I39" s="357">
        <f>$E$39</f>
        <v>3691665</v>
      </c>
      <c r="J39" s="357"/>
      <c r="K39" s="357">
        <f>$E$39</f>
        <v>3691665</v>
      </c>
      <c r="L39" s="357"/>
      <c r="M39" s="357">
        <f>$E$39</f>
        <v>3691665</v>
      </c>
      <c r="N39" s="357"/>
      <c r="O39" s="357">
        <f>$E$39</f>
        <v>3691665</v>
      </c>
      <c r="P39" s="357"/>
      <c r="Q39" s="357">
        <f>$E$39</f>
        <v>3691665</v>
      </c>
      <c r="R39" s="357"/>
      <c r="S39" s="357">
        <f>$E$39</f>
        <v>3691665</v>
      </c>
      <c r="T39" s="357"/>
      <c r="U39" s="357">
        <f>$E$39</f>
        <v>3691665</v>
      </c>
      <c r="V39" s="357"/>
      <c r="W39" s="357">
        <f>$E$39</f>
        <v>3691665</v>
      </c>
      <c r="X39" s="357"/>
      <c r="Y39" s="357">
        <f>$E$39</f>
        <v>3691665</v>
      </c>
      <c r="Z39" s="357"/>
      <c r="AA39" s="357">
        <f>$E$39</f>
        <v>3691665</v>
      </c>
      <c r="AB39" s="357"/>
      <c r="AC39" s="357">
        <f>$E$39</f>
        <v>3691665</v>
      </c>
      <c r="AD39" s="357"/>
      <c r="AE39" s="357">
        <f>$E$39</f>
        <v>3691665</v>
      </c>
      <c r="AF39" s="357"/>
      <c r="AG39" s="357">
        <f>$E$39</f>
        <v>3691665</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3691665</v>
      </c>
      <c r="G42" s="358">
        <f>SUM(G39:G41)</f>
        <v>3691665</v>
      </c>
      <c r="I42" s="358">
        <f>SUM(I39:I41)</f>
        <v>3691665</v>
      </c>
      <c r="K42" s="358">
        <f>SUM(K39:K41)</f>
        <v>3691665</v>
      </c>
      <c r="M42" s="358">
        <f>SUM(M39:M41)</f>
        <v>3691665</v>
      </c>
      <c r="O42" s="358">
        <f>SUM(O39:O41)</f>
        <v>3691665</v>
      </c>
      <c r="Q42" s="358">
        <f>SUM(Q39:Q41)</f>
        <v>3691665</v>
      </c>
      <c r="S42" s="358">
        <f>SUM(S39:S41)</f>
        <v>3691665</v>
      </c>
      <c r="U42" s="358">
        <f>SUM(U39:U41)</f>
        <v>3691665</v>
      </c>
      <c r="W42" s="358">
        <f>SUM(W39:W41)</f>
        <v>3691665</v>
      </c>
      <c r="Y42" s="358">
        <f>SUM(Y39:Y41)</f>
        <v>3691665</v>
      </c>
      <c r="AA42" s="358">
        <f>SUM(AA39:AA41)</f>
        <v>3691665</v>
      </c>
      <c r="AC42" s="358">
        <f>SUM(AC39:AC41)</f>
        <v>3691665</v>
      </c>
      <c r="AE42" s="358">
        <f>SUM(AE39:AE41)</f>
        <v>3691665</v>
      </c>
      <c r="AG42" s="358">
        <f>SUM(AG39:AG41)</f>
        <v>3691665</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560945.59999999963</v>
      </c>
      <c r="G44" s="358">
        <f>G36-G42</f>
        <v>655227.82499999925</v>
      </c>
      <c r="I44" s="358">
        <f>I36-I42</f>
        <v>751390.54672499932</v>
      </c>
      <c r="K44" s="358">
        <f>K36-K42</f>
        <v>849464.07935662381</v>
      </c>
      <c r="M44" s="358">
        <f>M36-M42</f>
        <v>949478.91011926159</v>
      </c>
      <c r="O44" s="358">
        <f>O36-O42</f>
        <v>1051465.6831302503</v>
      </c>
      <c r="Q44" s="358">
        <f>Q36-Q42</f>
        <v>1155455.1821295153</v>
      </c>
      <c r="S44" s="358">
        <f>S36-S42</f>
        <v>1261478.3120355466</v>
      </c>
      <c r="U44" s="358">
        <f>U36-U42</f>
        <v>1369566.0792724164</v>
      </c>
      <c r="W44" s="358">
        <f>W36-W42</f>
        <v>1479749.5708102267</v>
      </c>
      <c r="Y44" s="358">
        <f>Y36-Y42</f>
        <v>1592059.931858995</v>
      </c>
      <c r="AA44" s="358">
        <f>AA36-AA42</f>
        <v>1706528.3421535445</v>
      </c>
      <c r="AC44" s="358">
        <f>AC36-AC42</f>
        <v>1823185.9907643516</v>
      </c>
      <c r="AE44" s="358">
        <f>AE36-AE42</f>
        <v>1942064.0493666604</v>
      </c>
      <c r="AG44" s="358">
        <f>AG36-AG42</f>
        <v>2063193.6438974142</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9.3614691956099241E-2</v>
      </c>
      <c r="G46" s="362">
        <f>G44/(G4+G6+G8)</f>
        <v>0.10668214354987038</v>
      </c>
      <c r="I46" s="362">
        <f>I44/(I4+I6+I8)</f>
        <v>0.11935517746727674</v>
      </c>
      <c r="K46" s="362">
        <f>K44/(K4+K6+K8)</f>
        <v>0.13164267222735918</v>
      </c>
      <c r="M46" s="362">
        <f>M44/(M4+M6+M8)</f>
        <v>0.14355328258062389</v>
      </c>
      <c r="O46" s="362">
        <f>O44/(O4+O6+O8)</f>
        <v>0.15509544489630989</v>
      </c>
      <c r="Q46" s="362">
        <f>Q44/(Q4+Q6+Q8)</f>
        <v>0.16627738241757359</v>
      </c>
      <c r="S46" s="362">
        <f>S44/(S4+S6+S8)</f>
        <v>0.17710711038780252</v>
      </c>
      <c r="U46" s="362">
        <f>U44/(U4+U6+U8)</f>
        <v>0.18759244105119757</v>
      </c>
      <c r="W46" s="362">
        <f>W44/(W4+W6+W8)</f>
        <v>0.19774098853068123</v>
      </c>
      <c r="Y46" s="362">
        <f>Y44/(Y4+Y6+Y8)</f>
        <v>0.20756017358611706</v>
      </c>
      <c r="AA46" s="362">
        <f>AA44/(AA4+AA6+AA8)</f>
        <v>0.2170572282557548</v>
      </c>
      <c r="AC46" s="362">
        <f>AC44/(AC4+AC6+AC8)</f>
        <v>0.22623920038373987</v>
      </c>
      <c r="AE46" s="362">
        <f>AE44/(AE4+AE6+AE8)</f>
        <v>0.23511295803645973</v>
      </c>
      <c r="AG46" s="362">
        <f>AG44/(AG4+AG6+AG8)</f>
        <v>0.24368519381043274</v>
      </c>
    </row>
    <row r="47" spans="1:33" s="362" customFormat="1" ht="14.25">
      <c r="A47" s="362" t="s">
        <v>915</v>
      </c>
      <c r="C47" s="355"/>
      <c r="E47" s="362">
        <f>E44/E42</f>
        <v>0.1519492153269594</v>
      </c>
      <c r="G47" s="362">
        <f>G44/G42</f>
        <v>0.17748843001734968</v>
      </c>
      <c r="I47" s="362">
        <f>I44/I42</f>
        <v>0.20353703456976713</v>
      </c>
      <c r="K47" s="362">
        <f>K44/K42</f>
        <v>0.23010324050438591</v>
      </c>
      <c r="M47" s="362">
        <f>M44/M42</f>
        <v>0.25719530621528813</v>
      </c>
      <c r="O47" s="362">
        <f>O44/O42</f>
        <v>0.28482153259579357</v>
      </c>
      <c r="Q47" s="362">
        <f>Q44/Q42</f>
        <v>0.31299025836025623</v>
      </c>
      <c r="S47" s="362">
        <f>S44/S42</f>
        <v>0.34170985504793816</v>
      </c>
      <c r="U47" s="362">
        <f>U44/U42</f>
        <v>0.37098872169398261</v>
      </c>
      <c r="W47" s="362">
        <f>W44/W42</f>
        <v>0.40083527915188044</v>
      </c>
      <c r="Y47" s="362">
        <f>Y44/Y42</f>
        <v>0.43125796405117878</v>
      </c>
      <c r="AA47" s="362">
        <f>AA44/AA42</f>
        <v>0.46226522237352102</v>
      </c>
      <c r="AC47" s="362">
        <f>AC44/AC42</f>
        <v>0.49386550262939666</v>
      </c>
      <c r="AE47" s="362">
        <f>AE44/AE42</f>
        <v>0.52606724861726628</v>
      </c>
      <c r="AG47" s="362">
        <f>AG44/AG42</f>
        <v>0.5588788917459776</v>
      </c>
    </row>
    <row r="48" spans="1:33" s="363" customFormat="1" ht="14.25">
      <c r="A48" s="363" t="s">
        <v>913</v>
      </c>
      <c r="C48" s="364"/>
      <c r="E48" s="363">
        <f>E36/E42</f>
        <v>1.1519492153269595</v>
      </c>
      <c r="G48" s="363">
        <f>G36/G42</f>
        <v>1.1774884300173496</v>
      </c>
      <c r="I48" s="363">
        <f>I36/I42</f>
        <v>1.2035370345697671</v>
      </c>
      <c r="K48" s="363">
        <f>K36/K42</f>
        <v>1.2301032405043859</v>
      </c>
      <c r="M48" s="363">
        <f>M36/M42</f>
        <v>1.2571953062152881</v>
      </c>
      <c r="O48" s="363">
        <f>O36/O42</f>
        <v>1.2848215325957937</v>
      </c>
      <c r="Q48" s="363">
        <f>Q36/Q42</f>
        <v>1.3129902583602562</v>
      </c>
      <c r="S48" s="363">
        <f>S36/S42</f>
        <v>1.3417098550479383</v>
      </c>
      <c r="U48" s="363">
        <f>U36/U42</f>
        <v>1.3709887216939827</v>
      </c>
      <c r="W48" s="363">
        <f>W36/W42</f>
        <v>1.4008352791518806</v>
      </c>
      <c r="Y48" s="363">
        <f>Y36/Y42</f>
        <v>1.4312579640511789</v>
      </c>
      <c r="AA48" s="363">
        <f>AA36/AA42</f>
        <v>1.4622652223735211</v>
      </c>
      <c r="AC48" s="363">
        <f>AC36/AC42</f>
        <v>1.4938655026293965</v>
      </c>
      <c r="AE48" s="363">
        <f>AE36/AE42</f>
        <v>1.5260672486172664</v>
      </c>
      <c r="AG48" s="363">
        <f>AG36/AG42</f>
        <v>1.5588788917459775</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3"/>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row>
    <row r="51" spans="1:35" s="6" customFormat="1">
      <c r="A51" s="3360" t="s">
        <v>1384</v>
      </c>
      <c r="B51" s="3360"/>
      <c r="C51" s="3360"/>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row>
    <row r="52" spans="1:35" s="1674" customFormat="1">
      <c r="A52" s="1674" t="s">
        <v>917</v>
      </c>
      <c r="C52" s="1675"/>
      <c r="E52" s="1676"/>
      <c r="G52" s="1672">
        <f>E52*$C$52</f>
        <v>0</v>
      </c>
      <c r="I52" s="1672">
        <f>G52*$C$52</f>
        <v>0</v>
      </c>
      <c r="K52" s="1672">
        <f>I52*$C$52</f>
        <v>0</v>
      </c>
      <c r="M52" s="1672">
        <f>K52*$C$52</f>
        <v>0</v>
      </c>
      <c r="O52" s="1672">
        <f>M52*$C$52</f>
        <v>0</v>
      </c>
      <c r="Q52" s="1672">
        <f>O52*$C$52</f>
        <v>0</v>
      </c>
      <c r="S52" s="1672">
        <f>Q52*$C$52</f>
        <v>0</v>
      </c>
      <c r="U52" s="1672">
        <f>S52*$C$52</f>
        <v>0</v>
      </c>
      <c r="W52" s="1672">
        <f>U52*$C$52</f>
        <v>0</v>
      </c>
      <c r="Y52" s="1672">
        <f>W52*$C$52</f>
        <v>0</v>
      </c>
      <c r="AA52" s="1672">
        <f>Y52*$C$52</f>
        <v>0</v>
      </c>
      <c r="AC52" s="1672">
        <f>AA52*$C$52</f>
        <v>0</v>
      </c>
      <c r="AE52" s="1672">
        <f>AC52*$C$52</f>
        <v>0</v>
      </c>
      <c r="AG52" s="1672">
        <f>AE52*$C$52</f>
        <v>0</v>
      </c>
    </row>
    <row r="53" spans="1:35" s="6" customFormat="1">
      <c r="A53" s="6" t="s">
        <v>918</v>
      </c>
      <c r="C53" s="1670"/>
      <c r="E53" s="1677"/>
      <c r="F53" s="1672"/>
      <c r="G53" s="1672">
        <f t="shared" ref="G53:AG56" si="1">E53*$C$52</f>
        <v>0</v>
      </c>
      <c r="H53" s="1672"/>
      <c r="I53" s="1672">
        <f t="shared" si="1"/>
        <v>0</v>
      </c>
      <c r="J53" s="1672"/>
      <c r="K53" s="1672">
        <f t="shared" si="1"/>
        <v>0</v>
      </c>
      <c r="L53" s="1672"/>
      <c r="M53" s="1672">
        <f t="shared" si="1"/>
        <v>0</v>
      </c>
      <c r="N53" s="1672"/>
      <c r="O53" s="1672">
        <f t="shared" si="1"/>
        <v>0</v>
      </c>
      <c r="P53" s="1672"/>
      <c r="Q53" s="1672">
        <f t="shared" si="1"/>
        <v>0</v>
      </c>
      <c r="R53" s="1672"/>
      <c r="S53" s="1672">
        <f t="shared" si="1"/>
        <v>0</v>
      </c>
      <c r="T53" s="1672"/>
      <c r="U53" s="1672">
        <f t="shared" si="1"/>
        <v>0</v>
      </c>
      <c r="V53" s="1672"/>
      <c r="W53" s="1672">
        <f t="shared" si="1"/>
        <v>0</v>
      </c>
      <c r="X53" s="1672"/>
      <c r="Y53" s="1672">
        <f t="shared" si="1"/>
        <v>0</v>
      </c>
      <c r="Z53" s="1672"/>
      <c r="AA53" s="1672">
        <f t="shared" si="1"/>
        <v>0</v>
      </c>
      <c r="AB53" s="1672"/>
      <c r="AC53" s="1672">
        <f t="shared" si="1"/>
        <v>0</v>
      </c>
      <c r="AD53" s="1672"/>
      <c r="AE53" s="1672">
        <f t="shared" si="1"/>
        <v>0</v>
      </c>
      <c r="AF53" s="1672"/>
      <c r="AG53" s="1672">
        <f t="shared" si="1"/>
        <v>0</v>
      </c>
      <c r="AH53" s="1672"/>
      <c r="AI53" s="1672"/>
    </row>
    <row r="54" spans="1:35" s="6" customFormat="1">
      <c r="A54" s="6" t="s">
        <v>919</v>
      </c>
      <c r="C54" s="1670"/>
      <c r="E54" s="1677"/>
      <c r="F54" s="1672"/>
      <c r="G54" s="1672">
        <f t="shared" si="1"/>
        <v>0</v>
      </c>
      <c r="H54" s="1672"/>
      <c r="I54" s="1672">
        <f t="shared" si="1"/>
        <v>0</v>
      </c>
      <c r="J54" s="1672"/>
      <c r="K54" s="1672">
        <f t="shared" si="1"/>
        <v>0</v>
      </c>
      <c r="L54" s="1672"/>
      <c r="M54" s="1672">
        <f t="shared" si="1"/>
        <v>0</v>
      </c>
      <c r="N54" s="1672"/>
      <c r="O54" s="1672">
        <f t="shared" si="1"/>
        <v>0</v>
      </c>
      <c r="P54" s="1672"/>
      <c r="Q54" s="1672">
        <f t="shared" si="1"/>
        <v>0</v>
      </c>
      <c r="R54" s="1672"/>
      <c r="S54" s="1672">
        <f t="shared" si="1"/>
        <v>0</v>
      </c>
      <c r="T54" s="1672"/>
      <c r="U54" s="1672">
        <f t="shared" si="1"/>
        <v>0</v>
      </c>
      <c r="V54" s="1672"/>
      <c r="W54" s="1672">
        <f t="shared" si="1"/>
        <v>0</v>
      </c>
      <c r="X54" s="1672"/>
      <c r="Y54" s="1672">
        <f t="shared" si="1"/>
        <v>0</v>
      </c>
      <c r="Z54" s="1672"/>
      <c r="AA54" s="1672">
        <f t="shared" si="1"/>
        <v>0</v>
      </c>
      <c r="AB54" s="1672"/>
      <c r="AC54" s="1672">
        <f t="shared" si="1"/>
        <v>0</v>
      </c>
      <c r="AD54" s="1672"/>
      <c r="AE54" s="1672">
        <f t="shared" si="1"/>
        <v>0</v>
      </c>
      <c r="AF54" s="1672"/>
      <c r="AG54" s="1672">
        <f t="shared" si="1"/>
        <v>0</v>
      </c>
      <c r="AH54" s="1672"/>
      <c r="AI54" s="1672"/>
    </row>
    <row r="55" spans="1:35" s="6" customFormat="1">
      <c r="A55" s="1678"/>
      <c r="B55" s="1678"/>
      <c r="C55" s="1670"/>
      <c r="E55" s="1677"/>
      <c r="F55" s="1672"/>
      <c r="G55" s="1672">
        <f t="shared" si="1"/>
        <v>0</v>
      </c>
      <c r="H55" s="1672"/>
      <c r="I55" s="1672">
        <f t="shared" si="1"/>
        <v>0</v>
      </c>
      <c r="J55" s="1672"/>
      <c r="K55" s="1672">
        <f t="shared" si="1"/>
        <v>0</v>
      </c>
      <c r="L55" s="1672"/>
      <c r="M55" s="1672">
        <f t="shared" si="1"/>
        <v>0</v>
      </c>
      <c r="N55" s="1672"/>
      <c r="O55" s="1672">
        <f t="shared" si="1"/>
        <v>0</v>
      </c>
      <c r="P55" s="1672"/>
      <c r="Q55" s="1672">
        <f t="shared" si="1"/>
        <v>0</v>
      </c>
      <c r="R55" s="1672"/>
      <c r="S55" s="1672">
        <f t="shared" si="1"/>
        <v>0</v>
      </c>
      <c r="T55" s="1672"/>
      <c r="U55" s="1672">
        <f t="shared" si="1"/>
        <v>0</v>
      </c>
      <c r="V55" s="1672"/>
      <c r="W55" s="1672">
        <f t="shared" si="1"/>
        <v>0</v>
      </c>
      <c r="X55" s="1672"/>
      <c r="Y55" s="1672">
        <f t="shared" si="1"/>
        <v>0</v>
      </c>
      <c r="Z55" s="1672"/>
      <c r="AA55" s="1672">
        <f t="shared" si="1"/>
        <v>0</v>
      </c>
      <c r="AB55" s="1672"/>
      <c r="AC55" s="1672">
        <f t="shared" si="1"/>
        <v>0</v>
      </c>
      <c r="AD55" s="1672"/>
      <c r="AE55" s="1672">
        <f t="shared" si="1"/>
        <v>0</v>
      </c>
      <c r="AF55" s="1672"/>
      <c r="AG55" s="1672">
        <f t="shared" si="1"/>
        <v>0</v>
      </c>
      <c r="AH55" s="1672"/>
      <c r="AI55" s="1672"/>
    </row>
    <row r="56" spans="1:35" s="6" customFormat="1">
      <c r="A56" s="1678"/>
      <c r="B56" s="1678"/>
      <c r="C56" s="1670"/>
      <c r="E56" s="1679"/>
      <c r="F56" s="1672"/>
      <c r="G56" s="1680">
        <f t="shared" si="1"/>
        <v>0</v>
      </c>
      <c r="H56" s="1672"/>
      <c r="I56" s="1680">
        <f t="shared" si="1"/>
        <v>0</v>
      </c>
      <c r="J56" s="1672"/>
      <c r="K56" s="1680">
        <f t="shared" si="1"/>
        <v>0</v>
      </c>
      <c r="L56" s="1672"/>
      <c r="M56" s="1680">
        <f t="shared" si="1"/>
        <v>0</v>
      </c>
      <c r="N56" s="1672"/>
      <c r="O56" s="1680">
        <f t="shared" si="1"/>
        <v>0</v>
      </c>
      <c r="P56" s="1672"/>
      <c r="Q56" s="1680">
        <f t="shared" si="1"/>
        <v>0</v>
      </c>
      <c r="R56" s="1672"/>
      <c r="S56" s="1680">
        <f t="shared" si="1"/>
        <v>0</v>
      </c>
      <c r="T56" s="1672"/>
      <c r="U56" s="1680">
        <f t="shared" si="1"/>
        <v>0</v>
      </c>
      <c r="V56" s="1672"/>
      <c r="W56" s="1680">
        <f t="shared" si="1"/>
        <v>0</v>
      </c>
      <c r="X56" s="1672"/>
      <c r="Y56" s="1680">
        <f t="shared" si="1"/>
        <v>0</v>
      </c>
      <c r="Z56" s="1672"/>
      <c r="AA56" s="1680">
        <f t="shared" si="1"/>
        <v>0</v>
      </c>
      <c r="AB56" s="1672"/>
      <c r="AC56" s="1680">
        <f t="shared" si="1"/>
        <v>0</v>
      </c>
      <c r="AD56" s="1672"/>
      <c r="AE56" s="1680">
        <f t="shared" si="1"/>
        <v>0</v>
      </c>
      <c r="AF56" s="1672"/>
      <c r="AG56" s="1680">
        <f t="shared" si="1"/>
        <v>0</v>
      </c>
      <c r="AH56" s="1672"/>
      <c r="AI56" s="1672"/>
    </row>
    <row r="57" spans="1:35" s="6" customFormat="1">
      <c r="A57" s="1674" t="s">
        <v>916</v>
      </c>
      <c r="C57" s="1673"/>
      <c r="E57" s="1672">
        <f>SUM(E52:E56)</f>
        <v>0</v>
      </c>
      <c r="F57" s="1672"/>
      <c r="G57" s="1672">
        <f>SUM(G52:G56)</f>
        <v>0</v>
      </c>
      <c r="H57" s="1672"/>
      <c r="I57" s="1672">
        <f>SUM(I52:I56)</f>
        <v>0</v>
      </c>
      <c r="J57" s="1672"/>
      <c r="K57" s="1672">
        <f>SUM(K52:K56)</f>
        <v>0</v>
      </c>
      <c r="L57" s="1672"/>
      <c r="M57" s="1672">
        <f>SUM(M52:M56)</f>
        <v>0</v>
      </c>
      <c r="N57" s="1672"/>
      <c r="O57" s="1672">
        <f>SUM(O52:O56)</f>
        <v>0</v>
      </c>
      <c r="P57" s="1672"/>
      <c r="Q57" s="1672">
        <f>SUM(Q52:Q56)</f>
        <v>0</v>
      </c>
      <c r="R57" s="1672"/>
      <c r="S57" s="1672">
        <f>SUM(S52:S56)</f>
        <v>0</v>
      </c>
      <c r="T57" s="1672"/>
      <c r="U57" s="1672">
        <f>SUM(U52:U56)</f>
        <v>0</v>
      </c>
      <c r="V57" s="1672"/>
      <c r="W57" s="1672">
        <f>SUM(W52:W56)</f>
        <v>0</v>
      </c>
      <c r="X57" s="1672"/>
      <c r="Y57" s="1672">
        <f>SUM(Y52:Y56)</f>
        <v>0</v>
      </c>
      <c r="Z57" s="1672"/>
      <c r="AA57" s="1672">
        <f>SUM(AA52:AA56)</f>
        <v>0</v>
      </c>
      <c r="AB57" s="1672"/>
      <c r="AC57" s="1672">
        <f>SUM(AC52:AC56)</f>
        <v>0</v>
      </c>
      <c r="AD57" s="1672"/>
      <c r="AE57" s="1672">
        <f>SUM(AE52:AE56)</f>
        <v>0</v>
      </c>
      <c r="AF57" s="1672"/>
      <c r="AG57" s="1672">
        <f>SUM(AG52:AG56)</f>
        <v>0</v>
      </c>
      <c r="AH57" s="1672"/>
      <c r="AI57" s="1672"/>
    </row>
    <row r="58" spans="1:35" s="6" customFormat="1" ht="12.75" customHeight="1">
      <c r="A58" s="1674"/>
      <c r="C58" s="1673"/>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row>
    <row r="59" spans="1:35" s="1674" customFormat="1">
      <c r="A59" s="1674" t="s">
        <v>921</v>
      </c>
      <c r="C59" s="1681"/>
      <c r="E59" s="1674">
        <f>E44-E57</f>
        <v>560945.59999999963</v>
      </c>
      <c r="G59" s="1674">
        <f>G44-G57</f>
        <v>655227.82499999925</v>
      </c>
      <c r="I59" s="1674">
        <f>I44-I57</f>
        <v>751390.54672499932</v>
      </c>
      <c r="K59" s="1674">
        <f>K44-K57</f>
        <v>849464.07935662381</v>
      </c>
      <c r="M59" s="1674">
        <f>M44-M57</f>
        <v>949478.91011926159</v>
      </c>
      <c r="O59" s="1674">
        <f>O44-O57</f>
        <v>1051465.6831302503</v>
      </c>
      <c r="Q59" s="1674">
        <f>Q44-Q57</f>
        <v>1155455.1821295153</v>
      </c>
      <c r="S59" s="1674">
        <f>S44-S57</f>
        <v>1261478.3120355466</v>
      </c>
      <c r="U59" s="1674">
        <f>U44-U57</f>
        <v>1369566.0792724164</v>
      </c>
      <c r="W59" s="1674">
        <f>W44-W57</f>
        <v>1479749.5708102267</v>
      </c>
      <c r="Y59" s="1674">
        <f>Y44-Y57</f>
        <v>1592059.931858995</v>
      </c>
      <c r="AA59" s="1674">
        <f>AA44-AA57</f>
        <v>1706528.3421535445</v>
      </c>
      <c r="AC59" s="1674">
        <f>AC44-AC57</f>
        <v>1823185.9907643516</v>
      </c>
      <c r="AE59" s="1674">
        <f>AE44-AE57</f>
        <v>1942064.0493666604</v>
      </c>
      <c r="AG59" s="1674">
        <f>AG44-AG57</f>
        <v>2063193.6438974142</v>
      </c>
    </row>
    <row r="60" spans="1:35" s="6" customFormat="1" ht="8.25" customHeight="1">
      <c r="C60" s="1673"/>
      <c r="E60" s="1672"/>
      <c r="F60" s="1672"/>
      <c r="G60" s="1672"/>
      <c r="H60" s="1672"/>
      <c r="I60" s="1672"/>
      <c r="J60" s="1672"/>
      <c r="K60" s="1672"/>
      <c r="L60" s="1672"/>
      <c r="M60" s="1672"/>
      <c r="N60" s="1672"/>
      <c r="O60" s="1672"/>
      <c r="P60" s="1672"/>
      <c r="Q60" s="1672"/>
      <c r="R60" s="1672"/>
      <c r="S60" s="1672"/>
      <c r="T60" s="1672"/>
      <c r="U60" s="1672"/>
      <c r="V60" s="1672"/>
      <c r="W60" s="1672"/>
      <c r="X60" s="1672"/>
      <c r="Y60" s="1672"/>
      <c r="Z60" s="1672"/>
      <c r="AA60" s="1672"/>
      <c r="AB60" s="1672"/>
      <c r="AC60" s="1672"/>
      <c r="AD60" s="1672"/>
      <c r="AE60" s="1672"/>
      <c r="AF60" s="1672"/>
      <c r="AG60" s="1672"/>
      <c r="AH60" s="1672"/>
      <c r="AI60" s="1672"/>
    </row>
    <row r="61" spans="1:35" s="1674" customFormat="1">
      <c r="A61" s="1674" t="s">
        <v>920</v>
      </c>
      <c r="C61" s="1671">
        <v>1</v>
      </c>
      <c r="E61" s="1676">
        <f>E59*$C$61</f>
        <v>560945.59999999963</v>
      </c>
      <c r="G61" s="1682">
        <f>G59*$C$61</f>
        <v>655227.82499999925</v>
      </c>
      <c r="H61" s="1682"/>
      <c r="I61" s="1682">
        <f>I59*$C$61</f>
        <v>751390.54672499932</v>
      </c>
      <c r="J61" s="1682"/>
      <c r="K61" s="1682">
        <f>K59*$C$61</f>
        <v>849464.07935662381</v>
      </c>
      <c r="L61" s="1682"/>
      <c r="M61" s="1682">
        <f>M59*$C$61</f>
        <v>949478.91011926159</v>
      </c>
      <c r="N61" s="1682"/>
      <c r="O61" s="1682">
        <f>O59*$C$61</f>
        <v>1051465.6831302503</v>
      </c>
      <c r="P61" s="1682"/>
      <c r="Q61" s="1682">
        <f>Q59*$C$61</f>
        <v>1155455.1821295153</v>
      </c>
      <c r="R61" s="1682"/>
      <c r="S61" s="1682">
        <f>S59*$C$61</f>
        <v>1261478.3120355466</v>
      </c>
      <c r="T61" s="1682"/>
      <c r="U61" s="1682">
        <f>U59*$C$61</f>
        <v>1369566.0792724164</v>
      </c>
      <c r="V61" s="1682"/>
      <c r="W61" s="1682">
        <f>W59*$C$61</f>
        <v>1479749.5708102267</v>
      </c>
      <c r="Y61" s="1682">
        <f>Application!AO638-SUM('15 Year Pro Forma'!E61:W61)</f>
        <v>429174.21142116003</v>
      </c>
      <c r="AA61" s="1682"/>
      <c r="AC61" s="1682"/>
      <c r="AE61" s="1682"/>
      <c r="AG61" s="1682"/>
    </row>
    <row r="62" spans="1:35" s="1682" customFormat="1">
      <c r="A62" s="3360" t="s">
        <v>1384</v>
      </c>
      <c r="B62" s="3360"/>
      <c r="C62" s="3360"/>
    </row>
    <row r="63" spans="1:35" s="6" customFormat="1" ht="8.25" customHeight="1">
      <c r="C63" s="1673"/>
      <c r="E63" s="1672"/>
      <c r="F63" s="1672"/>
      <c r="G63" s="1672"/>
      <c r="H63" s="1672"/>
      <c r="I63" s="1672"/>
      <c r="J63" s="1672"/>
      <c r="K63" s="1672"/>
      <c r="L63" s="1672"/>
      <c r="M63" s="1672"/>
      <c r="N63" s="1672"/>
      <c r="O63" s="1672"/>
      <c r="P63" s="1672"/>
      <c r="Q63" s="1672"/>
      <c r="R63" s="1672"/>
      <c r="S63" s="1672"/>
      <c r="T63" s="1672"/>
      <c r="U63" s="1672"/>
      <c r="V63" s="1672"/>
      <c r="W63" s="1672"/>
      <c r="X63" s="1672"/>
      <c r="Y63" s="1672"/>
      <c r="Z63" s="1672"/>
      <c r="AA63" s="1672"/>
      <c r="AB63" s="1672"/>
      <c r="AC63" s="1672"/>
      <c r="AD63" s="1672"/>
      <c r="AE63" s="1672"/>
      <c r="AF63" s="1672"/>
      <c r="AG63" s="1672"/>
      <c r="AH63" s="1672"/>
      <c r="AI63" s="1672"/>
    </row>
    <row r="64" spans="1:35" s="6" customFormat="1">
      <c r="A64" s="6" t="s">
        <v>924</v>
      </c>
      <c r="C64" s="1671">
        <v>0</v>
      </c>
      <c r="E64" s="1672"/>
      <c r="F64" s="1672"/>
      <c r="G64" s="1672"/>
      <c r="H64" s="1672"/>
      <c r="I64" s="1672"/>
      <c r="J64" s="1672"/>
      <c r="K64" s="1672"/>
      <c r="L64" s="1672"/>
      <c r="M64" s="1672"/>
      <c r="N64" s="1672"/>
      <c r="O64" s="1672"/>
      <c r="P64" s="1672"/>
      <c r="Q64" s="1672"/>
      <c r="R64" s="1672"/>
      <c r="S64" s="1672"/>
      <c r="T64" s="1672"/>
      <c r="U64" s="1672"/>
      <c r="V64" s="1672"/>
      <c r="W64" s="1672"/>
      <c r="X64" s="1672"/>
      <c r="Y64" s="1672"/>
      <c r="Z64" s="1672"/>
      <c r="AA64" s="1672"/>
      <c r="AB64" s="1672"/>
      <c r="AC64" s="1672"/>
      <c r="AD64" s="1672"/>
      <c r="AE64" s="1672"/>
      <c r="AF64" s="1672"/>
      <c r="AG64" s="1672"/>
      <c r="AH64" s="1672"/>
      <c r="AI64" s="1672"/>
    </row>
    <row r="65" spans="1:33" s="1674" customFormat="1">
      <c r="A65" s="1676"/>
      <c r="B65" s="1676"/>
      <c r="C65" s="1675"/>
      <c r="E65" s="1676">
        <f>$E59*$C$64</f>
        <v>0</v>
      </c>
      <c r="G65" s="1672">
        <f>G59*$C$64</f>
        <v>0</v>
      </c>
      <c r="I65" s="1672">
        <f>I59*$C$64</f>
        <v>0</v>
      </c>
      <c r="K65" s="1672">
        <f>K59*$C$64</f>
        <v>0</v>
      </c>
      <c r="M65" s="1672">
        <f>M59*$C$64</f>
        <v>0</v>
      </c>
      <c r="O65" s="1672">
        <f>O59*$C$64</f>
        <v>0</v>
      </c>
      <c r="Q65" s="1672">
        <f>Q59*$C$64</f>
        <v>0</v>
      </c>
      <c r="S65" s="1672">
        <f>S59*$C$64</f>
        <v>0</v>
      </c>
      <c r="U65" s="1672">
        <f>U59*$C$64</f>
        <v>0</v>
      </c>
      <c r="W65" s="1672">
        <f>W59*$C$64</f>
        <v>0</v>
      </c>
      <c r="Y65" s="1672">
        <f>Y59*$C$64</f>
        <v>0</v>
      </c>
      <c r="AA65" s="1672">
        <f>AA59*$C$64</f>
        <v>0</v>
      </c>
      <c r="AC65" s="1672">
        <f>AC59*$C$64</f>
        <v>0</v>
      </c>
      <c r="AE65" s="1672">
        <f>AE59*$C$64</f>
        <v>0</v>
      </c>
      <c r="AG65" s="1672">
        <f>AG59*$C$64</f>
        <v>0</v>
      </c>
    </row>
    <row r="66" spans="1:33" s="1672" customFormat="1">
      <c r="A66" s="1677"/>
      <c r="B66" s="1677"/>
      <c r="C66" s="1683"/>
      <c r="E66" s="1676">
        <f>$E59*$C$64</f>
        <v>0</v>
      </c>
      <c r="G66" s="1672">
        <f>G59*$C$64</f>
        <v>0</v>
      </c>
      <c r="I66" s="1672">
        <f>I59*$C$64</f>
        <v>0</v>
      </c>
      <c r="K66" s="1672">
        <f>K59*$C$64</f>
        <v>0</v>
      </c>
      <c r="M66" s="1672">
        <f>M59*$C$64</f>
        <v>0</v>
      </c>
      <c r="O66" s="1672">
        <f>O59*$C$64</f>
        <v>0</v>
      </c>
      <c r="Q66" s="1672">
        <f>Q59*$C$64</f>
        <v>0</v>
      </c>
      <c r="S66" s="1672">
        <f>S59*$C$64</f>
        <v>0</v>
      </c>
      <c r="U66" s="1672">
        <f>U59*$C$64</f>
        <v>0</v>
      </c>
      <c r="W66" s="1672">
        <f>W59*$C$64</f>
        <v>0</v>
      </c>
      <c r="Y66" s="1672">
        <f>Y59*$C$64</f>
        <v>0</v>
      </c>
      <c r="AA66" s="1672">
        <f>AA59*$C$64</f>
        <v>0</v>
      </c>
      <c r="AC66" s="1672">
        <f>AC59*$C$64</f>
        <v>0</v>
      </c>
      <c r="AE66" s="1672">
        <f>AE59*$C$64</f>
        <v>0</v>
      </c>
      <c r="AG66" s="1672">
        <f>AG59*$C$64</f>
        <v>0</v>
      </c>
    </row>
    <row r="67" spans="1:33" s="1672" customFormat="1">
      <c r="A67" s="1677"/>
      <c r="B67" s="1677"/>
      <c r="C67" s="1683"/>
      <c r="E67" s="1677"/>
      <c r="G67" s="1672">
        <f t="shared" ref="G67:AG68" si="2">E67*$C$65</f>
        <v>0</v>
      </c>
      <c r="I67" s="1672">
        <f t="shared" si="2"/>
        <v>0</v>
      </c>
      <c r="K67" s="1672">
        <f t="shared" si="2"/>
        <v>0</v>
      </c>
      <c r="M67" s="1672">
        <f t="shared" si="2"/>
        <v>0</v>
      </c>
      <c r="O67" s="1672">
        <f t="shared" si="2"/>
        <v>0</v>
      </c>
      <c r="Q67" s="1672">
        <f t="shared" si="2"/>
        <v>0</v>
      </c>
      <c r="S67" s="1672">
        <f t="shared" si="2"/>
        <v>0</v>
      </c>
      <c r="U67" s="1672">
        <f t="shared" si="2"/>
        <v>0</v>
      </c>
      <c r="W67" s="1672">
        <f t="shared" si="2"/>
        <v>0</v>
      </c>
      <c r="Y67" s="1672">
        <f t="shared" si="2"/>
        <v>0</v>
      </c>
      <c r="AA67" s="1672">
        <f t="shared" si="2"/>
        <v>0</v>
      </c>
      <c r="AC67" s="1672">
        <f t="shared" si="2"/>
        <v>0</v>
      </c>
      <c r="AE67" s="1672">
        <f t="shared" si="2"/>
        <v>0</v>
      </c>
      <c r="AG67" s="1672">
        <f t="shared" si="2"/>
        <v>0</v>
      </c>
    </row>
    <row r="68" spans="1:33" s="1672" customFormat="1">
      <c r="A68" s="1677"/>
      <c r="B68" s="1677"/>
      <c r="C68" s="1683"/>
      <c r="E68" s="1679"/>
      <c r="G68" s="1680">
        <f t="shared" si="2"/>
        <v>0</v>
      </c>
      <c r="I68" s="1680">
        <f t="shared" si="2"/>
        <v>0</v>
      </c>
      <c r="K68" s="1680">
        <f t="shared" si="2"/>
        <v>0</v>
      </c>
      <c r="M68" s="1680">
        <f t="shared" si="2"/>
        <v>0</v>
      </c>
      <c r="O68" s="1680">
        <f t="shared" si="2"/>
        <v>0</v>
      </c>
      <c r="Q68" s="1680">
        <f t="shared" si="2"/>
        <v>0</v>
      </c>
      <c r="S68" s="1680">
        <f t="shared" si="2"/>
        <v>0</v>
      </c>
      <c r="U68" s="1680">
        <f t="shared" si="2"/>
        <v>0</v>
      </c>
      <c r="W68" s="1680">
        <f t="shared" si="2"/>
        <v>0</v>
      </c>
      <c r="Y68" s="1680">
        <f t="shared" si="2"/>
        <v>0</v>
      </c>
      <c r="AA68" s="1680">
        <f t="shared" si="2"/>
        <v>0</v>
      </c>
      <c r="AC68" s="1680">
        <f t="shared" si="2"/>
        <v>0</v>
      </c>
      <c r="AE68" s="1680">
        <f t="shared" si="2"/>
        <v>0</v>
      </c>
      <c r="AG68" s="1680">
        <f t="shared" si="2"/>
        <v>0</v>
      </c>
    </row>
    <row r="69" spans="1:33" s="1684" customFormat="1">
      <c r="A69" s="1674" t="s">
        <v>916</v>
      </c>
      <c r="C69" s="1683"/>
      <c r="E69" s="1684">
        <f>SUM(E65:E68)</f>
        <v>0</v>
      </c>
      <c r="G69" s="1684">
        <f>SUM(G65:G68)</f>
        <v>0</v>
      </c>
      <c r="I69" s="1684">
        <f>SUM(I65:I68)</f>
        <v>0</v>
      </c>
      <c r="K69" s="1684">
        <f>SUM(K65:K68)</f>
        <v>0</v>
      </c>
      <c r="M69" s="1684">
        <f>SUM(M65:M68)</f>
        <v>0</v>
      </c>
      <c r="O69" s="1684">
        <f>SUM(O65:O68)</f>
        <v>0</v>
      </c>
      <c r="Q69" s="1684">
        <f>SUM(Q65:Q68)</f>
        <v>0</v>
      </c>
      <c r="S69" s="1684">
        <f>SUM(S65:S68)</f>
        <v>0</v>
      </c>
      <c r="U69" s="1684">
        <f>SUM(U65:U68)</f>
        <v>0</v>
      </c>
      <c r="W69" s="1684">
        <f>SUM(W65:W68)</f>
        <v>0</v>
      </c>
      <c r="Y69" s="1684">
        <f>SUM(Y65:Y68)</f>
        <v>0</v>
      </c>
      <c r="AA69" s="1684">
        <f>SUM(AA65:AA68)</f>
        <v>0</v>
      </c>
      <c r="AC69" s="1684">
        <f>SUM(AC65:AC68)</f>
        <v>0</v>
      </c>
      <c r="AE69" s="1684">
        <f>SUM(AE65:AE68)</f>
        <v>0</v>
      </c>
      <c r="AG69" s="1684">
        <f>SUM(AG65:AG68)</f>
        <v>0</v>
      </c>
    </row>
    <row r="70" spans="1:33" s="1684" customFormat="1">
      <c r="A70" s="1674"/>
      <c r="C70" s="1683"/>
    </row>
    <row r="71" spans="1:33" s="1684" customFormat="1">
      <c r="A71" s="1674" t="s">
        <v>2222</v>
      </c>
      <c r="C71" s="1683"/>
      <c r="E71" s="1674">
        <f>E59-E61-E69</f>
        <v>0</v>
      </c>
      <c r="G71" s="1674">
        <f>G59-G61-G69</f>
        <v>0</v>
      </c>
      <c r="I71" s="1674">
        <f>I59-I61-I69</f>
        <v>0</v>
      </c>
      <c r="K71" s="1674">
        <f>K59-K61-K69</f>
        <v>0</v>
      </c>
      <c r="M71" s="1674">
        <f>M59-M61-M69</f>
        <v>0</v>
      </c>
      <c r="O71" s="1674">
        <f>O59-O61-O69</f>
        <v>0</v>
      </c>
      <c r="Q71" s="1674">
        <f>Q59-Q61-Q69</f>
        <v>0</v>
      </c>
      <c r="S71" s="1674">
        <f>S59-S61-S69</f>
        <v>0</v>
      </c>
      <c r="U71" s="1674">
        <f>U59-U61-U69</f>
        <v>0</v>
      </c>
      <c r="W71" s="1674">
        <f>W59-W61-W69</f>
        <v>0</v>
      </c>
      <c r="Y71" s="1674">
        <f>Y59-Y61-Y69</f>
        <v>1162885.720437835</v>
      </c>
      <c r="AA71" s="1674">
        <f>AA59-AA61-AA69</f>
        <v>1706528.3421535445</v>
      </c>
      <c r="AC71" s="1674">
        <f>AC59-AC61-AC69</f>
        <v>1823185.9907643516</v>
      </c>
      <c r="AE71" s="1674">
        <f>AE59-AE61-AE69</f>
        <v>1942064.0493666604</v>
      </c>
      <c r="AG71" s="1674">
        <f>AG59-AG61-AG69</f>
        <v>2063193.6438974142</v>
      </c>
    </row>
    <row r="72" spans="1:33" s="1672" customFormat="1">
      <c r="A72" s="915"/>
      <c r="C72" s="1685"/>
    </row>
    <row r="73" spans="1:33" s="351" customFormat="1">
      <c r="A73" s="915"/>
      <c r="C73" s="352"/>
    </row>
    <row r="74" spans="1:33" s="351" customFormat="1">
      <c r="A74" s="1672" t="s">
        <v>2221</v>
      </c>
      <c r="C74" s="352"/>
    </row>
    <row r="75" spans="1:33" s="351" customFormat="1">
      <c r="C75" s="352"/>
    </row>
    <row r="76" spans="1:33" s="370" customFormat="1" ht="30" customHeight="1">
      <c r="A76" s="3358" t="s">
        <v>2220</v>
      </c>
      <c r="B76" s="3359"/>
      <c r="C76" s="3359"/>
      <c r="D76" s="3359"/>
      <c r="E76" s="3359"/>
      <c r="F76" s="3359"/>
      <c r="G76" s="3359"/>
      <c r="H76" s="3359"/>
      <c r="I76" s="3359"/>
      <c r="J76" s="3359"/>
      <c r="K76" s="3359"/>
      <c r="L76" s="3359"/>
      <c r="M76" s="3359"/>
      <c r="N76" s="3359"/>
      <c r="O76" s="3359"/>
      <c r="P76" s="3359"/>
      <c r="Q76" s="3359"/>
      <c r="R76" s="3359"/>
      <c r="S76" s="3359"/>
      <c r="T76" s="3359"/>
      <c r="U76" s="3359"/>
      <c r="V76" s="3359"/>
      <c r="W76" s="3359"/>
      <c r="X76" s="3359"/>
      <c r="Y76" s="3359"/>
      <c r="Z76" s="3359"/>
      <c r="AA76" s="3359"/>
      <c r="AB76" s="3359"/>
      <c r="AC76" s="3359"/>
      <c r="AD76" s="3359"/>
      <c r="AE76" s="3359"/>
      <c r="AF76" s="3359"/>
      <c r="AG76" s="3359"/>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1" t="s">
        <v>979</v>
      </c>
      <c r="B1" s="3361"/>
      <c r="C1" s="3361"/>
      <c r="D1" s="3361"/>
      <c r="E1" s="3361"/>
      <c r="F1" s="3361"/>
      <c r="G1" s="3361"/>
      <c r="H1" s="3361"/>
      <c r="I1" s="3361"/>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2</v>
      </c>
      <c r="C4" s="658">
        <f>Application!O728</f>
        <v>890</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3</v>
      </c>
      <c r="C5" s="658">
        <f>Application!O729</f>
        <v>1511</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19</v>
      </c>
      <c r="C6" s="658">
        <f>Application!O730</f>
        <v>1822</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5</v>
      </c>
      <c r="C7" s="658">
        <f>Application!O731</f>
        <v>890</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4</v>
      </c>
      <c r="C8" s="658">
        <f>Application!O732</f>
        <v>1511</v>
      </c>
      <c r="D8" s="659"/>
      <c r="E8" s="476"/>
      <c r="F8" s="660">
        <f t="shared" si="0"/>
        <v>0</v>
      </c>
      <c r="G8" s="661"/>
      <c r="H8" s="658" t="str">
        <f t="shared" si="1"/>
        <v xml:space="preserve"> </v>
      </c>
      <c r="I8" s="660" t="str">
        <f t="shared" si="2"/>
        <v xml:space="preserve"> </v>
      </c>
      <c r="J8" s="325"/>
      <c r="K8" s="473"/>
    </row>
    <row r="9" spans="1:11">
      <c r="A9" s="658" t="str">
        <f>Application!B733</f>
        <v>1 Bedroom</v>
      </c>
      <c r="B9" s="667">
        <f>Application!G733</f>
        <v>37</v>
      </c>
      <c r="C9" s="658">
        <f>Application!O733</f>
        <v>1822</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7</v>
      </c>
      <c r="C10" s="658">
        <f>Application!O734</f>
        <v>1062</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7</v>
      </c>
      <c r="C11" s="658">
        <f>Application!O735</f>
        <v>1808</v>
      </c>
      <c r="D11" s="659"/>
      <c r="E11" s="476"/>
      <c r="F11" s="660">
        <f t="shared" si="0"/>
        <v>0</v>
      </c>
      <c r="G11" s="661"/>
      <c r="H11" s="658" t="str">
        <f t="shared" si="1"/>
        <v xml:space="preserve"> </v>
      </c>
      <c r="I11" s="660" t="str">
        <f t="shared" si="2"/>
        <v xml:space="preserve"> </v>
      </c>
      <c r="J11" s="325"/>
      <c r="K11" s="473"/>
    </row>
    <row r="12" spans="1:11">
      <c r="A12" s="658" t="str">
        <f>Application!B736</f>
        <v>2 Bedrooms</v>
      </c>
      <c r="B12" s="667">
        <f>Application!G736</f>
        <v>58</v>
      </c>
      <c r="C12" s="658">
        <f>Application!O736</f>
        <v>2181</v>
      </c>
      <c r="D12" s="659"/>
      <c r="E12" s="476"/>
      <c r="F12" s="660">
        <f t="shared" si="0"/>
        <v>0</v>
      </c>
      <c r="G12" s="661"/>
      <c r="H12" s="658" t="str">
        <f t="shared" si="1"/>
        <v xml:space="preserve"> </v>
      </c>
      <c r="I12" s="660" t="str">
        <f t="shared" si="2"/>
        <v xml:space="preserve"> </v>
      </c>
      <c r="J12" s="325"/>
      <c r="K12" s="473"/>
    </row>
    <row r="13" spans="1:11">
      <c r="A13" s="658" t="str">
        <f>Application!B737</f>
        <v>2 Bedrooms</v>
      </c>
      <c r="B13" s="667">
        <f>Application!G737</f>
        <v>4</v>
      </c>
      <c r="C13" s="658">
        <f>Application!O737</f>
        <v>1062</v>
      </c>
      <c r="D13" s="659"/>
      <c r="E13" s="476"/>
      <c r="F13" s="660">
        <f t="shared" si="0"/>
        <v>0</v>
      </c>
      <c r="G13" s="661"/>
      <c r="H13" s="658" t="str">
        <f t="shared" si="1"/>
        <v xml:space="preserve"> </v>
      </c>
      <c r="I13" s="660" t="str">
        <f t="shared" si="2"/>
        <v xml:space="preserve"> </v>
      </c>
      <c r="J13" s="325"/>
      <c r="K13" s="473"/>
    </row>
    <row r="14" spans="1:11">
      <c r="A14" s="658" t="str">
        <f>Application!B738</f>
        <v>2 Bedrooms</v>
      </c>
      <c r="B14" s="667">
        <f>Application!G738</f>
        <v>5</v>
      </c>
      <c r="C14" s="658">
        <f>Application!O738</f>
        <v>1808</v>
      </c>
      <c r="D14" s="659"/>
      <c r="E14" s="476"/>
      <c r="F14" s="660">
        <f t="shared" si="0"/>
        <v>0</v>
      </c>
      <c r="G14" s="661"/>
      <c r="H14" s="658" t="str">
        <f t="shared" si="1"/>
        <v xml:space="preserve"> </v>
      </c>
      <c r="I14" s="660" t="str">
        <f t="shared" si="2"/>
        <v xml:space="preserve"> </v>
      </c>
      <c r="J14" s="325"/>
      <c r="K14" s="473"/>
    </row>
    <row r="15" spans="1:11">
      <c r="A15" s="658" t="str">
        <f>Application!B739</f>
        <v>2 Bedrooms</v>
      </c>
      <c r="B15" s="667">
        <f>Application!G739</f>
        <v>32</v>
      </c>
      <c r="C15" s="658">
        <f>Application!O739</f>
        <v>2181</v>
      </c>
      <c r="D15" s="659"/>
      <c r="E15" s="476"/>
      <c r="F15" s="660">
        <f t="shared" si="0"/>
        <v>0</v>
      </c>
      <c r="G15" s="661"/>
      <c r="H15" s="658" t="str">
        <f t="shared" si="1"/>
        <v xml:space="preserve"> </v>
      </c>
      <c r="I15" s="660" t="str">
        <f t="shared" si="2"/>
        <v xml:space="preserve"> </v>
      </c>
      <c r="J15" s="325"/>
      <c r="K15" s="473"/>
    </row>
    <row r="16" spans="1:11">
      <c r="A16" s="658" t="str">
        <f>Application!B740</f>
        <v>3 Bedrooms</v>
      </c>
      <c r="B16" s="667">
        <f>Application!G740</f>
        <v>5</v>
      </c>
      <c r="C16" s="658">
        <f>Application!O740</f>
        <v>1220</v>
      </c>
      <c r="D16" s="659"/>
      <c r="E16" s="476"/>
      <c r="F16" s="660">
        <f t="shared" si="0"/>
        <v>0</v>
      </c>
      <c r="G16" s="661"/>
      <c r="H16" s="658" t="str">
        <f t="shared" si="1"/>
        <v xml:space="preserve"> </v>
      </c>
      <c r="I16" s="660" t="str">
        <f t="shared" si="2"/>
        <v xml:space="preserve"> </v>
      </c>
      <c r="J16" s="325"/>
      <c r="K16" s="473"/>
    </row>
    <row r="17" spans="1:11">
      <c r="A17" s="658" t="str">
        <f>Application!B741</f>
        <v>3 Bedrooms</v>
      </c>
      <c r="B17" s="667">
        <f>Application!G741</f>
        <v>5</v>
      </c>
      <c r="C17" s="658">
        <f>Application!O741</f>
        <v>2082</v>
      </c>
      <c r="D17" s="659"/>
      <c r="E17" s="476"/>
      <c r="F17" s="660">
        <f t="shared" si="0"/>
        <v>0</v>
      </c>
      <c r="G17" s="661"/>
      <c r="H17" s="658" t="str">
        <f t="shared" si="1"/>
        <v xml:space="preserve"> </v>
      </c>
      <c r="I17" s="660" t="str">
        <f t="shared" si="2"/>
        <v xml:space="preserve"> </v>
      </c>
      <c r="J17" s="325"/>
      <c r="K17" s="473"/>
    </row>
    <row r="18" spans="1:11">
      <c r="A18" s="658" t="str">
        <f>Application!B742</f>
        <v>3 Bedrooms</v>
      </c>
      <c r="B18" s="667">
        <f>Application!G742</f>
        <v>41</v>
      </c>
      <c r="C18" s="658">
        <f>Application!O742</f>
        <v>2513</v>
      </c>
      <c r="D18" s="659"/>
      <c r="E18" s="476"/>
      <c r="F18" s="660">
        <f t="shared" si="0"/>
        <v>0</v>
      </c>
      <c r="G18" s="661"/>
      <c r="H18" s="658" t="str">
        <f t="shared" si="1"/>
        <v xml:space="preserve"> </v>
      </c>
      <c r="I18" s="660" t="str">
        <f t="shared" si="2"/>
        <v xml:space="preserve"> </v>
      </c>
      <c r="J18" s="325"/>
      <c r="K18" s="473"/>
    </row>
    <row r="19" spans="1:11">
      <c r="A19" s="658" t="str">
        <f>Application!B743</f>
        <v>3 Bedrooms</v>
      </c>
      <c r="B19" s="667">
        <f>Application!G743</f>
        <v>1</v>
      </c>
      <c r="C19" s="658">
        <f>Application!O743</f>
        <v>1220</v>
      </c>
      <c r="D19" s="659"/>
      <c r="E19" s="476"/>
      <c r="F19" s="660">
        <f t="shared" si="0"/>
        <v>0</v>
      </c>
      <c r="G19" s="661"/>
      <c r="H19" s="658" t="str">
        <f t="shared" si="1"/>
        <v xml:space="preserve"> </v>
      </c>
      <c r="I19" s="660" t="str">
        <f t="shared" si="2"/>
        <v xml:space="preserve"> </v>
      </c>
      <c r="J19" s="325"/>
      <c r="K19" s="473"/>
    </row>
    <row r="20" spans="1:11">
      <c r="A20" s="658" t="str">
        <f>Application!B744</f>
        <v>3 Bedrooms</v>
      </c>
      <c r="B20" s="667">
        <f>Application!G744</f>
        <v>1</v>
      </c>
      <c r="C20" s="658">
        <f>Application!O744</f>
        <v>2082</v>
      </c>
      <c r="D20" s="659"/>
      <c r="E20" s="476"/>
      <c r="F20" s="660">
        <f t="shared" si="0"/>
        <v>0</v>
      </c>
      <c r="G20" s="661"/>
      <c r="H20" s="658" t="str">
        <f t="shared" si="1"/>
        <v xml:space="preserve"> </v>
      </c>
      <c r="I20" s="660" t="str">
        <f t="shared" si="2"/>
        <v xml:space="preserve"> </v>
      </c>
      <c r="J20" s="325"/>
      <c r="K20" s="473"/>
    </row>
    <row r="21" spans="1:11">
      <c r="A21" s="658" t="str">
        <f>Application!B745</f>
        <v>3 Bedrooms</v>
      </c>
      <c r="B21" s="667">
        <f>Application!G745</f>
        <v>4</v>
      </c>
      <c r="C21" s="658">
        <f>Application!O745</f>
        <v>2513</v>
      </c>
      <c r="D21" s="659"/>
      <c r="E21" s="476"/>
      <c r="F21" s="660">
        <f t="shared" si="0"/>
        <v>0</v>
      </c>
      <c r="G21" s="661"/>
      <c r="H21" s="658" t="str">
        <f t="shared" si="1"/>
        <v xml:space="preserve"> </v>
      </c>
      <c r="I21" s="660" t="str">
        <f t="shared" si="2"/>
        <v xml:space="preserve"> </v>
      </c>
      <c r="J21" s="325"/>
      <c r="K21" s="473"/>
    </row>
    <row r="22" spans="1:11">
      <c r="A22" s="658" t="str">
        <f>Application!B746</f>
        <v>3 Bedrooms</v>
      </c>
      <c r="B22" s="667">
        <f>Application!G746</f>
        <v>1</v>
      </c>
      <c r="C22" s="658">
        <f>Application!O746</f>
        <v>1220</v>
      </c>
      <c r="D22" s="659"/>
      <c r="E22" s="476"/>
      <c r="F22" s="660">
        <f t="shared" si="0"/>
        <v>0</v>
      </c>
      <c r="G22" s="661"/>
      <c r="H22" s="658" t="str">
        <f t="shared" si="1"/>
        <v xml:space="preserve"> </v>
      </c>
      <c r="I22" s="660" t="str">
        <f t="shared" si="2"/>
        <v xml:space="preserve"> </v>
      </c>
      <c r="J22" s="325"/>
      <c r="K22" s="473"/>
    </row>
    <row r="23" spans="1:11">
      <c r="A23" s="658" t="str">
        <f>Application!B747</f>
        <v>3 Bedrooms</v>
      </c>
      <c r="B23" s="667">
        <f>Application!G747</f>
        <v>5</v>
      </c>
      <c r="C23" s="658">
        <f>Application!O747</f>
        <v>2513</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495189</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13250000</v>
      </c>
      <c r="C5" s="421">
        <f>'Sources and Uses Budget'!$C4</f>
        <v>13250000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300000</v>
      </c>
      <c r="C6" s="421">
        <f>'Sources and Uses Budget'!$C5</f>
        <v>300000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13550000</v>
      </c>
      <c r="C9" s="425">
        <f>SUM(C5:C8)</f>
        <v>13550000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13550000</v>
      </c>
      <c r="C13" s="425">
        <f>SUM(C9+C12)</f>
        <v>13550000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850000</v>
      </c>
      <c r="C14" s="421">
        <f>'Sources and Uses Budget'!$C13</f>
        <v>850000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Solar</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3"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12840000</v>
      </c>
      <c r="C30" s="421">
        <f>'Sources and Uses Budget'!$C29</f>
        <v>12840000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45260060</v>
      </c>
      <c r="C31" s="421">
        <f>'Sources and Uses Budget'!$C30</f>
        <v>45260060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3576004</v>
      </c>
      <c r="C32" s="421">
        <f>'Sources and Uses Budget'!$C31</f>
        <v>3576004</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1263521</v>
      </c>
      <c r="C33" s="421">
        <f>'Sources and Uses Budget'!$C32</f>
        <v>1263521</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3790564</v>
      </c>
      <c r="C34" s="421">
        <f>'Sources and Uses Budget'!$C33</f>
        <v>3790564</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1841582</v>
      </c>
      <c r="C36" s="421">
        <f>'Sources and Uses Budget'!$C35</f>
        <v>1841582</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7"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Solar</v>
      </c>
      <c r="B38" s="421">
        <f>'Sources and Uses Budget'!$C37</f>
        <v>1500000</v>
      </c>
      <c r="C38" s="421">
        <f>'Sources and Uses Budget'!$C37</f>
        <v>1500000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70071731</v>
      </c>
      <c r="C39" s="425">
        <f>SUM(C30:C38)</f>
        <v>70071731</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500000</v>
      </c>
      <c r="C41" s="421">
        <f>'Sources and Uses Budget'!$C40</f>
        <v>500000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200000</v>
      </c>
      <c r="C42" s="421">
        <f>'Sources and Uses Budget'!$C41</f>
        <v>200000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700000</v>
      </c>
      <c r="C43" s="425">
        <f>SUM(C41:C42)</f>
        <v>700000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1450525</v>
      </c>
      <c r="C44" s="421">
        <f>'Sources and Uses Budget'!$C43</f>
        <v>1450525</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6233226</v>
      </c>
      <c r="C46" s="421">
        <f>'Sources and Uses Budget'!$C45</f>
        <v>6233226</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911540</v>
      </c>
      <c r="C47" s="421">
        <f>'Sources and Uses Budget'!$C46</f>
        <v>911540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25000</v>
      </c>
      <c r="C48" s="421">
        <f>'Sources and Uses Budget'!$C47</f>
        <v>25000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291300</v>
      </c>
      <c r="C50" s="421">
        <f>'Sources and Uses Budget'!$C49</f>
        <v>291300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40000</v>
      </c>
      <c r="C51" s="421">
        <f>'Sources and Uses Budget'!$C50</f>
        <v>40000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350000</v>
      </c>
      <c r="C52" s="421">
        <f>'Sources and Uses Budget'!$C51</f>
        <v>350000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0</v>
      </c>
      <c r="C53" s="421">
        <f>'Sources and Uses Budget'!$C52</f>
        <v>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Lender Inspections</v>
      </c>
      <c r="B54" s="421">
        <f>'Sources and Uses Budget'!$C53</f>
        <v>75000</v>
      </c>
      <c r="C54" s="421">
        <f>'Sources and Uses Budget'!$C53</f>
        <v>75000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7926066</v>
      </c>
      <c r="C55" s="428">
        <f>SUM(C46:C54)</f>
        <v>7926066</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4"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0</v>
      </c>
      <c r="C63" s="425">
        <f>SUM(C57:C62)</f>
        <v>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94548322</v>
      </c>
      <c r="C64" s="425">
        <f>SUM(C9+C12+C14+C15+C17+C26+C28+C39+C43+C44+C55+C63)</f>
        <v>94548322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120000</v>
      </c>
      <c r="C66" s="421">
        <f>'Sources and Uses Budget'!$C65</f>
        <v>120000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120000</v>
      </c>
      <c r="C71" s="425">
        <f>SUM(C66:C70)</f>
        <v>120000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1282880</v>
      </c>
      <c r="C76" s="421">
        <f>'Sources and Uses Budget'!$C75</f>
        <v>1282880</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1282880</v>
      </c>
      <c r="C78" s="425">
        <f>SUM(C73:C77)</f>
        <v>1282880</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3411507</v>
      </c>
      <c r="C80" s="421">
        <f>'Sources and Uses Budget'!$C79</f>
        <v>3411507</v>
      </c>
      <c r="D80" s="425">
        <f t="shared" si="1"/>
        <v>0</v>
      </c>
      <c r="E80" s="423"/>
      <c r="F80" s="422"/>
      <c r="G80" s="553"/>
    </row>
    <row r="81" spans="1:7" s="547" customFormat="1">
      <c r="A81" s="861" t="s">
        <v>61</v>
      </c>
      <c r="B81" s="421">
        <f>'Sources and Uses Budget'!$C80</f>
        <v>540266</v>
      </c>
      <c r="C81" s="421">
        <f>'Sources and Uses Budget'!$C80</f>
        <v>540266</v>
      </c>
      <c r="D81" s="425">
        <f>C81-B81</f>
        <v>0</v>
      </c>
      <c r="E81" s="423"/>
      <c r="F81" s="422"/>
      <c r="G81" s="553"/>
    </row>
    <row r="82" spans="1:7" s="547" customFormat="1">
      <c r="A82" s="426" t="s">
        <v>1419</v>
      </c>
      <c r="B82" s="425">
        <f>SUM(B80:B81)</f>
        <v>3951773</v>
      </c>
      <c r="C82" s="425">
        <f>SUM(C80:C81)</f>
        <v>3951773</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171785</v>
      </c>
      <c r="C84" s="421">
        <f>'Sources and Uses Budget'!$C83</f>
        <v>171785</v>
      </c>
      <c r="D84" s="425">
        <f t="shared" si="1"/>
        <v>0</v>
      </c>
      <c r="E84" s="423"/>
      <c r="F84" s="422"/>
      <c r="G84" s="553"/>
    </row>
    <row r="85" spans="1:7" s="547" customFormat="1">
      <c r="A85" s="424" t="s">
        <v>825</v>
      </c>
      <c r="B85" s="421">
        <f>'Sources and Uses Budget'!$C84</f>
        <v>0</v>
      </c>
      <c r="C85" s="421">
        <f>'Sources and Uses Budget'!$C84</f>
        <v>0</v>
      </c>
      <c r="D85" s="425">
        <f t="shared" si="1"/>
        <v>0</v>
      </c>
      <c r="E85" s="423"/>
      <c r="F85" s="422"/>
      <c r="G85" s="553"/>
    </row>
    <row r="86" spans="1:7" s="547" customFormat="1">
      <c r="A86" s="424" t="s">
        <v>826</v>
      </c>
      <c r="B86" s="421">
        <f>'Sources and Uses Budget'!$C85</f>
        <v>8838677</v>
      </c>
      <c r="C86" s="421">
        <f>'Sources and Uses Budget'!$C85</f>
        <v>8838677</v>
      </c>
      <c r="D86" s="425">
        <f t="shared" si="1"/>
        <v>0</v>
      </c>
      <c r="E86" s="423"/>
      <c r="F86" s="422"/>
      <c r="G86" s="553"/>
    </row>
    <row r="87" spans="1:7" s="547" customFormat="1">
      <c r="A87" s="424" t="s">
        <v>827</v>
      </c>
      <c r="B87" s="421">
        <f>'Sources and Uses Budget'!$C86</f>
        <v>1076439</v>
      </c>
      <c r="C87" s="421">
        <f>'Sources and Uses Budget'!$C86</f>
        <v>1076439</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75000</v>
      </c>
      <c r="C89" s="421">
        <f>'Sources and Uses Budget'!$C88</f>
        <v>75000</v>
      </c>
      <c r="D89" s="425">
        <f t="shared" si="1"/>
        <v>0</v>
      </c>
      <c r="E89" s="423"/>
      <c r="F89" s="422"/>
      <c r="G89" s="553"/>
    </row>
    <row r="90" spans="1:7" s="547" customFormat="1">
      <c r="A90" s="424" t="s">
        <v>830</v>
      </c>
      <c r="B90" s="421">
        <f>'Sources and Uses Budget'!$C89</f>
        <v>250000</v>
      </c>
      <c r="C90" s="421">
        <f>'Sources and Uses Budget'!$C89</f>
        <v>250000</v>
      </c>
      <c r="D90" s="425">
        <f t="shared" si="1"/>
        <v>0</v>
      </c>
      <c r="E90" s="423"/>
      <c r="F90" s="422"/>
      <c r="G90" s="553"/>
    </row>
    <row r="91" spans="1:7" s="547" customFormat="1">
      <c r="A91" s="424" t="s">
        <v>831</v>
      </c>
      <c r="B91" s="421">
        <f>'Sources and Uses Budget'!$C90</f>
        <v>0</v>
      </c>
      <c r="C91" s="421">
        <f>'Sources and Uses Budget'!$C90</f>
        <v>0</v>
      </c>
      <c r="D91" s="425">
        <f t="shared" si="1"/>
        <v>0</v>
      </c>
      <c r="E91" s="423"/>
      <c r="F91" s="422"/>
      <c r="G91" s="553"/>
    </row>
    <row r="92" spans="1:7" s="547" customFormat="1">
      <c r="A92" s="430" t="s">
        <v>390</v>
      </c>
      <c r="B92" s="421">
        <f>'Sources and Uses Budget'!$C91</f>
        <v>95000</v>
      </c>
      <c r="C92" s="421">
        <f>'Sources and Uses Budget'!$C91</f>
        <v>95000</v>
      </c>
      <c r="D92" s="425">
        <f t="shared" si="1"/>
        <v>0</v>
      </c>
      <c r="E92" s="423"/>
      <c r="F92" s="422"/>
      <c r="G92" s="553"/>
    </row>
    <row r="93" spans="1:7" s="547" customFormat="1">
      <c r="A93" s="860" t="s">
        <v>1421</v>
      </c>
      <c r="B93" s="421">
        <f>'Sources and Uses Budget'!$C92</f>
        <v>0</v>
      </c>
      <c r="C93" s="421">
        <f>'Sources and Uses Budget'!$C92</f>
        <v>0</v>
      </c>
      <c r="D93" s="425">
        <f t="shared" si="1"/>
        <v>0</v>
      </c>
      <c r="E93" s="423"/>
      <c r="F93" s="422"/>
      <c r="G93" s="553"/>
    </row>
    <row r="94" spans="1:7" s="547" customFormat="1">
      <c r="A94" s="427" t="s">
        <v>35</v>
      </c>
      <c r="B94" s="421">
        <f>'Sources and Uses Budget'!$C93</f>
        <v>310000</v>
      </c>
      <c r="C94" s="421">
        <f>'Sources and Uses Budget'!$C93</f>
        <v>310000</v>
      </c>
      <c r="D94" s="425">
        <f t="shared" si="1"/>
        <v>0</v>
      </c>
      <c r="E94" s="423"/>
      <c r="F94" s="422"/>
      <c r="G94" s="553"/>
    </row>
    <row r="95" spans="1:7" s="547" customFormat="1">
      <c r="A95" s="427" t="s">
        <v>35</v>
      </c>
      <c r="B95" s="421">
        <f>'Sources and Uses Budget'!$C94</f>
        <v>15890</v>
      </c>
      <c r="C95" s="421">
        <f>'Sources and Uses Budget'!$C94</f>
        <v>15890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10832791</v>
      </c>
      <c r="C97" s="425">
        <f>SUM(C84:C96)</f>
        <v>10832791</v>
      </c>
      <c r="D97" s="425">
        <f t="shared" si="1"/>
        <v>0</v>
      </c>
      <c r="E97" s="423"/>
      <c r="F97" s="422"/>
      <c r="G97" s="553"/>
    </row>
    <row r="98" spans="1:7" s="547" customFormat="1">
      <c r="A98" s="426" t="s">
        <v>833</v>
      </c>
      <c r="B98" s="425">
        <f>SUM(B64+B71+B78+B82+B97)</f>
        <v>110735766</v>
      </c>
      <c r="C98" s="425">
        <f>SUM(C64+C71+C78+C82+C97)</f>
        <v>110735766</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13720167</v>
      </c>
      <c r="C100" s="421">
        <f>'Sources and Uses Budget'!$C99</f>
        <v>13720167</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4"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13720167</v>
      </c>
      <c r="C105" s="425">
        <f>SUM(C100:C104)</f>
        <v>13720167</v>
      </c>
      <c r="D105" s="425">
        <f t="shared" si="1"/>
        <v>0</v>
      </c>
      <c r="E105" s="423"/>
      <c r="F105" s="422"/>
      <c r="G105" s="551"/>
    </row>
    <row r="106" spans="1:7" s="546" customFormat="1">
      <c r="A106" s="426" t="s">
        <v>838</v>
      </c>
      <c r="B106" s="428">
        <f>SUM(B98+B105)</f>
        <v>124455933</v>
      </c>
      <c r="C106" s="428">
        <f>SUM(C98+C105)</f>
        <v>124455933</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6" t="s">
        <v>1158</v>
      </c>
      <c r="B2" s="1916"/>
      <c r="C2" s="1917"/>
      <c r="D2" s="1917"/>
      <c r="E2" s="1917"/>
      <c r="F2" s="1917"/>
      <c r="G2" s="1917"/>
    </row>
    <row r="3" spans="1:9" s="256" customFormat="1">
      <c r="A3" s="1916" t="s">
        <v>1088</v>
      </c>
      <c r="B3" s="1916"/>
      <c r="C3" s="1917"/>
      <c r="D3" s="1917"/>
      <c r="E3" s="1917"/>
      <c r="F3" s="1917"/>
      <c r="G3" s="1917"/>
      <c r="I3" s="677" t="s">
        <v>316</v>
      </c>
    </row>
    <row r="4" spans="1:9">
      <c r="I4" s="678" t="s">
        <v>1159</v>
      </c>
    </row>
    <row r="5" spans="1:9" s="39" customFormat="1">
      <c r="A5" s="1920" t="s">
        <v>1089</v>
      </c>
      <c r="B5" s="1920"/>
      <c r="C5" s="1921"/>
      <c r="D5" s="1921"/>
      <c r="E5" s="1921"/>
      <c r="F5" s="1921"/>
      <c r="G5" s="1921"/>
      <c r="I5" s="678" t="s">
        <v>1160</v>
      </c>
    </row>
    <row r="6" spans="1:9" s="39" customFormat="1">
      <c r="A6" s="1920" t="s">
        <v>880</v>
      </c>
      <c r="B6" s="1920"/>
      <c r="C6" s="1921"/>
      <c r="D6" s="1921"/>
      <c r="E6" s="1921"/>
      <c r="F6" s="1921"/>
      <c r="G6" s="1921"/>
      <c r="I6" s="677" t="s">
        <v>626</v>
      </c>
    </row>
    <row r="7" spans="1:9" ht="11.85" customHeight="1"/>
    <row r="8" spans="1:9" s="39" customFormat="1">
      <c r="A8" s="1918" t="s">
        <v>1255</v>
      </c>
      <c r="B8" s="1918"/>
      <c r="C8" s="1919"/>
      <c r="D8" s="1919"/>
      <c r="E8" s="1919"/>
      <c r="F8" s="1919"/>
      <c r="G8" s="1919"/>
    </row>
    <row r="9" spans="1:9" s="39" customFormat="1">
      <c r="A9" s="1918" t="s">
        <v>1256</v>
      </c>
      <c r="B9" s="1918"/>
      <c r="C9" s="1919"/>
      <c r="D9" s="1919"/>
      <c r="E9" s="1919"/>
      <c r="F9" s="1919"/>
      <c r="G9" s="1919"/>
    </row>
    <row r="10" spans="1:9">
      <c r="A10" s="258"/>
      <c r="B10" s="258"/>
      <c r="C10" s="255"/>
      <c r="D10" s="255"/>
      <c r="E10" s="255"/>
      <c r="F10" s="255"/>
    </row>
    <row r="11" spans="1:9">
      <c r="A11" s="1922" t="s">
        <v>1258</v>
      </c>
      <c r="B11" s="1922"/>
      <c r="C11" s="1922"/>
      <c r="D11" s="1922"/>
      <c r="E11" s="1922"/>
      <c r="F11" s="1922"/>
      <c r="G11" s="1922"/>
    </row>
    <row r="12" spans="1:9">
      <c r="A12" s="255"/>
      <c r="B12" s="673"/>
      <c r="E12" s="50"/>
    </row>
    <row r="13" spans="1:9" ht="13.15" customHeight="1">
      <c r="C13" s="255"/>
      <c r="D13" s="1940" t="s">
        <v>1257</v>
      </c>
      <c r="E13" s="1940"/>
      <c r="F13" s="1940"/>
    </row>
    <row r="14" spans="1:9">
      <c r="C14" s="255"/>
      <c r="D14" s="1940"/>
      <c r="E14" s="1940"/>
      <c r="F14" s="1940"/>
    </row>
    <row r="15" spans="1:9">
      <c r="A15" s="260"/>
      <c r="B15" s="260"/>
      <c r="C15" s="260"/>
      <c r="D15" s="1879" t="s">
        <v>1240</v>
      </c>
      <c r="E15" s="1879"/>
      <c r="F15" s="1879"/>
    </row>
    <row r="16" spans="1:9">
      <c r="A16" s="260"/>
      <c r="B16" s="260"/>
      <c r="C16" s="260"/>
      <c r="D16" s="327"/>
    </row>
    <row r="17" spans="1:7" ht="14.25">
      <c r="A17" s="261"/>
      <c r="B17" s="679" t="s">
        <v>316</v>
      </c>
      <c r="C17" s="313"/>
      <c r="D17" s="1866" t="s">
        <v>1241</v>
      </c>
      <c r="E17" s="1866"/>
      <c r="F17" s="1866"/>
    </row>
    <row r="18" spans="1:7">
      <c r="A18" s="260"/>
      <c r="B18" s="260"/>
      <c r="C18" s="313"/>
      <c r="D18" s="1866"/>
      <c r="E18" s="1866"/>
      <c r="F18" s="1866"/>
    </row>
    <row r="19" spans="1:7">
      <c r="A19" s="260"/>
      <c r="B19" s="260"/>
      <c r="C19" s="313"/>
      <c r="D19" s="1866"/>
      <c r="E19" s="1866"/>
      <c r="F19" s="1866"/>
    </row>
    <row r="20" spans="1:7">
      <c r="A20" s="260"/>
      <c r="B20" s="260"/>
      <c r="C20" s="260"/>
    </row>
    <row r="21" spans="1:7" ht="14.25">
      <c r="A21" s="261"/>
      <c r="B21" s="679" t="s">
        <v>316</v>
      </c>
      <c r="D21" s="1932" t="s">
        <v>1242</v>
      </c>
      <c r="E21" s="1932"/>
      <c r="F21" s="1932"/>
    </row>
    <row r="22" spans="1:7" ht="14.25">
      <c r="A22" s="261"/>
      <c r="B22" s="261"/>
      <c r="D22" s="135"/>
    </row>
    <row r="23" spans="1:7" ht="14.25">
      <c r="A23" s="261"/>
      <c r="B23" s="679" t="s">
        <v>316</v>
      </c>
      <c r="D23" s="1866" t="s">
        <v>1243</v>
      </c>
      <c r="E23" s="1866"/>
      <c r="F23" s="1866"/>
    </row>
    <row r="24" spans="1:7" ht="14.25">
      <c r="A24" s="261"/>
      <c r="B24" s="261"/>
      <c r="D24" s="1866"/>
      <c r="E24" s="1866"/>
      <c r="F24" s="1866"/>
    </row>
    <row r="25" spans="1:7"/>
    <row r="26" spans="1:7" ht="14.25">
      <c r="A26" s="261"/>
      <c r="B26" s="679" t="s">
        <v>316</v>
      </c>
      <c r="D26" s="1901" t="s">
        <v>1244</v>
      </c>
      <c r="E26" s="1901"/>
      <c r="F26" s="1901"/>
    </row>
    <row r="27" spans="1:7">
      <c r="D27" s="1901"/>
      <c r="E27" s="1901"/>
      <c r="F27" s="1901"/>
    </row>
    <row r="28" spans="1:7">
      <c r="D28" s="1901"/>
      <c r="E28" s="1901"/>
      <c r="F28" s="1901"/>
    </row>
    <row r="29" spans="1:7">
      <c r="A29" s="558"/>
      <c r="C29" s="558"/>
      <c r="D29" s="1901"/>
      <c r="E29" s="1901"/>
      <c r="F29" s="1901"/>
    </row>
    <row r="30" spans="1:7">
      <c r="A30" s="558"/>
      <c r="C30" s="558"/>
      <c r="D30" s="1901"/>
      <c r="E30" s="1901"/>
      <c r="F30" s="1901"/>
    </row>
    <row r="31" spans="1:7" s="39" customFormat="1">
      <c r="A31" s="273"/>
      <c r="B31" s="273"/>
      <c r="C31" s="273"/>
      <c r="D31" s="443"/>
      <c r="E31" s="130"/>
      <c r="F31" s="130"/>
      <c r="G31" s="130"/>
    </row>
    <row r="32" spans="1:7" s="39" customFormat="1">
      <c r="A32" s="273"/>
      <c r="B32" s="679" t="s">
        <v>316</v>
      </c>
      <c r="C32" s="273"/>
      <c r="D32" s="1867" t="s">
        <v>1245</v>
      </c>
      <c r="E32" s="1867"/>
      <c r="F32" s="1867"/>
      <c r="G32" s="130"/>
    </row>
    <row r="33" spans="1:7" s="39" customFormat="1">
      <c r="A33" s="273"/>
      <c r="B33" s="273"/>
      <c r="C33" s="273"/>
      <c r="D33" s="1867"/>
      <c r="E33" s="1867"/>
      <c r="F33" s="1867"/>
      <c r="G33" s="130"/>
    </row>
    <row r="34" spans="1:7" ht="14.25">
      <c r="A34" s="261"/>
      <c r="B34" s="261"/>
      <c r="D34" s="404"/>
    </row>
    <row r="35" spans="1:7" ht="14.45" customHeight="1">
      <c r="A35" s="261"/>
      <c r="B35" s="679" t="s">
        <v>316</v>
      </c>
      <c r="C35" s="554"/>
      <c r="D35" s="1867" t="s">
        <v>1246</v>
      </c>
      <c r="E35" s="1867"/>
      <c r="F35" s="1867"/>
    </row>
    <row r="36" spans="1:7" ht="14.25">
      <c r="A36" s="261"/>
      <c r="B36" s="261"/>
      <c r="C36" s="554"/>
      <c r="D36" s="1867"/>
      <c r="E36" s="1867"/>
      <c r="F36" s="1867"/>
    </row>
    <row r="37" spans="1:7" ht="14.25">
      <c r="A37" s="261"/>
      <c r="B37" s="261"/>
      <c r="C37" s="554"/>
      <c r="D37" s="1867"/>
      <c r="E37" s="1867"/>
      <c r="F37" s="1867"/>
    </row>
    <row r="38" spans="1:7" ht="14.25">
      <c r="A38" s="261"/>
      <c r="B38" s="261"/>
      <c r="C38" s="554"/>
      <c r="D38" s="12"/>
    </row>
    <row r="39" spans="1:7" s="682" customFormat="1" ht="14.25">
      <c r="A39" s="261"/>
      <c r="B39" s="679" t="s">
        <v>316</v>
      </c>
      <c r="C39" s="699"/>
      <c r="D39" s="1867" t="s">
        <v>1247</v>
      </c>
      <c r="E39" s="1867"/>
      <c r="F39" s="1867"/>
      <c r="G39" s="7"/>
    </row>
    <row r="40" spans="1:7" s="682" customFormat="1" ht="14.25">
      <c r="A40" s="261"/>
      <c r="B40" s="261"/>
      <c r="C40" s="699"/>
      <c r="D40" s="1867"/>
      <c r="E40" s="1867"/>
      <c r="F40" s="1867"/>
      <c r="G40" s="7"/>
    </row>
    <row r="41" spans="1:7" s="682" customFormat="1" ht="14.25">
      <c r="A41" s="261"/>
      <c r="B41" s="261"/>
      <c r="C41" s="699"/>
      <c r="D41" s="1867"/>
      <c r="E41" s="1867"/>
      <c r="F41" s="1867"/>
      <c r="G41" s="7"/>
    </row>
    <row r="42" spans="1:7" s="682" customFormat="1" ht="14.25">
      <c r="A42" s="261"/>
      <c r="B42" s="261"/>
      <c r="C42" s="699"/>
      <c r="D42" s="1867"/>
      <c r="E42" s="1867"/>
      <c r="F42" s="1867"/>
      <c r="G42" s="7"/>
    </row>
    <row r="43" spans="1:7" s="682" customFormat="1" ht="14.25">
      <c r="A43" s="261"/>
      <c r="B43" s="261"/>
      <c r="C43" s="699"/>
      <c r="D43" s="1867"/>
      <c r="E43" s="1867"/>
      <c r="F43" s="1867"/>
      <c r="G43" s="7"/>
    </row>
    <row r="44" spans="1:7" s="682" customFormat="1" ht="14.25">
      <c r="A44" s="261"/>
      <c r="B44" s="261"/>
      <c r="C44" s="699"/>
      <c r="D44" s="698"/>
      <c r="E44" s="698"/>
      <c r="F44" s="698"/>
      <c r="G44" s="7"/>
    </row>
    <row r="45" spans="1:7" ht="14.25">
      <c r="A45" s="261"/>
      <c r="B45" s="679" t="s">
        <v>316</v>
      </c>
      <c r="C45" s="554"/>
      <c r="D45" s="1867" t="s">
        <v>1248</v>
      </c>
      <c r="E45" s="1867"/>
      <c r="F45" s="1867"/>
    </row>
    <row r="46" spans="1:7" ht="14.25">
      <c r="A46" s="261"/>
      <c r="B46" s="261"/>
      <c r="C46" s="554"/>
      <c r="D46" s="1867"/>
      <c r="E46" s="1867"/>
      <c r="F46" s="1867"/>
    </row>
    <row r="47" spans="1:7" ht="14.25">
      <c r="A47" s="261"/>
      <c r="B47" s="261"/>
      <c r="C47" s="554"/>
      <c r="D47" s="1867"/>
      <c r="E47" s="1867"/>
      <c r="F47" s="1867"/>
    </row>
    <row r="48" spans="1:7" ht="23.25" customHeight="1">
      <c r="A48" s="261"/>
      <c r="B48" s="261"/>
      <c r="C48" s="554"/>
      <c r="D48" s="1867"/>
      <c r="E48" s="1867"/>
      <c r="F48" s="1867"/>
    </row>
    <row r="49" spans="1:7" ht="14.25">
      <c r="A49" s="261"/>
      <c r="B49" s="261"/>
      <c r="D49" s="151"/>
    </row>
    <row r="50" spans="1:7" ht="14.45" customHeight="1">
      <c r="A50" s="261"/>
      <c r="B50" s="679" t="s">
        <v>316</v>
      </c>
      <c r="D50" s="1867" t="s">
        <v>1249</v>
      </c>
      <c r="E50" s="1867"/>
      <c r="F50" s="1867"/>
    </row>
    <row r="51" spans="1:7" ht="14.25">
      <c r="A51" s="261"/>
      <c r="B51" s="261"/>
      <c r="D51" s="1867"/>
      <c r="E51" s="1867"/>
      <c r="F51" s="1867"/>
    </row>
    <row r="52" spans="1:7" ht="14.25">
      <c r="A52" s="261"/>
      <c r="B52" s="261"/>
      <c r="D52" s="1867"/>
      <c r="E52" s="1867"/>
      <c r="F52" s="1867"/>
    </row>
    <row r="53" spans="1:7" s="2" customFormat="1" ht="14.25">
      <c r="A53" s="261"/>
      <c r="B53" s="261"/>
      <c r="C53" s="556"/>
      <c r="D53" s="239"/>
      <c r="E53" s="22"/>
      <c r="F53" s="22"/>
      <c r="G53" s="22"/>
    </row>
    <row r="54" spans="1:7" s="2" customFormat="1" ht="14.25">
      <c r="A54" s="403"/>
      <c r="B54" s="679" t="s">
        <v>316</v>
      </c>
      <c r="C54" s="557"/>
      <c r="D54" s="1867" t="s">
        <v>1250</v>
      </c>
      <c r="E54" s="1867"/>
      <c r="F54" s="1867"/>
      <c r="G54" s="22"/>
    </row>
    <row r="55" spans="1:7" s="2" customFormat="1" ht="14.25">
      <c r="A55" s="403"/>
      <c r="B55" s="403"/>
      <c r="C55" s="557"/>
      <c r="D55" s="1867"/>
      <c r="E55" s="1867"/>
      <c r="F55" s="1867"/>
      <c r="G55" s="22"/>
    </row>
    <row r="56" spans="1:7" s="39" customFormat="1">
      <c r="A56" s="273"/>
      <c r="B56" s="273"/>
      <c r="C56" s="273"/>
      <c r="D56" s="443"/>
      <c r="E56" s="130"/>
      <c r="F56" s="130"/>
      <c r="G56" s="130"/>
    </row>
    <row r="57" spans="1:7" ht="14.25">
      <c r="A57" s="261"/>
      <c r="B57" s="679" t="s">
        <v>316</v>
      </c>
      <c r="D57" s="1867" t="s">
        <v>1251</v>
      </c>
      <c r="E57" s="1867"/>
      <c r="F57" s="1867"/>
    </row>
    <row r="58" spans="1:7">
      <c r="D58" s="1867"/>
      <c r="E58" s="1867"/>
      <c r="F58" s="1867"/>
    </row>
    <row r="59" spans="1:7">
      <c r="D59" s="1867"/>
      <c r="E59" s="1867"/>
      <c r="F59" s="1867"/>
    </row>
    <row r="60" spans="1:7" s="682" customFormat="1">
      <c r="A60" s="699"/>
      <c r="B60" s="699"/>
      <c r="C60" s="699"/>
      <c r="D60" s="678"/>
      <c r="E60" s="7"/>
      <c r="F60" s="7"/>
      <c r="G60" s="7"/>
    </row>
    <row r="61" spans="1:7" ht="14.25">
      <c r="A61" s="261"/>
      <c r="B61" s="679" t="s">
        <v>316</v>
      </c>
      <c r="D61" s="1867" t="s">
        <v>1252</v>
      </c>
      <c r="E61" s="1867"/>
      <c r="F61" s="1867"/>
    </row>
    <row r="62" spans="1:7">
      <c r="D62" s="1867"/>
      <c r="E62" s="1867"/>
      <c r="F62" s="1867"/>
    </row>
    <row r="63" spans="1:7"/>
    <row r="64" spans="1:7" ht="14.25">
      <c r="A64" s="261"/>
      <c r="B64" s="679" t="s">
        <v>316</v>
      </c>
      <c r="D64" s="1867" t="s">
        <v>1253</v>
      </c>
      <c r="E64" s="1867"/>
      <c r="F64" s="1867"/>
    </row>
    <row r="65" spans="1:7">
      <c r="D65" s="1867"/>
      <c r="E65" s="1867"/>
      <c r="F65" s="1867"/>
    </row>
    <row r="66" spans="1:7">
      <c r="A66" s="555"/>
      <c r="C66" s="555"/>
      <c r="D66" s="1867"/>
      <c r="E66" s="1867"/>
      <c r="F66" s="1867"/>
    </row>
    <row r="67" spans="1:7">
      <c r="D67" s="12"/>
    </row>
    <row r="68" spans="1:7" ht="14.25">
      <c r="A68" s="261"/>
      <c r="B68" s="679" t="s">
        <v>316</v>
      </c>
      <c r="D68" s="1866" t="s">
        <v>1254</v>
      </c>
      <c r="E68" s="1866"/>
      <c r="F68" s="1866"/>
    </row>
    <row r="69" spans="1:7">
      <c r="D69" s="1866"/>
      <c r="E69" s="1866"/>
      <c r="F69" s="1866"/>
    </row>
    <row r="70" spans="1:7" ht="14.25">
      <c r="A70" s="261"/>
      <c r="B70" s="261"/>
      <c r="D70" s="135"/>
    </row>
    <row r="71" spans="1:7">
      <c r="A71" s="1886" t="s">
        <v>1161</v>
      </c>
      <c r="B71" s="1886"/>
      <c r="C71" s="1886"/>
      <c r="D71" s="1886"/>
      <c r="E71" s="1886"/>
      <c r="F71" s="1886"/>
      <c r="G71" s="1886"/>
    </row>
    <row r="72" spans="1:7"/>
    <row r="73" spans="1:7">
      <c r="C73" s="262"/>
      <c r="D73" s="1915" t="s">
        <v>1259</v>
      </c>
      <c r="E73" s="1915"/>
      <c r="F73" s="1915"/>
    </row>
    <row r="74" spans="1:7">
      <c r="A74" s="135"/>
      <c r="B74" s="135"/>
      <c r="D74" s="1866" t="s">
        <v>1286</v>
      </c>
      <c r="E74" s="1866"/>
      <c r="F74" s="1866"/>
    </row>
    <row r="75" spans="1:7">
      <c r="A75" s="135"/>
      <c r="B75" s="135"/>
    </row>
    <row r="76" spans="1:7" ht="14.25">
      <c r="A76" s="261"/>
      <c r="B76" s="679" t="s">
        <v>316</v>
      </c>
      <c r="D76" s="1866" t="s">
        <v>1260</v>
      </c>
      <c r="E76" s="1866"/>
      <c r="F76" s="1866"/>
    </row>
    <row r="77" spans="1:7" ht="14.25">
      <c r="A77" s="261"/>
      <c r="B77" s="261"/>
      <c r="D77" s="1866"/>
      <c r="E77" s="1866"/>
      <c r="F77" s="1866"/>
    </row>
    <row r="78" spans="1:7" ht="14.25">
      <c r="A78" s="261"/>
      <c r="B78" s="261"/>
      <c r="D78" s="1866"/>
      <c r="E78" s="1866"/>
      <c r="F78" s="1866"/>
    </row>
    <row r="79" spans="1:7" ht="14.25">
      <c r="A79" s="261"/>
      <c r="B79" s="261"/>
      <c r="D79" s="1866"/>
      <c r="E79" s="1866"/>
      <c r="F79" s="1866"/>
    </row>
    <row r="80" spans="1:7" ht="14.25">
      <c r="A80" s="261"/>
      <c r="B80" s="261"/>
      <c r="D80" s="1866"/>
      <c r="E80" s="1866"/>
      <c r="F80" s="1866"/>
    </row>
    <row r="81" spans="1:7" ht="14.25">
      <c r="A81" s="261"/>
      <c r="B81" s="261"/>
      <c r="D81" s="1866"/>
      <c r="E81" s="1866"/>
      <c r="F81" s="1866"/>
    </row>
    <row r="82" spans="1:7" s="706" customFormat="1" ht="14.25">
      <c r="A82" s="707"/>
      <c r="B82" s="707"/>
      <c r="C82" s="705"/>
      <c r="D82" s="709"/>
      <c r="E82" s="709"/>
      <c r="F82" s="709"/>
      <c r="G82" s="7"/>
    </row>
    <row r="83" spans="1:7" s="706" customFormat="1" ht="14.45" customHeight="1">
      <c r="A83" s="707"/>
      <c r="B83" s="712" t="s">
        <v>316</v>
      </c>
      <c r="C83" s="705"/>
      <c r="D83" s="1895" t="s">
        <v>1359</v>
      </c>
      <c r="E83" s="1895"/>
      <c r="F83" s="1895"/>
      <c r="G83" s="7"/>
    </row>
    <row r="84" spans="1:7" s="706" customFormat="1" ht="14.25">
      <c r="A84" s="707"/>
      <c r="B84" s="707"/>
      <c r="C84" s="705"/>
      <c r="D84" s="1895"/>
      <c r="E84" s="1895"/>
      <c r="F84" s="1895"/>
      <c r="G84" s="7"/>
    </row>
    <row r="85" spans="1:7" s="706" customFormat="1" ht="14.25">
      <c r="A85" s="707"/>
      <c r="B85" s="707"/>
      <c r="C85" s="705"/>
      <c r="D85" s="1895"/>
      <c r="E85" s="1895"/>
      <c r="F85" s="1895"/>
      <c r="G85" s="7"/>
    </row>
    <row r="86" spans="1:7" s="706" customFormat="1" ht="14.25">
      <c r="A86" s="707"/>
      <c r="B86" s="707"/>
      <c r="C86" s="705"/>
      <c r="D86" s="1895"/>
      <c r="E86" s="1895"/>
      <c r="F86" s="1895"/>
      <c r="G86" s="7"/>
    </row>
    <row r="87" spans="1:7" s="706" customFormat="1" ht="14.25">
      <c r="A87" s="707"/>
      <c r="B87" s="707"/>
      <c r="C87" s="705"/>
      <c r="D87" s="1895"/>
      <c r="E87" s="1895"/>
      <c r="F87" s="1895"/>
      <c r="G87" s="7"/>
    </row>
    <row r="88" spans="1:7" s="719" customFormat="1" ht="14.25">
      <c r="A88" s="714"/>
      <c r="B88" s="714"/>
      <c r="C88" s="745"/>
      <c r="D88" s="1895"/>
      <c r="E88" s="1895"/>
      <c r="F88" s="1895"/>
      <c r="G88" s="7"/>
    </row>
    <row r="89" spans="1:7" s="719" customFormat="1" ht="14.25">
      <c r="A89" s="714"/>
      <c r="B89" s="714"/>
      <c r="C89" s="745"/>
      <c r="D89" s="1895"/>
      <c r="E89" s="1895"/>
      <c r="F89" s="1895"/>
      <c r="G89" s="7"/>
    </row>
    <row r="90" spans="1:7" s="719" customFormat="1" ht="14.25">
      <c r="A90" s="714"/>
      <c r="B90" s="714"/>
      <c r="C90" s="745"/>
      <c r="D90" s="1895"/>
      <c r="E90" s="1895"/>
      <c r="F90" s="1895"/>
      <c r="G90" s="7"/>
    </row>
    <row r="91" spans="1:7" ht="14.25">
      <c r="A91" s="261"/>
      <c r="B91" s="261"/>
      <c r="D91" s="1895"/>
      <c r="E91" s="1895"/>
      <c r="F91" s="1895"/>
    </row>
    <row r="92" spans="1:7" ht="14.25">
      <c r="A92" s="261"/>
      <c r="B92" s="261"/>
      <c r="D92" s="1895"/>
      <c r="E92" s="1895"/>
      <c r="F92" s="1895"/>
    </row>
    <row r="93" spans="1:7" ht="14.25">
      <c r="A93" s="261"/>
      <c r="B93" s="261"/>
      <c r="D93" s="1895"/>
      <c r="E93" s="1895"/>
      <c r="F93" s="1895"/>
    </row>
    <row r="94" spans="1:7" ht="14.25">
      <c r="A94" s="261"/>
      <c r="B94" s="261"/>
      <c r="D94" s="1895"/>
      <c r="E94" s="1895"/>
      <c r="F94" s="1895"/>
    </row>
    <row r="95" spans="1:7" ht="14.25">
      <c r="A95" s="261"/>
      <c r="B95" s="261"/>
      <c r="D95" s="1895"/>
      <c r="E95" s="1895"/>
      <c r="F95" s="1895"/>
    </row>
    <row r="96" spans="1:7" ht="14.25">
      <c r="A96" s="261"/>
      <c r="B96" s="261"/>
      <c r="D96" s="1895"/>
      <c r="E96" s="1895"/>
      <c r="F96" s="1895"/>
    </row>
    <row r="97" spans="1:11" s="710" customFormat="1" ht="14.25">
      <c r="A97" s="711"/>
      <c r="B97" s="715" t="s">
        <v>316</v>
      </c>
      <c r="C97" s="705"/>
      <c r="D97" s="1866" t="s">
        <v>1261</v>
      </c>
      <c r="E97" s="1866"/>
      <c r="F97" s="1866"/>
      <c r="G97" s="7"/>
    </row>
    <row r="98" spans="1:11" s="710" customFormat="1" ht="14.25">
      <c r="A98" s="711"/>
      <c r="B98" s="711"/>
      <c r="C98" s="705"/>
      <c r="D98" s="1866"/>
      <c r="E98" s="1866"/>
      <c r="F98" s="1866"/>
      <c r="G98" s="7"/>
    </row>
    <row r="99" spans="1:11" s="710" customFormat="1" ht="14.25">
      <c r="A99" s="711"/>
      <c r="B99" s="711"/>
      <c r="C99" s="705"/>
      <c r="D99" s="1866"/>
      <c r="E99" s="1866"/>
      <c r="F99" s="1866"/>
      <c r="G99" s="7"/>
    </row>
    <row r="100" spans="1:11" s="710" customFormat="1" ht="14.25">
      <c r="A100" s="711"/>
      <c r="B100" s="711"/>
      <c r="C100" s="705"/>
      <c r="D100" s="1866"/>
      <c r="E100" s="1866"/>
      <c r="F100" s="1866"/>
      <c r="G100" s="7"/>
    </row>
    <row r="101" spans="1:11" s="710" customFormat="1" ht="14.25">
      <c r="A101" s="711"/>
      <c r="B101" s="711"/>
      <c r="C101" s="705"/>
      <c r="D101" s="1866"/>
      <c r="E101" s="1866"/>
      <c r="F101" s="1866"/>
      <c r="G101" s="7"/>
    </row>
    <row r="102" spans="1:11" s="710" customFormat="1" ht="14.25">
      <c r="A102" s="711"/>
      <c r="B102" s="711"/>
      <c r="C102" s="705"/>
      <c r="D102" s="1866"/>
      <c r="E102" s="1866"/>
      <c r="F102" s="1866"/>
      <c r="G102" s="7"/>
    </row>
    <row r="103" spans="1:11" s="710" customFormat="1" ht="14.25">
      <c r="A103" s="711"/>
      <c r="B103" s="711"/>
      <c r="C103" s="705"/>
      <c r="D103" s="1866"/>
      <c r="E103" s="1866"/>
      <c r="F103" s="1866"/>
      <c r="G103" s="7"/>
    </row>
    <row r="104" spans="1:11" s="710" customFormat="1" ht="14.25">
      <c r="A104" s="711"/>
      <c r="B104" s="711"/>
      <c r="C104" s="705"/>
      <c r="D104" s="1866"/>
      <c r="E104" s="1866"/>
      <c r="F104" s="1866"/>
      <c r="G104" s="7"/>
    </row>
    <row r="105" spans="1:11" s="713" customFormat="1" ht="14.25">
      <c r="A105" s="714"/>
      <c r="B105" s="714"/>
      <c r="C105" s="705"/>
      <c r="D105" s="716"/>
      <c r="E105" s="716"/>
      <c r="F105" s="716"/>
      <c r="G105" s="7"/>
    </row>
    <row r="106" spans="1:11" ht="14.25">
      <c r="A106" s="403"/>
      <c r="B106" s="708" t="s">
        <v>316</v>
      </c>
      <c r="C106" s="469"/>
      <c r="D106" s="1923" t="s">
        <v>1262</v>
      </c>
      <c r="E106" s="1923"/>
      <c r="F106" s="1923"/>
      <c r="G106" s="470"/>
      <c r="H106" s="468"/>
      <c r="I106" s="468"/>
      <c r="J106" s="468"/>
      <c r="K106" s="468"/>
    </row>
    <row r="107" spans="1:11" ht="14.25">
      <c r="A107" s="261"/>
      <c r="B107" s="261"/>
      <c r="C107" s="315"/>
      <c r="D107" s="1923"/>
      <c r="E107" s="1923"/>
      <c r="F107" s="1923"/>
      <c r="G107" s="470"/>
      <c r="H107" s="468"/>
      <c r="I107" s="468"/>
      <c r="J107" s="468"/>
      <c r="K107" s="468"/>
    </row>
    <row r="108" spans="1:11" ht="14.25">
      <c r="A108" s="261"/>
      <c r="B108" s="261"/>
      <c r="C108" s="315"/>
      <c r="D108" s="1923"/>
      <c r="E108" s="1923"/>
      <c r="F108" s="1923"/>
      <c r="G108" s="470"/>
      <c r="H108" s="468"/>
      <c r="I108" s="468"/>
      <c r="J108" s="468"/>
      <c r="K108" s="468"/>
    </row>
    <row r="109" spans="1:11" ht="14.25">
      <c r="A109" s="261"/>
      <c r="B109" s="261"/>
      <c r="C109" s="315"/>
      <c r="D109" s="1923"/>
      <c r="E109" s="1923"/>
      <c r="F109" s="1923"/>
      <c r="G109" s="470"/>
      <c r="H109" s="468"/>
      <c r="I109" s="468"/>
      <c r="J109" s="468"/>
      <c r="K109" s="468"/>
    </row>
    <row r="110" spans="1:11" ht="14.25">
      <c r="A110" s="261"/>
      <c r="B110" s="261"/>
      <c r="C110" s="315"/>
      <c r="D110" s="1923"/>
      <c r="E110" s="1923"/>
      <c r="F110" s="1923"/>
      <c r="G110" s="470"/>
      <c r="H110" s="468"/>
      <c r="I110" s="468"/>
      <c r="J110" s="468"/>
      <c r="K110" s="468"/>
    </row>
    <row r="111" spans="1:11">
      <c r="C111"/>
      <c r="D111" s="1923"/>
      <c r="E111" s="1923"/>
      <c r="F111" s="1923"/>
      <c r="G111"/>
      <c r="H111"/>
      <c r="I111"/>
      <c r="J111"/>
      <c r="K111"/>
    </row>
    <row r="112" spans="1:11">
      <c r="C112"/>
      <c r="D112" s="1923"/>
      <c r="E112" s="1923"/>
      <c r="F112" s="1923"/>
      <c r="G112"/>
      <c r="H112"/>
      <c r="I112"/>
      <c r="J112"/>
      <c r="K112"/>
    </row>
    <row r="113" spans="1:11">
      <c r="C113"/>
      <c r="D113" s="477"/>
      <c r="E113"/>
      <c r="F113"/>
      <c r="G113"/>
      <c r="H113"/>
      <c r="I113"/>
      <c r="J113"/>
      <c r="K113"/>
    </row>
    <row r="114" spans="1:11" ht="14.25">
      <c r="A114" s="261"/>
      <c r="B114" s="679" t="s">
        <v>316</v>
      </c>
      <c r="C114"/>
      <c r="D114" s="1924" t="s">
        <v>1263</v>
      </c>
      <c r="E114" s="1924"/>
      <c r="F114" s="1924"/>
      <c r="G114"/>
      <c r="H114"/>
      <c r="I114"/>
      <c r="J114"/>
      <c r="K114"/>
    </row>
    <row r="115" spans="1:11" ht="14.25">
      <c r="A115" s="261"/>
      <c r="B115" s="261"/>
      <c r="C115"/>
      <c r="D115" s="1924"/>
      <c r="E115" s="1924"/>
      <c r="F115" s="1924"/>
      <c r="G115"/>
      <c r="H115"/>
      <c r="I115"/>
      <c r="J115"/>
      <c r="K115"/>
    </row>
    <row r="116" spans="1:11"/>
    <row r="117" spans="1:11" ht="14.25">
      <c r="A117" s="261"/>
      <c r="B117" s="679" t="s">
        <v>316</v>
      </c>
      <c r="C117" s="10"/>
      <c r="D117" s="1866" t="s">
        <v>1264</v>
      </c>
      <c r="E117" s="1866"/>
      <c r="F117" s="1866"/>
    </row>
    <row r="118" spans="1:11">
      <c r="C118" s="10"/>
      <c r="D118" s="1866"/>
      <c r="E118" s="1866"/>
      <c r="F118" s="1866"/>
    </row>
    <row r="119" spans="1:11">
      <c r="C119" s="10"/>
      <c r="D119" s="1866"/>
      <c r="E119" s="1866"/>
      <c r="F119" s="1866"/>
    </row>
    <row r="120" spans="1:11">
      <c r="C120" s="10"/>
      <c r="D120" s="1866"/>
      <c r="E120" s="1866"/>
      <c r="F120" s="1866"/>
    </row>
    <row r="121" spans="1:11">
      <c r="C121" s="10"/>
      <c r="D121" s="1866"/>
      <c r="E121" s="1866"/>
      <c r="F121" s="1866"/>
    </row>
    <row r="122" spans="1:11">
      <c r="C122" s="10"/>
      <c r="D122" s="149"/>
      <c r="E122" s="149"/>
      <c r="F122" s="149"/>
    </row>
    <row r="123" spans="1:11" customFormat="1" ht="14.25">
      <c r="A123" s="261"/>
      <c r="B123" s="679" t="s">
        <v>316</v>
      </c>
      <c r="C123" s="10"/>
      <c r="D123" s="1867" t="s">
        <v>1265</v>
      </c>
      <c r="E123" s="1867"/>
      <c r="F123" s="1867"/>
      <c r="G123" s="149"/>
    </row>
    <row r="124" spans="1:11" s="296" customFormat="1" ht="13.7" customHeight="1">
      <c r="A124" s="293"/>
      <c r="B124" s="293"/>
      <c r="C124" s="294"/>
      <c r="D124" s="1867"/>
      <c r="E124" s="1867"/>
      <c r="F124" s="1867"/>
      <c r="G124" s="295"/>
    </row>
    <row r="125" spans="1:11" customFormat="1" ht="13.7" customHeight="1">
      <c r="A125" s="132"/>
      <c r="B125" s="676"/>
      <c r="C125" s="10"/>
      <c r="D125" s="1867"/>
      <c r="E125" s="1867"/>
      <c r="F125" s="1867"/>
      <c r="G125" s="149"/>
    </row>
    <row r="126" spans="1:11" customFormat="1" ht="13.7" customHeight="1">
      <c r="A126" s="132"/>
      <c r="B126" s="676"/>
      <c r="C126" s="10"/>
      <c r="D126" s="1867"/>
      <c r="E126" s="1867"/>
      <c r="F126" s="1867"/>
      <c r="G126" s="149"/>
    </row>
    <row r="127" spans="1:11" customFormat="1" ht="13.7" customHeight="1">
      <c r="A127" s="132"/>
      <c r="B127" s="676"/>
      <c r="C127" s="10"/>
      <c r="D127" s="1867"/>
      <c r="E127" s="1867"/>
      <c r="F127" s="1867"/>
      <c r="G127" s="149"/>
    </row>
    <row r="128" spans="1:11" customFormat="1" ht="13.7" customHeight="1">
      <c r="A128" s="378"/>
      <c r="B128" s="378"/>
      <c r="C128" s="10"/>
      <c r="D128" s="1867"/>
      <c r="E128" s="1867"/>
      <c r="F128" s="1867"/>
      <c r="G128" s="149"/>
    </row>
    <row r="129" spans="1:7" s="2" customFormat="1" ht="13.7" customHeight="1">
      <c r="A129" s="273"/>
      <c r="B129" s="273"/>
      <c r="C129" s="442"/>
      <c r="D129" s="1867"/>
      <c r="E129" s="1867"/>
      <c r="F129" s="1867"/>
      <c r="G129" s="182"/>
    </row>
    <row r="130" spans="1:7" s="2" customFormat="1" ht="13.7" customHeight="1">
      <c r="A130" s="273"/>
      <c r="B130" s="273"/>
      <c r="C130" s="442"/>
      <c r="D130" s="1867"/>
      <c r="E130" s="1867"/>
      <c r="F130" s="1867"/>
      <c r="G130" s="182"/>
    </row>
    <row r="131" spans="1:7" customFormat="1" ht="13.7" customHeight="1">
      <c r="A131" s="132"/>
      <c r="B131" s="676"/>
      <c r="C131" s="10"/>
      <c r="D131" s="1867"/>
      <c r="E131" s="1867"/>
      <c r="F131" s="1867"/>
      <c r="G131" s="149"/>
    </row>
    <row r="132" spans="1:7" customFormat="1" ht="13.7" customHeight="1">
      <c r="A132" s="132"/>
      <c r="B132" s="676"/>
      <c r="C132" s="10"/>
      <c r="D132" s="1867"/>
      <c r="E132" s="1867"/>
      <c r="F132" s="1867"/>
      <c r="G132" s="149"/>
    </row>
    <row r="133" spans="1:7" customFormat="1" ht="13.7" customHeight="1">
      <c r="A133" s="132"/>
      <c r="B133" s="676"/>
      <c r="C133" s="10"/>
      <c r="D133" s="1867"/>
      <c r="E133" s="1867"/>
      <c r="F133" s="1867"/>
      <c r="G133" s="149"/>
    </row>
    <row r="134" spans="1:7" customFormat="1" ht="13.7" customHeight="1">
      <c r="A134" s="132"/>
      <c r="B134" s="676"/>
      <c r="C134" s="10"/>
      <c r="D134" s="1867"/>
      <c r="E134" s="1867"/>
      <c r="F134" s="1867"/>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6" t="s">
        <v>1373</v>
      </c>
      <c r="E136" s="1866"/>
      <c r="F136" s="1866"/>
      <c r="G136" s="149"/>
    </row>
    <row r="137" spans="1:7" s="717" customFormat="1" ht="13.7" customHeight="1">
      <c r="A137" s="705"/>
      <c r="B137" s="705"/>
      <c r="C137" s="10"/>
      <c r="D137" s="1866"/>
      <c r="E137" s="1866"/>
      <c r="F137" s="1866"/>
      <c r="G137" s="149"/>
    </row>
    <row r="138" spans="1:7" s="717" customFormat="1" ht="13.7" customHeight="1">
      <c r="A138" s="705"/>
      <c r="B138" s="705"/>
      <c r="C138" s="10"/>
      <c r="D138" s="1866"/>
      <c r="E138" s="1866"/>
      <c r="F138" s="1866"/>
      <c r="G138" s="149"/>
    </row>
    <row r="139" spans="1:7" s="717" customFormat="1" ht="13.7" customHeight="1">
      <c r="A139" s="705"/>
      <c r="B139" s="705"/>
      <c r="C139" s="10"/>
      <c r="D139" s="1866"/>
      <c r="E139" s="1866"/>
      <c r="F139" s="1866"/>
      <c r="G139" s="149"/>
    </row>
    <row r="140" spans="1:7" s="717" customFormat="1" ht="13.7" customHeight="1">
      <c r="A140" s="705"/>
      <c r="B140" s="705"/>
      <c r="C140" s="10"/>
      <c r="D140" s="1866"/>
      <c r="E140" s="1866"/>
      <c r="F140" s="1866"/>
      <c r="G140" s="149"/>
    </row>
    <row r="141" spans="1:7" s="717" customFormat="1" ht="13.7" customHeight="1">
      <c r="A141" s="705"/>
      <c r="B141" s="705"/>
      <c r="C141" s="10"/>
      <c r="D141" s="1866"/>
      <c r="E141" s="1866"/>
      <c r="F141" s="1866"/>
      <c r="G141" s="149"/>
    </row>
    <row r="142" spans="1:7" s="717" customFormat="1" ht="13.7" customHeight="1">
      <c r="A142" s="705"/>
      <c r="B142" s="705"/>
      <c r="C142" s="10"/>
      <c r="D142" s="1866"/>
      <c r="E142" s="1866"/>
      <c r="F142" s="1866"/>
      <c r="G142" s="149"/>
    </row>
    <row r="143" spans="1:7" s="717" customFormat="1" ht="13.7" customHeight="1">
      <c r="A143" s="705"/>
      <c r="B143" s="705"/>
      <c r="C143" s="10"/>
      <c r="D143" s="1866"/>
      <c r="E143" s="1866"/>
      <c r="F143" s="1866"/>
      <c r="G143" s="149"/>
    </row>
    <row r="144" spans="1:7" s="717" customFormat="1" ht="13.7" customHeight="1">
      <c r="A144" s="705"/>
      <c r="B144" s="705"/>
      <c r="C144" s="10"/>
      <c r="D144" s="1866"/>
      <c r="E144" s="1866"/>
      <c r="F144" s="1866"/>
      <c r="G144" s="149"/>
    </row>
    <row r="145" spans="1:7" s="717" customFormat="1" ht="13.7" customHeight="1">
      <c r="A145" s="705"/>
      <c r="B145" s="705"/>
      <c r="C145" s="10"/>
      <c r="D145" s="1866"/>
      <c r="E145" s="1866"/>
      <c r="F145" s="1866"/>
      <c r="G145" s="149"/>
    </row>
    <row r="146" spans="1:7" s="717" customFormat="1" ht="13.7" customHeight="1">
      <c r="A146" s="747"/>
      <c r="B146" s="747"/>
      <c r="C146" s="10"/>
      <c r="D146" s="1866"/>
      <c r="E146" s="1866"/>
      <c r="F146" s="1866"/>
      <c r="G146" s="149"/>
    </row>
    <row r="147" spans="1:7" s="717" customFormat="1" ht="13.7" customHeight="1">
      <c r="A147" s="747"/>
      <c r="B147" s="747"/>
      <c r="C147" s="10"/>
      <c r="D147" s="1866"/>
      <c r="E147" s="1866"/>
      <c r="F147" s="1866"/>
      <c r="G147" s="149"/>
    </row>
    <row r="148" spans="1:7" s="717" customFormat="1" ht="13.7" customHeight="1">
      <c r="A148" s="705"/>
      <c r="B148" s="705"/>
      <c r="C148" s="10"/>
      <c r="D148" s="1866"/>
      <c r="E148" s="1866"/>
      <c r="F148" s="1866"/>
      <c r="G148" s="149"/>
    </row>
    <row r="149" spans="1:7" s="717" customFormat="1" ht="13.7" customHeight="1">
      <c r="A149" s="705"/>
      <c r="B149" s="705"/>
      <c r="C149" s="10"/>
      <c r="D149" s="1866"/>
      <c r="E149" s="1866"/>
      <c r="F149" s="1866"/>
      <c r="G149" s="149"/>
    </row>
    <row r="150" spans="1:7" s="717" customFormat="1" ht="13.7" customHeight="1">
      <c r="A150" s="705"/>
      <c r="B150" s="705"/>
      <c r="C150" s="10"/>
      <c r="D150" s="1866"/>
      <c r="E150" s="1866"/>
      <c r="F150" s="1866"/>
      <c r="G150" s="149"/>
    </row>
    <row r="151" spans="1:7" s="717" customFormat="1" ht="13.7" customHeight="1">
      <c r="A151" s="705"/>
      <c r="B151" s="705"/>
      <c r="C151" s="10"/>
      <c r="D151" s="1866"/>
      <c r="E151" s="1866"/>
      <c r="F151" s="1866"/>
      <c r="G151" s="149"/>
    </row>
    <row r="152" spans="1:7" s="717" customFormat="1" ht="13.7" customHeight="1">
      <c r="A152" s="705"/>
      <c r="B152" s="705"/>
      <c r="C152" s="10"/>
      <c r="D152" s="1866"/>
      <c r="E152" s="1866"/>
      <c r="F152" s="1866"/>
      <c r="G152" s="149"/>
    </row>
    <row r="153" spans="1:7" s="717" customFormat="1" ht="13.7" customHeight="1">
      <c r="A153" s="705"/>
      <c r="B153" s="705"/>
      <c r="C153" s="10"/>
      <c r="D153" s="1866"/>
      <c r="E153" s="1866"/>
      <c r="F153" s="1866"/>
      <c r="G153" s="149"/>
    </row>
    <row r="154" spans="1:7" s="717" customFormat="1" ht="13.7" customHeight="1">
      <c r="A154" s="705"/>
      <c r="B154" s="705"/>
      <c r="C154" s="10"/>
      <c r="D154" s="1866"/>
      <c r="E154" s="1866"/>
      <c r="F154" s="1866"/>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8" t="s">
        <v>1266</v>
      </c>
      <c r="E156" s="1878"/>
      <c r="F156" s="1878"/>
      <c r="G156" s="444"/>
    </row>
    <row r="157" spans="1:7" customFormat="1" ht="13.7" customHeight="1">
      <c r="A157" s="378"/>
      <c r="B157" s="378"/>
      <c r="C157" s="325"/>
      <c r="D157" s="1878"/>
      <c r="E157" s="1878"/>
      <c r="F157" s="1878"/>
      <c r="G157" s="444"/>
    </row>
    <row r="158" spans="1:7" customFormat="1" ht="13.7" customHeight="1">
      <c r="A158" s="378"/>
      <c r="B158" s="378"/>
      <c r="C158" s="325"/>
      <c r="D158" s="327"/>
      <c r="E158" s="325"/>
      <c r="F158" s="325"/>
      <c r="G158" s="444"/>
    </row>
    <row r="159" spans="1:7" customFormat="1" ht="13.7" customHeight="1">
      <c r="A159" s="378"/>
      <c r="B159" s="679" t="s">
        <v>316</v>
      </c>
      <c r="C159" s="325"/>
      <c r="D159" s="1874" t="s">
        <v>1267</v>
      </c>
      <c r="E159" s="1874"/>
      <c r="F159" s="1874"/>
      <c r="G159" s="444"/>
    </row>
    <row r="160" spans="1:7" customFormat="1" ht="13.7" customHeight="1">
      <c r="A160" s="378"/>
      <c r="B160" s="378"/>
      <c r="C160" s="325"/>
      <c r="D160" s="1874"/>
      <c r="E160" s="1874"/>
      <c r="F160" s="1874"/>
      <c r="G160" s="444"/>
    </row>
    <row r="161" spans="1:7" customFormat="1" ht="13.7" customHeight="1">
      <c r="A161" s="378"/>
      <c r="B161" s="378"/>
      <c r="C161" s="325"/>
      <c r="D161" s="1874"/>
      <c r="E161" s="1874"/>
      <c r="F161" s="1874"/>
      <c r="G161" s="444"/>
    </row>
    <row r="162" spans="1:7" customFormat="1" ht="13.7" customHeight="1">
      <c r="A162" s="378"/>
      <c r="B162" s="378"/>
      <c r="C162" s="325"/>
      <c r="D162" s="1874"/>
      <c r="E162" s="1874"/>
      <c r="F162" s="1874"/>
      <c r="G162" s="444"/>
    </row>
    <row r="163" spans="1:7" customFormat="1" ht="13.7" customHeight="1">
      <c r="A163" s="132"/>
      <c r="B163" s="676"/>
      <c r="C163" s="10"/>
      <c r="D163" s="151"/>
      <c r="E163" s="151"/>
      <c r="F163" s="151"/>
      <c r="G163" s="149"/>
    </row>
    <row r="164" spans="1:7" customFormat="1" ht="13.7" customHeight="1">
      <c r="A164" s="132"/>
      <c r="B164" s="679" t="s">
        <v>316</v>
      </c>
      <c r="C164" s="10"/>
      <c r="D164" s="1909" t="s">
        <v>1268</v>
      </c>
      <c r="E164" s="1909"/>
      <c r="F164" s="1909"/>
      <c r="G164" s="149"/>
    </row>
    <row r="165" spans="1:7" customFormat="1" ht="13.7" customHeight="1">
      <c r="A165" s="132"/>
      <c r="B165" s="676"/>
      <c r="C165" s="10"/>
      <c r="D165" s="1909"/>
      <c r="E165" s="1909"/>
      <c r="F165" s="1909"/>
      <c r="G165" s="149"/>
    </row>
    <row r="166" spans="1:7" customFormat="1" ht="13.7" customHeight="1">
      <c r="A166" s="132"/>
      <c r="B166" s="676"/>
      <c r="C166" s="10"/>
      <c r="D166" s="1909"/>
      <c r="E166" s="1909"/>
      <c r="F166" s="1909"/>
      <c r="G166" s="149"/>
    </row>
    <row r="167" spans="1:7" customFormat="1" ht="13.7" customHeight="1">
      <c r="A167" s="23"/>
      <c r="B167" s="675"/>
      <c r="C167" s="10"/>
      <c r="D167" s="7"/>
      <c r="E167" s="151"/>
      <c r="F167" s="151"/>
      <c r="G167" s="149"/>
    </row>
    <row r="168" spans="1:7">
      <c r="A168" s="1886" t="s">
        <v>1162</v>
      </c>
      <c r="B168" s="1886"/>
      <c r="C168" s="1886"/>
      <c r="D168" s="1886"/>
      <c r="E168" s="1886"/>
      <c r="F168" s="1886"/>
      <c r="G168" s="1886"/>
    </row>
    <row r="169" spans="1:7" ht="12" customHeight="1">
      <c r="D169" s="135"/>
      <c r="E169" s="135"/>
      <c r="F169" s="135"/>
    </row>
    <row r="170" spans="1:7">
      <c r="B170" s="1914" t="s">
        <v>470</v>
      </c>
      <c r="C170" s="1914"/>
      <c r="D170" s="1914"/>
      <c r="E170" s="1914"/>
      <c r="F170" s="1914"/>
    </row>
    <row r="171" spans="1:7" ht="12" customHeight="1">
      <c r="A171" s="255"/>
      <c r="B171" s="673"/>
      <c r="C171" s="255"/>
    </row>
    <row r="172" spans="1:7">
      <c r="A172" s="1886" t="s">
        <v>1163</v>
      </c>
      <c r="B172" s="1886"/>
      <c r="C172" s="1886"/>
      <c r="D172" s="1886"/>
      <c r="E172" s="1886"/>
      <c r="F172" s="1886"/>
      <c r="G172" s="1886"/>
    </row>
    <row r="173" spans="1:7" ht="12" customHeight="1">
      <c r="A173" s="264"/>
      <c r="B173" s="264"/>
      <c r="C173" s="265"/>
      <c r="D173" s="57"/>
      <c r="E173" s="49"/>
      <c r="F173" s="57"/>
      <c r="G173" s="57"/>
    </row>
    <row r="174" spans="1:7" ht="13.15" customHeight="1">
      <c r="A174" s="264"/>
      <c r="B174" s="264"/>
      <c r="C174" s="265"/>
      <c r="D174" s="1910" t="s">
        <v>1271</v>
      </c>
      <c r="E174" s="1910"/>
      <c r="F174" s="1910"/>
      <c r="G174" s="57"/>
    </row>
    <row r="175" spans="1:7">
      <c r="A175" s="264"/>
      <c r="B175" s="264"/>
      <c r="C175" s="265"/>
      <c r="D175" s="1910"/>
      <c r="E175" s="1910"/>
      <c r="F175" s="1910"/>
      <c r="G175" s="57"/>
    </row>
    <row r="176" spans="1:7" s="719" customFormat="1">
      <c r="A176" s="721"/>
      <c r="B176" s="721"/>
      <c r="C176" s="265"/>
      <c r="D176" s="1911" t="s">
        <v>1272</v>
      </c>
      <c r="E176" s="1911"/>
      <c r="F176" s="1911"/>
      <c r="G176" s="57"/>
    </row>
    <row r="177" spans="1:7" ht="12" customHeight="1">
      <c r="A177" s="264"/>
      <c r="B177" s="264"/>
      <c r="C177" s="265"/>
      <c r="D177" s="57"/>
      <c r="E177" s="49"/>
      <c r="F177" s="57"/>
      <c r="G177" s="57"/>
    </row>
    <row r="178" spans="1:7" ht="14.25">
      <c r="A178" s="261"/>
      <c r="B178" s="679" t="s">
        <v>316</v>
      </c>
      <c r="C178" s="265"/>
      <c r="D178" s="1904" t="s">
        <v>1270</v>
      </c>
      <c r="E178" s="1904"/>
      <c r="F178" s="1904"/>
      <c r="G178" s="57"/>
    </row>
    <row r="179" spans="1:7" ht="14.25">
      <c r="A179" s="261"/>
      <c r="B179" s="261"/>
      <c r="C179" s="265"/>
      <c r="D179" s="1904"/>
      <c r="E179" s="1904"/>
      <c r="F179" s="1904"/>
      <c r="G179" s="57"/>
    </row>
    <row r="180" spans="1:7" ht="14.25">
      <c r="A180" s="261"/>
      <c r="B180" s="261"/>
      <c r="C180" s="265"/>
      <c r="D180" s="1904"/>
      <c r="E180" s="1904"/>
      <c r="F180" s="1904"/>
      <c r="G180" s="57"/>
    </row>
    <row r="181" spans="1:7">
      <c r="A181" s="265"/>
      <c r="B181" s="265"/>
      <c r="C181" s="265"/>
      <c r="D181" s="1904"/>
      <c r="E181" s="1904"/>
      <c r="F181" s="1904"/>
    </row>
    <row r="182" spans="1:7">
      <c r="A182" s="265"/>
      <c r="B182" s="265"/>
      <c r="C182" s="265"/>
      <c r="D182" s="404"/>
      <c r="E182" s="57"/>
      <c r="F182" s="57"/>
    </row>
    <row r="183" spans="1:7">
      <c r="A183" s="265"/>
      <c r="B183" s="265"/>
      <c r="C183" s="265"/>
      <c r="D183" s="1913" t="s">
        <v>1179</v>
      </c>
      <c r="E183" s="1913"/>
      <c r="F183" s="1913"/>
    </row>
    <row r="184" spans="1:7">
      <c r="A184" s="265"/>
      <c r="B184" s="265"/>
      <c r="C184" s="265"/>
      <c r="D184" s="1913"/>
      <c r="E184" s="1913"/>
      <c r="F184" s="1913"/>
    </row>
    <row r="185" spans="1:7" s="682" customFormat="1">
      <c r="A185" s="265"/>
      <c r="B185" s="265"/>
      <c r="C185" s="265"/>
      <c r="D185" s="696"/>
      <c r="E185" s="696"/>
      <c r="F185" s="696"/>
      <c r="G185" s="7"/>
    </row>
    <row r="186" spans="1:7" s="677" customFormat="1" ht="14.25">
      <c r="A186" s="261"/>
      <c r="B186" s="679" t="s">
        <v>316</v>
      </c>
      <c r="C186" s="557"/>
      <c r="D186" s="1866" t="s">
        <v>1269</v>
      </c>
      <c r="E186" s="1866"/>
      <c r="F186" s="1866"/>
      <c r="G186" s="678"/>
    </row>
    <row r="187" spans="1:7" s="677" customFormat="1" ht="14.45" customHeight="1">
      <c r="A187" s="261"/>
      <c r="C187" s="557"/>
      <c r="D187" s="1866"/>
      <c r="E187" s="1866"/>
      <c r="F187" s="1866"/>
      <c r="G187" s="678"/>
    </row>
    <row r="188" spans="1:7" s="677" customFormat="1" ht="14.25">
      <c r="A188" s="261"/>
      <c r="B188" s="697"/>
      <c r="C188" s="557"/>
      <c r="D188" s="1866"/>
      <c r="E188" s="1866"/>
      <c r="F188" s="1866"/>
      <c r="G188" s="678"/>
    </row>
    <row r="189" spans="1:7" s="677" customFormat="1" ht="14.25">
      <c r="A189" s="261"/>
      <c r="B189" s="697"/>
      <c r="C189" s="557"/>
      <c r="D189" s="1866"/>
      <c r="E189" s="1866"/>
      <c r="F189" s="1866"/>
      <c r="G189" s="678"/>
    </row>
    <row r="190" spans="1:7" s="682" customFormat="1">
      <c r="A190" s="265"/>
      <c r="B190" s="265"/>
      <c r="C190" s="265"/>
      <c r="D190" s="696"/>
      <c r="E190" s="696"/>
      <c r="F190" s="696"/>
      <c r="G190" s="7"/>
    </row>
    <row r="191" spans="1:7">
      <c r="A191" s="1886" t="s">
        <v>1164</v>
      </c>
      <c r="B191" s="1886"/>
      <c r="C191" s="1886"/>
      <c r="D191" s="1886"/>
      <c r="E191" s="1886"/>
      <c r="F191" s="1886"/>
      <c r="G191" s="1886"/>
    </row>
    <row r="192" spans="1:7" ht="12" customHeight="1">
      <c r="D192" s="135"/>
      <c r="E192" s="135"/>
      <c r="F192" s="135"/>
    </row>
    <row r="193" spans="1:6">
      <c r="C193" s="262"/>
      <c r="D193" s="1912" t="s">
        <v>214</v>
      </c>
      <c r="E193" s="1912"/>
      <c r="F193" s="1912"/>
    </row>
    <row r="194" spans="1:6">
      <c r="A194" s="255"/>
      <c r="B194" s="673"/>
      <c r="C194" s="255"/>
      <c r="D194" s="1881" t="s">
        <v>1293</v>
      </c>
      <c r="E194" s="1891"/>
      <c r="F194" s="1891"/>
    </row>
    <row r="195" spans="1:6" ht="12" customHeight="1">
      <c r="A195" s="23"/>
      <c r="B195" s="675"/>
      <c r="C195" s="23"/>
    </row>
    <row r="196" spans="1:6" ht="13.15" customHeight="1">
      <c r="A196" s="23"/>
      <c r="C196" s="23"/>
      <c r="D196" s="1889" t="s">
        <v>579</v>
      </c>
      <c r="E196" s="1889"/>
      <c r="F196" s="1889"/>
    </row>
    <row r="197" spans="1:6" ht="14.25">
      <c r="A197" s="261"/>
      <c r="B197" s="679" t="s">
        <v>316</v>
      </c>
      <c r="D197" s="1866" t="s">
        <v>1287</v>
      </c>
      <c r="E197" s="1866"/>
      <c r="F197" s="1866"/>
    </row>
    <row r="198" spans="1:6" ht="14.25">
      <c r="A198" s="261"/>
      <c r="B198" s="261"/>
      <c r="D198" s="1866"/>
      <c r="E198" s="1866"/>
      <c r="F198" s="1866"/>
    </row>
    <row r="199" spans="1:6"/>
    <row r="200" spans="1:6" ht="14.25">
      <c r="A200" s="261"/>
      <c r="B200" s="679" t="s">
        <v>316</v>
      </c>
      <c r="D200" s="1866" t="s">
        <v>1288</v>
      </c>
      <c r="E200" s="1866"/>
      <c r="F200" s="1866"/>
    </row>
    <row r="201" spans="1:6" ht="14.25">
      <c r="A201" s="261"/>
      <c r="B201" s="261"/>
      <c r="D201" s="1866"/>
      <c r="E201" s="1866"/>
      <c r="F201" s="1866"/>
    </row>
    <row r="202" spans="1:6" ht="14.25">
      <c r="A202" s="261"/>
      <c r="B202" s="261"/>
      <c r="D202" s="1866"/>
      <c r="E202" s="1866"/>
      <c r="F202" s="1866"/>
    </row>
    <row r="203" spans="1:6" ht="5.0999999999999996" customHeight="1">
      <c r="A203" s="261"/>
      <c r="B203" s="261"/>
      <c r="D203" s="151"/>
      <c r="E203" s="135"/>
      <c r="F203" s="135"/>
    </row>
    <row r="204" spans="1:6" ht="14.25">
      <c r="A204" s="261"/>
      <c r="B204" s="261"/>
      <c r="D204" s="1866" t="s">
        <v>1289</v>
      </c>
      <c r="E204" s="1866"/>
      <c r="F204" s="1866"/>
    </row>
    <row r="205" spans="1:6" ht="14.25">
      <c r="A205" s="261"/>
      <c r="B205" s="261"/>
      <c r="D205" s="1866"/>
      <c r="E205" s="1866"/>
      <c r="F205" s="1866"/>
    </row>
    <row r="206" spans="1:6" ht="14.25">
      <c r="A206" s="261"/>
      <c r="B206" s="261"/>
      <c r="D206" s="1866"/>
      <c r="E206" s="1866"/>
      <c r="F206" s="1866"/>
    </row>
    <row r="207" spans="1:6" ht="14.25">
      <c r="A207" s="261"/>
      <c r="B207" s="261"/>
      <c r="D207" s="1866"/>
      <c r="E207" s="1866"/>
      <c r="F207" s="1866"/>
    </row>
    <row r="208" spans="1:6" ht="14.25">
      <c r="A208" s="261"/>
      <c r="B208" s="261"/>
      <c r="D208" s="1866"/>
      <c r="E208" s="1866"/>
      <c r="F208" s="1866"/>
    </row>
    <row r="209" spans="1:7" ht="14.25">
      <c r="A209" s="261"/>
      <c r="B209" s="261"/>
      <c r="D209" s="135"/>
      <c r="E209" s="135"/>
      <c r="F209" s="135"/>
    </row>
    <row r="210" spans="1:7" ht="14.25">
      <c r="A210" s="261"/>
      <c r="B210" s="679" t="s">
        <v>316</v>
      </c>
      <c r="D210" s="1880" t="s">
        <v>1290</v>
      </c>
      <c r="E210" s="1880"/>
      <c r="F210" s="1880"/>
    </row>
    <row r="211" spans="1:7" ht="14.25">
      <c r="A211" s="261"/>
      <c r="B211" s="261"/>
      <c r="D211" s="1880"/>
      <c r="E211" s="1880"/>
      <c r="F211" s="1880"/>
    </row>
    <row r="212" spans="1:7" ht="14.25">
      <c r="A212" s="261"/>
      <c r="B212" s="261"/>
      <c r="D212" s="1914" t="s">
        <v>963</v>
      </c>
      <c r="E212" s="1914"/>
      <c r="F212" s="1914"/>
    </row>
    <row r="213" spans="1:7" ht="14.25">
      <c r="A213" s="261"/>
      <c r="B213" s="261"/>
      <c r="D213" s="135"/>
      <c r="E213" s="135"/>
      <c r="F213" s="135"/>
    </row>
    <row r="214" spans="1:7" ht="14.45" customHeight="1">
      <c r="A214" s="261"/>
      <c r="B214" s="679" t="s">
        <v>316</v>
      </c>
      <c r="D214" s="1880" t="s">
        <v>1292</v>
      </c>
      <c r="E214" s="1880"/>
      <c r="F214" s="1880"/>
    </row>
    <row r="215" spans="1:7" ht="14.25">
      <c r="A215" s="261"/>
      <c r="B215" s="261"/>
      <c r="D215" s="1880"/>
      <c r="E215" s="1880"/>
      <c r="F215" s="1880"/>
    </row>
    <row r="216" spans="1:7" ht="14.25">
      <c r="A216" s="261"/>
      <c r="B216" s="261"/>
      <c r="D216" s="1880"/>
      <c r="E216" s="1880"/>
      <c r="F216" s="1880"/>
    </row>
    <row r="217" spans="1:7" ht="14.25">
      <c r="A217" s="261"/>
      <c r="B217" s="261"/>
      <c r="D217" s="1880"/>
      <c r="E217" s="1880"/>
      <c r="F217" s="1880"/>
    </row>
    <row r="218" spans="1:7" ht="14.25">
      <c r="A218" s="261"/>
      <c r="B218" s="261"/>
      <c r="D218" s="1880"/>
      <c r="E218" s="1880"/>
      <c r="F218" s="1880"/>
    </row>
    <row r="219" spans="1:7">
      <c r="D219" s="135"/>
      <c r="E219" s="135"/>
      <c r="F219" s="135"/>
    </row>
    <row r="220" spans="1:7" ht="14.25">
      <c r="A220" s="261"/>
      <c r="B220" s="679" t="s">
        <v>316</v>
      </c>
      <c r="D220" s="1866" t="s">
        <v>1291</v>
      </c>
      <c r="E220" s="1866"/>
      <c r="F220" s="1866"/>
    </row>
    <row r="221" spans="1:7" ht="14.25">
      <c r="A221" s="261"/>
      <c r="B221" s="261"/>
      <c r="D221" s="1866"/>
      <c r="E221" s="1866"/>
      <c r="F221" s="1866"/>
    </row>
    <row r="222" spans="1:7">
      <c r="D222" s="29"/>
    </row>
    <row r="223" spans="1:7">
      <c r="A223" s="1886" t="s">
        <v>1165</v>
      </c>
      <c r="B223" s="1886"/>
      <c r="C223" s="1886"/>
      <c r="D223" s="1886"/>
      <c r="E223" s="1886"/>
      <c r="F223" s="1886"/>
      <c r="G223" s="1886"/>
    </row>
    <row r="224" spans="1:7">
      <c r="D224" s="29"/>
    </row>
    <row r="225" spans="1:6">
      <c r="C225" s="262"/>
      <c r="D225" s="1889" t="s">
        <v>1294</v>
      </c>
      <c r="E225" s="1889"/>
      <c r="F225" s="1889"/>
    </row>
    <row r="226" spans="1:6">
      <c r="A226" s="255"/>
      <c r="B226" s="673"/>
      <c r="C226" s="255"/>
      <c r="D226" s="135"/>
      <c r="E226" s="135"/>
      <c r="F226" s="135"/>
    </row>
    <row r="227" spans="1:6">
      <c r="A227" s="260"/>
      <c r="B227" s="260"/>
      <c r="C227" s="260"/>
      <c r="D227" s="1889" t="s">
        <v>275</v>
      </c>
      <c r="E227" s="1889"/>
      <c r="F227" s="1889"/>
    </row>
    <row r="228" spans="1:6" ht="14.25">
      <c r="A228" s="261"/>
      <c r="B228" s="679" t="s">
        <v>316</v>
      </c>
      <c r="D228" s="1890" t="s">
        <v>1295</v>
      </c>
      <c r="E228" s="1890"/>
      <c r="F228" s="1890"/>
    </row>
    <row r="229" spans="1:6" ht="14.25">
      <c r="A229" s="261"/>
      <c r="B229" s="261"/>
      <c r="D229" s="1890"/>
      <c r="E229" s="1890"/>
      <c r="F229" s="1890"/>
    </row>
    <row r="230" spans="1:6">
      <c r="D230" s="135"/>
      <c r="E230" s="135"/>
      <c r="F230" s="135"/>
    </row>
    <row r="231" spans="1:6" ht="14.45" customHeight="1">
      <c r="A231" s="261"/>
      <c r="B231" s="679" t="s">
        <v>316</v>
      </c>
      <c r="D231" s="1880" t="s">
        <v>1296</v>
      </c>
      <c r="E231" s="1880"/>
      <c r="F231" s="1880"/>
    </row>
    <row r="232" spans="1:6">
      <c r="D232" s="1880"/>
      <c r="E232" s="1880"/>
      <c r="F232" s="1880"/>
    </row>
    <row r="233" spans="1:6">
      <c r="D233" s="1891" t="s">
        <v>954</v>
      </c>
      <c r="E233" s="1891"/>
      <c r="F233" s="1891"/>
    </row>
    <row r="234" spans="1:6">
      <c r="D234" s="135"/>
      <c r="E234" s="135"/>
      <c r="F234" s="135"/>
    </row>
    <row r="235" spans="1:6" ht="14.45" customHeight="1">
      <c r="A235" s="261"/>
      <c r="B235" s="679" t="s">
        <v>316</v>
      </c>
      <c r="D235" s="1880" t="s">
        <v>1298</v>
      </c>
      <c r="E235" s="1880"/>
      <c r="F235" s="1880"/>
    </row>
    <row r="236" spans="1:6">
      <c r="D236" s="1880"/>
      <c r="E236" s="1880"/>
      <c r="F236" s="1880"/>
    </row>
    <row r="237" spans="1:6">
      <c r="D237" s="1880"/>
      <c r="E237" s="1880"/>
      <c r="F237" s="1880"/>
    </row>
    <row r="238" spans="1:6">
      <c r="D238" s="1880"/>
      <c r="E238" s="1880"/>
      <c r="F238" s="1880"/>
    </row>
    <row r="239" spans="1:6">
      <c r="D239" s="1880"/>
      <c r="E239" s="1880"/>
      <c r="F239" s="1880"/>
    </row>
    <row r="240" spans="1:6">
      <c r="D240" s="135"/>
      <c r="E240" s="135"/>
      <c r="F240" s="135"/>
    </row>
    <row r="241" spans="1:7" ht="14.25">
      <c r="A241" s="261"/>
      <c r="B241" s="679" t="s">
        <v>316</v>
      </c>
      <c r="D241" s="1866" t="s">
        <v>1297</v>
      </c>
      <c r="E241" s="1866"/>
      <c r="F241" s="1866"/>
    </row>
    <row r="242" spans="1:7">
      <c r="D242" s="1866"/>
      <c r="E242" s="1866"/>
      <c r="F242" s="1866"/>
    </row>
    <row r="243" spans="1:7">
      <c r="D243" s="1866"/>
      <c r="E243" s="1866"/>
      <c r="F243" s="1866"/>
    </row>
    <row r="244" spans="1:7">
      <c r="D244" s="263"/>
      <c r="E244" s="135"/>
      <c r="F244" s="135"/>
    </row>
    <row r="245" spans="1:7">
      <c r="A245" s="1886" t="s">
        <v>1166</v>
      </c>
      <c r="B245" s="1886"/>
      <c r="C245" s="1886"/>
      <c r="D245" s="1886"/>
      <c r="E245" s="1886"/>
      <c r="F245" s="1886"/>
      <c r="G245" s="1886"/>
    </row>
    <row r="246" spans="1:7">
      <c r="D246" s="263"/>
      <c r="E246" s="135"/>
      <c r="F246" s="135"/>
    </row>
    <row r="247" spans="1:7">
      <c r="C247" s="255"/>
      <c r="D247" s="1915" t="s">
        <v>1299</v>
      </c>
      <c r="E247" s="1915"/>
      <c r="F247" s="1915"/>
    </row>
    <row r="248" spans="1:7">
      <c r="C248" s="255"/>
      <c r="D248" s="1915"/>
      <c r="E248" s="1915"/>
      <c r="F248" s="1915"/>
    </row>
    <row r="249" spans="1:7">
      <c r="A249" s="260"/>
      <c r="B249" s="260"/>
      <c r="C249" s="260"/>
      <c r="D249" s="5"/>
      <c r="E249" s="6"/>
      <c r="F249" s="6"/>
    </row>
    <row r="250" spans="1:7">
      <c r="C250" s="260"/>
      <c r="D250" s="1889" t="s">
        <v>215</v>
      </c>
      <c r="E250" s="1889"/>
      <c r="F250" s="1889"/>
    </row>
    <row r="251" spans="1:7" ht="15.75" customHeight="1">
      <c r="A251" s="261"/>
      <c r="B251" s="261"/>
      <c r="D251" s="1897" t="s">
        <v>1300</v>
      </c>
      <c r="E251" s="1897"/>
      <c r="F251" s="1897"/>
    </row>
    <row r="252" spans="1:7">
      <c r="E252" s="135"/>
      <c r="F252" s="135"/>
    </row>
    <row r="253" spans="1:7" ht="14.25">
      <c r="A253" s="261"/>
      <c r="B253" s="679" t="s">
        <v>316</v>
      </c>
      <c r="D253" s="1866" t="s">
        <v>1301</v>
      </c>
      <c r="E253" s="1866"/>
      <c r="F253" s="1866"/>
    </row>
    <row r="254" spans="1:7" ht="14.25">
      <c r="A254" s="261"/>
      <c r="B254" s="261"/>
      <c r="D254" s="1866"/>
      <c r="E254" s="1866"/>
      <c r="F254" s="1866"/>
    </row>
    <row r="255" spans="1:7">
      <c r="D255" s="135"/>
      <c r="E255" s="135"/>
      <c r="F255" s="135"/>
    </row>
    <row r="256" spans="1:7" ht="14.25">
      <c r="A256" s="261"/>
      <c r="B256" s="679" t="s">
        <v>316</v>
      </c>
      <c r="D256" s="1880" t="s">
        <v>1302</v>
      </c>
      <c r="E256" s="1880"/>
      <c r="F256" s="1880"/>
    </row>
    <row r="257" spans="1:7" ht="14.25">
      <c r="A257" s="261"/>
      <c r="B257" s="261"/>
      <c r="D257" s="1880"/>
      <c r="E257" s="1880"/>
      <c r="F257" s="1880"/>
    </row>
    <row r="258" spans="1:7" ht="14.25">
      <c r="A258" s="261"/>
      <c r="B258" s="261"/>
      <c r="D258" s="1880"/>
      <c r="E258" s="1880"/>
      <c r="F258" s="1880"/>
    </row>
    <row r="259" spans="1:7">
      <c r="D259" s="135"/>
      <c r="E259" s="135"/>
      <c r="F259" s="135"/>
    </row>
    <row r="260" spans="1:7" ht="14.25">
      <c r="A260" s="261"/>
      <c r="B260" s="679" t="s">
        <v>316</v>
      </c>
      <c r="D260" s="1866" t="s">
        <v>1303</v>
      </c>
      <c r="E260" s="1866"/>
      <c r="F260" s="1866"/>
    </row>
    <row r="261" spans="1:7" ht="14.25">
      <c r="A261" s="261"/>
      <c r="B261" s="261"/>
      <c r="D261" s="1866"/>
      <c r="E261" s="1866"/>
      <c r="F261" s="1866"/>
    </row>
    <row r="262" spans="1:7">
      <c r="A262" s="23"/>
      <c r="B262" s="675"/>
      <c r="E262" s="135"/>
      <c r="F262" s="135"/>
    </row>
    <row r="263" spans="1:7">
      <c r="A263" s="1886" t="s">
        <v>1167</v>
      </c>
      <c r="B263" s="1886"/>
      <c r="C263" s="1886"/>
      <c r="D263" s="1886"/>
      <c r="E263" s="1886"/>
      <c r="F263" s="1886"/>
      <c r="G263" s="1886"/>
    </row>
    <row r="264" spans="1:7">
      <c r="A264" s="23"/>
      <c r="B264" s="675"/>
      <c r="D264" s="135"/>
      <c r="E264" s="135"/>
      <c r="F264" s="135"/>
    </row>
    <row r="265" spans="1:7">
      <c r="C265" s="23"/>
      <c r="D265" s="1889" t="s">
        <v>719</v>
      </c>
      <c r="E265" s="1889"/>
      <c r="F265" s="1889"/>
    </row>
    <row r="266" spans="1:7">
      <c r="C266" s="23"/>
      <c r="D266" s="1879" t="s">
        <v>1304</v>
      </c>
      <c r="E266" s="1879"/>
      <c r="F266" s="1879"/>
    </row>
    <row r="267" spans="1:7">
      <c r="C267" s="23"/>
      <c r="D267" s="259"/>
    </row>
    <row r="268" spans="1:7">
      <c r="A268" s="273"/>
      <c r="B268" s="679" t="s">
        <v>316</v>
      </c>
      <c r="D268" s="1879" t="s">
        <v>1305</v>
      </c>
      <c r="E268" s="1879"/>
      <c r="F268" s="1879"/>
    </row>
    <row r="269" spans="1:7" s="39" customFormat="1" ht="14.25">
      <c r="A269" s="403"/>
      <c r="B269" s="403"/>
      <c r="C269" s="273"/>
      <c r="D269" s="497"/>
      <c r="E269" s="498"/>
      <c r="F269" s="498"/>
      <c r="G269" s="130"/>
    </row>
    <row r="270" spans="1:7" s="39" customFormat="1" ht="13.15" customHeight="1">
      <c r="A270" s="273"/>
      <c r="B270" s="679" t="s">
        <v>316</v>
      </c>
      <c r="C270" s="273"/>
      <c r="D270" s="1892" t="s">
        <v>1306</v>
      </c>
      <c r="E270" s="1892"/>
      <c r="F270" s="1892"/>
      <c r="G270" s="130"/>
    </row>
    <row r="271" spans="1:7" s="39" customFormat="1" ht="14.25">
      <c r="A271" s="403"/>
      <c r="B271" s="403"/>
      <c r="C271" s="273"/>
      <c r="D271" s="1892"/>
      <c r="E271" s="1892"/>
      <c r="F271" s="1892"/>
      <c r="G271" s="130"/>
    </row>
    <row r="272" spans="1:7" s="39" customFormat="1" ht="14.25">
      <c r="A272" s="403"/>
      <c r="B272" s="403"/>
      <c r="C272" s="273"/>
      <c r="D272" s="1892"/>
      <c r="E272" s="1892"/>
      <c r="F272" s="1892"/>
      <c r="G272" s="130"/>
    </row>
    <row r="273" spans="1:7" s="39" customFormat="1" ht="14.25">
      <c r="A273" s="403"/>
      <c r="B273" s="403"/>
      <c r="C273" s="273"/>
      <c r="D273" s="1892"/>
      <c r="E273" s="1892"/>
      <c r="F273" s="1892"/>
      <c r="G273" s="130"/>
    </row>
    <row r="274" spans="1:7" s="39" customFormat="1" ht="14.25">
      <c r="A274" s="403"/>
      <c r="B274" s="403"/>
      <c r="C274" s="273"/>
      <c r="D274" s="1892"/>
      <c r="E274" s="1892"/>
      <c r="F274" s="1892"/>
      <c r="G274" s="130"/>
    </row>
    <row r="275" spans="1:7" s="39" customFormat="1" ht="14.25">
      <c r="A275" s="403"/>
      <c r="B275" s="403"/>
      <c r="C275" s="273"/>
      <c r="D275" s="497"/>
      <c r="E275" s="498"/>
      <c r="F275" s="498"/>
      <c r="G275" s="130"/>
    </row>
    <row r="276" spans="1:7" s="39" customFormat="1" ht="13.15" customHeight="1">
      <c r="A276" s="273"/>
      <c r="B276" s="679" t="s">
        <v>316</v>
      </c>
      <c r="C276" s="273"/>
      <c r="D276" s="1892" t="s">
        <v>1307</v>
      </c>
      <c r="E276" s="1892"/>
      <c r="F276" s="1892"/>
      <c r="G276" s="130"/>
    </row>
    <row r="277" spans="1:7" s="39" customFormat="1">
      <c r="A277" s="273"/>
      <c r="B277" s="273"/>
      <c r="C277" s="273"/>
      <c r="D277" s="1892"/>
      <c r="E277" s="1892"/>
      <c r="F277" s="1892"/>
      <c r="G277" s="130"/>
    </row>
    <row r="278" spans="1:7" s="39" customFormat="1" ht="14.25">
      <c r="A278" s="403"/>
      <c r="B278" s="403"/>
      <c r="C278" s="273"/>
      <c r="D278" s="497"/>
      <c r="E278" s="498"/>
      <c r="F278" s="498"/>
      <c r="G278" s="130"/>
    </row>
    <row r="279" spans="1:7">
      <c r="A279" s="273"/>
      <c r="B279" s="679" t="s">
        <v>316</v>
      </c>
      <c r="D279" s="1879" t="s">
        <v>1308</v>
      </c>
      <c r="E279" s="1879"/>
      <c r="F279" s="1879"/>
    </row>
    <row r="280" spans="1:7">
      <c r="E280" s="135"/>
      <c r="F280" s="135"/>
    </row>
    <row r="281" spans="1:7" ht="14.25">
      <c r="A281" s="261"/>
      <c r="B281" s="679" t="s">
        <v>316</v>
      </c>
      <c r="D281" s="1880" t="s">
        <v>1309</v>
      </c>
      <c r="E281" s="1880"/>
      <c r="F281" s="1880"/>
    </row>
    <row r="282" spans="1:7" ht="14.25">
      <c r="A282" s="261"/>
      <c r="B282" s="261"/>
      <c r="D282" s="1880"/>
      <c r="E282" s="1880"/>
      <c r="F282" s="1880"/>
    </row>
    <row r="283" spans="1:7" s="719" customFormat="1" ht="14.25">
      <c r="A283" s="714"/>
      <c r="B283" s="714"/>
      <c r="C283" s="731"/>
      <c r="D283" s="1880"/>
      <c r="E283" s="1880"/>
      <c r="F283" s="1880"/>
      <c r="G283" s="7"/>
    </row>
    <row r="284" spans="1:7" s="719" customFormat="1" ht="14.25">
      <c r="A284" s="714"/>
      <c r="B284" s="714"/>
      <c r="C284" s="731"/>
      <c r="D284" s="1880"/>
      <c r="E284" s="1880"/>
      <c r="F284" s="1880"/>
      <c r="G284" s="7"/>
    </row>
    <row r="285" spans="1:7" s="719" customFormat="1" ht="14.25">
      <c r="A285" s="714"/>
      <c r="B285" s="714"/>
      <c r="C285" s="731"/>
      <c r="D285" s="1880"/>
      <c r="E285" s="1880"/>
      <c r="F285" s="1880"/>
      <c r="G285" s="7"/>
    </row>
    <row r="286" spans="1:7" s="719" customFormat="1" ht="14.25">
      <c r="A286" s="714"/>
      <c r="B286" s="714"/>
      <c r="C286" s="731"/>
      <c r="D286" s="1880"/>
      <c r="E286" s="1880"/>
      <c r="F286" s="1880"/>
      <c r="G286" s="7"/>
    </row>
    <row r="287" spans="1:7" s="719" customFormat="1" ht="14.25">
      <c r="A287" s="714"/>
      <c r="B287" s="714"/>
      <c r="C287" s="731"/>
      <c r="D287" s="1880"/>
      <c r="E287" s="1880"/>
      <c r="F287" s="1880"/>
      <c r="G287" s="7"/>
    </row>
    <row r="288" spans="1:7" s="719" customFormat="1" ht="14.25">
      <c r="A288" s="714"/>
      <c r="B288" s="714"/>
      <c r="C288" s="731"/>
      <c r="D288" s="1880"/>
      <c r="E288" s="1880"/>
      <c r="F288" s="1880"/>
      <c r="G288" s="7"/>
    </row>
    <row r="289" spans="1:7" s="719" customFormat="1" ht="14.25">
      <c r="A289" s="714"/>
      <c r="B289" s="714"/>
      <c r="C289" s="731"/>
      <c r="D289" s="1880"/>
      <c r="E289" s="1880"/>
      <c r="F289" s="1880"/>
      <c r="G289" s="7"/>
    </row>
    <row r="290" spans="1:7" s="719" customFormat="1" ht="14.25">
      <c r="A290" s="714"/>
      <c r="B290" s="714"/>
      <c r="C290" s="731"/>
      <c r="D290" s="1880"/>
      <c r="E290" s="1880"/>
      <c r="F290" s="1880"/>
      <c r="G290" s="7"/>
    </row>
    <row r="291" spans="1:7" s="719" customFormat="1" ht="14.25">
      <c r="A291" s="714"/>
      <c r="B291" s="714"/>
      <c r="C291" s="731"/>
      <c r="D291" s="1880"/>
      <c r="E291" s="1880"/>
      <c r="F291" s="1880"/>
      <c r="G291" s="7"/>
    </row>
    <row r="292" spans="1:7" s="719" customFormat="1" ht="14.25">
      <c r="A292" s="714"/>
      <c r="B292" s="714"/>
      <c r="C292" s="731"/>
      <c r="D292" s="1880"/>
      <c r="E292" s="1880"/>
      <c r="F292" s="1880"/>
      <c r="G292" s="7"/>
    </row>
    <row r="293" spans="1:7" ht="14.25">
      <c r="A293" s="261"/>
      <c r="B293" s="261"/>
      <c r="D293" s="1880"/>
      <c r="E293" s="1880"/>
      <c r="F293" s="1880"/>
    </row>
    <row r="294" spans="1:7" ht="14.25">
      <c r="A294" s="261"/>
      <c r="B294" s="261"/>
      <c r="D294" s="1880"/>
      <c r="E294" s="1880"/>
      <c r="F294" s="1880"/>
    </row>
    <row r="295" spans="1:7" ht="14.25">
      <c r="A295" s="261"/>
      <c r="B295" s="261"/>
      <c r="D295" s="1880"/>
      <c r="E295" s="1880"/>
      <c r="F295" s="1880"/>
    </row>
    <row r="296" spans="1:7">
      <c r="D296" s="135"/>
      <c r="E296" s="135"/>
      <c r="F296" s="135"/>
    </row>
    <row r="297" spans="1:7" ht="14.25">
      <c r="A297" s="261"/>
      <c r="B297" s="679" t="s">
        <v>316</v>
      </c>
      <c r="D297" s="1880" t="s">
        <v>1310</v>
      </c>
      <c r="E297" s="1880"/>
      <c r="F297" s="1880"/>
    </row>
    <row r="298" spans="1:7">
      <c r="D298" s="1880"/>
      <c r="E298" s="1880"/>
      <c r="F298" s="1880"/>
    </row>
    <row r="299" spans="1:7">
      <c r="D299" s="1880"/>
      <c r="E299" s="1880"/>
      <c r="F299" s="1880"/>
    </row>
    <row r="300" spans="1:7">
      <c r="D300" s="1880"/>
      <c r="E300" s="1880"/>
      <c r="F300" s="1880"/>
    </row>
    <row r="301" spans="1:7">
      <c r="D301" s="1880"/>
      <c r="E301" s="1880"/>
      <c r="F301" s="1880"/>
    </row>
    <row r="302" spans="1:7">
      <c r="D302" s="1880"/>
      <c r="E302" s="1880"/>
      <c r="F302" s="1880"/>
    </row>
    <row r="303" spans="1:7">
      <c r="D303" s="1880"/>
      <c r="E303" s="1880"/>
      <c r="F303" s="1880"/>
    </row>
    <row r="304" spans="1:7">
      <c r="D304" s="1880"/>
      <c r="E304" s="1880"/>
      <c r="F304" s="1880"/>
    </row>
    <row r="305" spans="1:7">
      <c r="D305" s="1880"/>
      <c r="E305" s="1880"/>
      <c r="F305" s="1880"/>
    </row>
    <row r="306" spans="1:7">
      <c r="D306" s="135"/>
      <c r="E306" s="135"/>
      <c r="F306" s="135"/>
    </row>
    <row r="307" spans="1:7" ht="14.25">
      <c r="A307" s="261"/>
      <c r="B307" s="679" t="s">
        <v>316</v>
      </c>
      <c r="D307" s="1866" t="s">
        <v>1311</v>
      </c>
      <c r="E307" s="1866"/>
      <c r="F307" s="1866"/>
    </row>
    <row r="308" spans="1:7">
      <c r="D308" s="1866"/>
      <c r="E308" s="1866"/>
      <c r="F308" s="1866"/>
      <c r="G308" s="12"/>
    </row>
    <row r="309" spans="1:7">
      <c r="D309" s="1866"/>
      <c r="E309" s="1866"/>
      <c r="F309" s="1866"/>
      <c r="G309" s="12"/>
    </row>
    <row r="310" spans="1:7">
      <c r="D310" s="1866"/>
      <c r="E310" s="1866"/>
      <c r="F310" s="1866"/>
      <c r="G310" s="12"/>
    </row>
    <row r="311" spans="1:7">
      <c r="D311" s="1866"/>
      <c r="E311" s="1866"/>
      <c r="F311" s="1866"/>
      <c r="G311" s="12"/>
    </row>
    <row r="312" spans="1:7">
      <c r="D312" s="1866"/>
      <c r="E312" s="1866"/>
      <c r="F312" s="1866"/>
      <c r="G312" s="12"/>
    </row>
    <row r="313" spans="1:7" s="719" customFormat="1">
      <c r="A313" s="731"/>
      <c r="B313" s="731"/>
      <c r="C313" s="731"/>
      <c r="D313" s="728"/>
      <c r="E313" s="728"/>
      <c r="F313" s="728"/>
    </row>
    <row r="314" spans="1:7" ht="13.5" thickBot="1">
      <c r="D314" s="1898" t="s">
        <v>1060</v>
      </c>
      <c r="E314" s="1898"/>
      <c r="F314" s="1898"/>
      <c r="G314" s="12"/>
    </row>
    <row r="315" spans="1:7" s="719" customFormat="1" ht="13.5" thickTop="1">
      <c r="A315" s="731"/>
      <c r="B315" s="731"/>
      <c r="C315" s="731"/>
      <c r="D315" s="1899" t="s">
        <v>1312</v>
      </c>
      <c r="E315" s="1899"/>
      <c r="F315" s="1899"/>
    </row>
    <row r="316" spans="1:7">
      <c r="A316" s="325"/>
      <c r="B316" s="325"/>
      <c r="C316" s="325"/>
      <c r="D316" s="467"/>
      <c r="E316" s="467"/>
      <c r="F316" s="135"/>
      <c r="G316" s="12"/>
    </row>
    <row r="317" spans="1:7" ht="14.25">
      <c r="A317" s="261"/>
      <c r="B317" s="679" t="s">
        <v>316</v>
      </c>
      <c r="C317" s="325"/>
      <c r="D317" s="1900" t="s">
        <v>1313</v>
      </c>
      <c r="E317" s="1900"/>
      <c r="F317" s="1900"/>
      <c r="G317" s="12"/>
    </row>
    <row r="318" spans="1:7">
      <c r="A318" s="325"/>
      <c r="B318" s="325"/>
      <c r="C318" s="325"/>
      <c r="D318" s="467"/>
      <c r="E318" s="467"/>
      <c r="F318" s="135"/>
      <c r="G318" s="12"/>
    </row>
    <row r="319" spans="1:7">
      <c r="A319" s="325"/>
      <c r="B319" s="679" t="s">
        <v>316</v>
      </c>
      <c r="C319" s="325"/>
      <c r="D319" s="1895" t="s">
        <v>1314</v>
      </c>
      <c r="E319" s="1895"/>
      <c r="F319" s="1895"/>
      <c r="G319" s="12"/>
    </row>
    <row r="320" spans="1:7">
      <c r="A320" s="325"/>
      <c r="B320" s="325"/>
      <c r="C320" s="325"/>
      <c r="D320" s="1895"/>
      <c r="E320" s="1895"/>
      <c r="F320" s="1895"/>
      <c r="G320" s="12"/>
    </row>
    <row r="321" spans="1:7">
      <c r="A321" s="325"/>
      <c r="B321" s="325"/>
      <c r="C321" s="325"/>
      <c r="D321" s="1895"/>
      <c r="E321" s="1895"/>
      <c r="F321" s="1895"/>
      <c r="G321" s="12"/>
    </row>
    <row r="322" spans="1:7">
      <c r="A322" s="325"/>
      <c r="B322" s="325"/>
      <c r="C322" s="325"/>
      <c r="D322" s="1895"/>
      <c r="E322" s="1895"/>
      <c r="F322" s="1895"/>
      <c r="G322" s="12"/>
    </row>
    <row r="323" spans="1:7" s="719" customFormat="1">
      <c r="A323" s="325"/>
      <c r="B323" s="325"/>
      <c r="C323" s="325"/>
      <c r="D323" s="1895"/>
      <c r="E323" s="1895"/>
      <c r="F323" s="1895"/>
    </row>
    <row r="324" spans="1:7" s="719" customFormat="1">
      <c r="A324" s="325"/>
      <c r="B324" s="325"/>
      <c r="C324" s="325"/>
      <c r="D324" s="1895"/>
      <c r="E324" s="1895"/>
      <c r="F324" s="1895"/>
    </row>
    <row r="325" spans="1:7" s="719" customFormat="1">
      <c r="A325" s="325"/>
      <c r="B325" s="325"/>
      <c r="C325" s="325"/>
      <c r="D325" s="1895"/>
      <c r="E325" s="1895"/>
      <c r="F325" s="1895"/>
    </row>
    <row r="326" spans="1:7" s="719" customFormat="1">
      <c r="A326" s="325"/>
      <c r="B326" s="325"/>
      <c r="C326" s="325"/>
      <c r="D326" s="1895"/>
      <c r="E326" s="1895"/>
      <c r="F326" s="1895"/>
    </row>
    <row r="327" spans="1:7">
      <c r="A327" s="325"/>
      <c r="B327" s="325"/>
      <c r="C327" s="325"/>
      <c r="D327" s="1895"/>
      <c r="E327" s="1895"/>
      <c r="F327" s="1895"/>
      <c r="G327" s="12"/>
    </row>
    <row r="328" spans="1:7">
      <c r="A328" s="325"/>
      <c r="B328" s="325"/>
      <c r="C328" s="325"/>
      <c r="D328" s="1895"/>
      <c r="E328" s="1895"/>
      <c r="F328" s="1895"/>
      <c r="G328" s="12"/>
    </row>
    <row r="329" spans="1:7">
      <c r="A329" s="325"/>
      <c r="B329" s="325"/>
      <c r="C329" s="325"/>
      <c r="D329" s="1895"/>
      <c r="E329" s="1895"/>
      <c r="F329" s="1895"/>
      <c r="G329" s="12"/>
    </row>
    <row r="330" spans="1:7">
      <c r="A330" s="325"/>
      <c r="B330" s="325"/>
      <c r="C330" s="325"/>
      <c r="D330" s="12"/>
      <c r="E330" s="467"/>
      <c r="F330" s="135"/>
      <c r="G330" s="12"/>
    </row>
    <row r="331" spans="1:7" ht="14.25">
      <c r="A331" s="261"/>
      <c r="B331" s="679" t="s">
        <v>316</v>
      </c>
      <c r="C331" s="325"/>
      <c r="D331" s="1893" t="s">
        <v>1315</v>
      </c>
      <c r="E331" s="1893"/>
      <c r="F331" s="1893"/>
      <c r="G331" s="12"/>
    </row>
    <row r="332" spans="1:7">
      <c r="A332" s="325"/>
      <c r="B332" s="325"/>
      <c r="C332" s="325"/>
      <c r="D332" s="1893"/>
      <c r="E332" s="1893"/>
      <c r="F332" s="1893"/>
      <c r="G332" s="12"/>
    </row>
    <row r="333" spans="1:7">
      <c r="A333" s="325"/>
      <c r="B333" s="325"/>
      <c r="C333" s="325"/>
      <c r="D333" s="1893"/>
      <c r="E333" s="1893"/>
      <c r="F333" s="1893"/>
      <c r="G333" s="12"/>
    </row>
    <row r="334" spans="1:7">
      <c r="A334" s="325"/>
      <c r="B334" s="325"/>
      <c r="C334" s="325"/>
      <c r="D334" s="1893"/>
      <c r="E334" s="1893"/>
      <c r="F334" s="1893"/>
      <c r="G334" s="12"/>
    </row>
    <row r="335" spans="1:7">
      <c r="A335" s="325"/>
      <c r="B335" s="325"/>
      <c r="C335" s="325"/>
      <c r="D335" s="505"/>
      <c r="E335" s="467"/>
      <c r="F335" s="135"/>
      <c r="G335" s="12"/>
    </row>
    <row r="336" spans="1:7">
      <c r="A336" s="325"/>
      <c r="B336" s="325"/>
      <c r="C336" s="325"/>
      <c r="D336" s="1893" t="s">
        <v>1316</v>
      </c>
      <c r="E336" s="1893"/>
      <c r="F336" s="1893"/>
      <c r="G336" s="12"/>
    </row>
    <row r="337" spans="1:7">
      <c r="A337" s="325"/>
      <c r="B337" s="325"/>
      <c r="C337" s="325"/>
      <c r="D337" s="1893"/>
      <c r="E337" s="1893"/>
      <c r="F337" s="1893"/>
      <c r="G337" s="12"/>
    </row>
    <row r="338" spans="1:7">
      <c r="A338" s="325"/>
      <c r="B338" s="325"/>
      <c r="C338" s="325"/>
      <c r="D338" s="1893"/>
      <c r="E338" s="1893"/>
      <c r="F338" s="1893"/>
      <c r="G338" s="12"/>
    </row>
    <row r="339" spans="1:7">
      <c r="A339" s="325"/>
      <c r="B339" s="325"/>
      <c r="C339" s="325"/>
      <c r="D339" s="1893"/>
      <c r="E339" s="1893"/>
      <c r="F339" s="1893"/>
      <c r="G339" s="12"/>
    </row>
    <row r="340" spans="1:7" ht="18" customHeight="1">
      <c r="A340" s="325"/>
      <c r="B340" s="325"/>
      <c r="C340" s="325"/>
      <c r="D340" s="1893"/>
      <c r="E340" s="1893"/>
      <c r="F340" s="1893"/>
      <c r="G340" s="12"/>
    </row>
    <row r="341" spans="1:7">
      <c r="A341" s="325"/>
      <c r="B341" s="325"/>
      <c r="C341" s="325"/>
      <c r="D341" s="1893"/>
      <c r="E341" s="1893"/>
      <c r="F341" s="1893"/>
      <c r="G341" s="12"/>
    </row>
    <row r="342" spans="1:7">
      <c r="A342" s="325"/>
      <c r="B342" s="325"/>
      <c r="C342" s="325"/>
      <c r="D342" s="1893"/>
      <c r="E342" s="1893"/>
      <c r="F342" s="1893"/>
      <c r="G342" s="12"/>
    </row>
    <row r="343" spans="1:7">
      <c r="A343" s="325"/>
      <c r="B343" s="325"/>
      <c r="C343" s="325"/>
      <c r="D343" s="1893"/>
      <c r="E343" s="1893"/>
      <c r="F343" s="1893"/>
      <c r="G343" s="12"/>
    </row>
    <row r="344" spans="1:7" ht="8.25" customHeight="1">
      <c r="A344" s="325"/>
      <c r="B344" s="325"/>
      <c r="C344" s="325"/>
      <c r="D344" s="1893"/>
      <c r="E344" s="1893"/>
      <c r="F344" s="1893"/>
      <c r="G344" s="12"/>
    </row>
    <row r="345" spans="1:7" ht="13.15" customHeight="1">
      <c r="A345" s="325"/>
      <c r="B345" s="325"/>
      <c r="C345" s="325"/>
      <c r="D345" s="1894" t="s">
        <v>1317</v>
      </c>
      <c r="E345" s="1894"/>
      <c r="F345" s="1894"/>
      <c r="G345" s="12"/>
    </row>
    <row r="346" spans="1:7">
      <c r="A346" s="325"/>
      <c r="B346" s="325"/>
      <c r="C346" s="325"/>
      <c r="D346" s="1894"/>
      <c r="E346" s="1894"/>
      <c r="F346" s="1894"/>
      <c r="G346" s="12"/>
    </row>
    <row r="347" spans="1:7">
      <c r="A347" s="325"/>
      <c r="B347" s="325"/>
      <c r="C347" s="325"/>
      <c r="D347" s="1894"/>
      <c r="E347" s="1894"/>
      <c r="F347" s="1894"/>
      <c r="G347" s="12"/>
    </row>
    <row r="348" spans="1:7" s="719" customFormat="1">
      <c r="A348" s="325"/>
      <c r="B348" s="325"/>
      <c r="C348" s="325"/>
      <c r="D348" s="1894"/>
      <c r="E348" s="1894"/>
      <c r="F348" s="1894"/>
    </row>
    <row r="349" spans="1:7" s="719" customFormat="1">
      <c r="A349" s="325"/>
      <c r="B349" s="325"/>
      <c r="C349" s="325"/>
      <c r="D349" s="1894"/>
      <c r="E349" s="1894"/>
      <c r="F349" s="1894"/>
    </row>
    <row r="350" spans="1:7" s="719" customFormat="1">
      <c r="A350" s="325"/>
      <c r="B350" s="325"/>
      <c r="C350" s="325"/>
      <c r="D350" s="1894"/>
      <c r="E350" s="1894"/>
      <c r="F350" s="1894"/>
    </row>
    <row r="351" spans="1:7" s="719" customFormat="1">
      <c r="A351" s="325"/>
      <c r="B351" s="325"/>
      <c r="C351" s="325"/>
      <c r="D351" s="1894"/>
      <c r="E351" s="1894"/>
      <c r="F351" s="1894"/>
    </row>
    <row r="352" spans="1:7" s="719" customFormat="1">
      <c r="A352" s="325"/>
      <c r="B352" s="325"/>
      <c r="C352" s="325"/>
      <c r="D352" s="1894"/>
      <c r="E352" s="1894"/>
      <c r="F352" s="1894"/>
    </row>
    <row r="353" spans="1:7">
      <c r="A353" s="325"/>
      <c r="B353" s="325"/>
      <c r="C353" s="325"/>
      <c r="D353" s="1894"/>
      <c r="E353" s="1894"/>
      <c r="F353" s="1894"/>
      <c r="G353" s="12"/>
    </row>
    <row r="354" spans="1:7">
      <c r="A354" s="325"/>
      <c r="B354" s="325"/>
      <c r="C354" s="325"/>
      <c r="D354" s="1894"/>
      <c r="E354" s="1894"/>
      <c r="F354" s="1894"/>
      <c r="G354" s="12"/>
    </row>
    <row r="355" spans="1:7">
      <c r="A355" s="325"/>
      <c r="B355" s="325"/>
      <c r="C355" s="325"/>
      <c r="D355" s="1894"/>
      <c r="E355" s="1894"/>
      <c r="F355" s="1894"/>
      <c r="G355" s="12"/>
    </row>
    <row r="356" spans="1:7">
      <c r="A356" s="325"/>
      <c r="B356" s="325"/>
      <c r="C356" s="325"/>
      <c r="D356" s="1894"/>
      <c r="E356" s="1894"/>
      <c r="F356" s="1894"/>
      <c r="G356" s="12"/>
    </row>
    <row r="357" spans="1:7">
      <c r="A357" s="325"/>
      <c r="B357" s="325"/>
      <c r="C357" s="507"/>
      <c r="D357" s="1894"/>
      <c r="E357" s="1894"/>
      <c r="F357" s="1894"/>
      <c r="G357" s="12"/>
    </row>
    <row r="358" spans="1:7">
      <c r="A358" s="325"/>
      <c r="B358" s="325"/>
      <c r="C358" s="507"/>
      <c r="D358" s="1894"/>
      <c r="E358" s="1894"/>
      <c r="F358" s="1894"/>
      <c r="G358" s="12"/>
    </row>
    <row r="359" spans="1:7">
      <c r="A359" s="325"/>
      <c r="B359" s="325"/>
      <c r="C359" s="325"/>
      <c r="D359" s="1894"/>
      <c r="E359" s="1894"/>
      <c r="F359" s="1894"/>
      <c r="G359" s="12"/>
    </row>
    <row r="360" spans="1:7">
      <c r="A360" s="325"/>
      <c r="B360" s="325"/>
      <c r="C360" s="507"/>
      <c r="D360" s="1894"/>
      <c r="E360" s="1894"/>
      <c r="F360" s="1894"/>
      <c r="G360" s="12"/>
    </row>
    <row r="361" spans="1:7">
      <c r="A361" s="325"/>
      <c r="B361" s="325"/>
      <c r="C361" s="507"/>
      <c r="D361" s="1894"/>
      <c r="E361" s="1894"/>
      <c r="F361" s="1894"/>
      <c r="G361" s="12"/>
    </row>
    <row r="362" spans="1:7">
      <c r="A362" s="325"/>
      <c r="B362" s="325"/>
      <c r="C362" s="507"/>
      <c r="D362" s="1894"/>
      <c r="E362" s="1894"/>
      <c r="F362" s="1894"/>
      <c r="G362" s="12"/>
    </row>
    <row r="363" spans="1:7">
      <c r="A363" s="325"/>
      <c r="B363" s="325"/>
      <c r="C363" s="325"/>
      <c r="D363" s="505"/>
      <c r="E363" s="467"/>
      <c r="F363" s="135"/>
      <c r="G363" s="12"/>
    </row>
    <row r="364" spans="1:7">
      <c r="A364" s="325"/>
      <c r="B364" s="679" t="s">
        <v>316</v>
      </c>
      <c r="C364" s="325"/>
      <c r="D364" s="1894" t="s">
        <v>1318</v>
      </c>
      <c r="E364" s="1894"/>
      <c r="F364" s="1894"/>
      <c r="G364" s="12"/>
    </row>
    <row r="365" spans="1:7">
      <c r="A365" s="325"/>
      <c r="B365" s="325"/>
      <c r="C365" s="325"/>
      <c r="D365" s="1894"/>
      <c r="E365" s="1894"/>
      <c r="F365" s="1894"/>
      <c r="G365" s="12"/>
    </row>
    <row r="366" spans="1:7">
      <c r="A366" s="325"/>
      <c r="B366" s="325"/>
      <c r="C366" s="325"/>
      <c r="D366" s="467"/>
      <c r="E366" s="467"/>
      <c r="F366" s="135"/>
      <c r="G366" s="12"/>
    </row>
    <row r="367" spans="1:7" ht="14.25">
      <c r="A367" s="261"/>
      <c r="B367" s="679" t="s">
        <v>316</v>
      </c>
      <c r="C367" s="325"/>
      <c r="D367" s="1895" t="s">
        <v>1319</v>
      </c>
      <c r="E367" s="1895"/>
      <c r="F367" s="1895"/>
      <c r="G367" s="12"/>
    </row>
    <row r="368" spans="1:7" ht="14.25">
      <c r="A368" s="506"/>
      <c r="B368" s="506"/>
      <c r="C368" s="325"/>
      <c r="D368" s="1895"/>
      <c r="E368" s="1895"/>
      <c r="F368" s="1895"/>
      <c r="G368" s="12"/>
    </row>
    <row r="369" spans="1:7" ht="14.25">
      <c r="A369" s="506"/>
      <c r="B369" s="506"/>
      <c r="C369" s="325"/>
      <c r="D369" s="1895"/>
      <c r="E369" s="1895"/>
      <c r="F369" s="1895"/>
      <c r="G369" s="12"/>
    </row>
    <row r="370" spans="1:7" ht="14.25">
      <c r="A370" s="506"/>
      <c r="B370" s="506"/>
      <c r="C370" s="325"/>
      <c r="D370" s="1895"/>
      <c r="E370" s="1895"/>
      <c r="F370" s="1895"/>
      <c r="G370" s="12"/>
    </row>
    <row r="371" spans="1:7" ht="14.25">
      <c r="A371" s="506"/>
      <c r="B371" s="506"/>
      <c r="C371" s="325"/>
      <c r="D371" s="1895"/>
      <c r="E371" s="1895"/>
      <c r="F371" s="1895"/>
      <c r="G371" s="12"/>
    </row>
    <row r="372" spans="1:7">
      <c r="D372" s="135"/>
      <c r="E372" s="135"/>
      <c r="F372" s="135"/>
      <c r="G372" s="12"/>
    </row>
    <row r="373" spans="1:7" ht="14.25">
      <c r="A373" s="261"/>
      <c r="B373" s="679" t="s">
        <v>316</v>
      </c>
      <c r="C373" s="266"/>
      <c r="D373" s="1866" t="s">
        <v>1320</v>
      </c>
      <c r="E373" s="1866"/>
      <c r="F373" s="1866"/>
      <c r="G373" s="12"/>
    </row>
    <row r="374" spans="1:7" ht="14.25">
      <c r="A374" s="261"/>
      <c r="B374" s="261"/>
      <c r="D374" s="1866"/>
      <c r="E374" s="1866"/>
      <c r="F374" s="1866"/>
      <c r="G374" s="12"/>
    </row>
    <row r="375" spans="1:7">
      <c r="D375" s="1866"/>
      <c r="E375" s="1866"/>
      <c r="F375" s="1866"/>
      <c r="G375" s="12"/>
    </row>
    <row r="376" spans="1:7">
      <c r="D376" s="1866"/>
      <c r="E376" s="1866"/>
      <c r="F376" s="1866"/>
      <c r="G376" s="12"/>
    </row>
    <row r="377" spans="1:7">
      <c r="D377" s="1866"/>
      <c r="E377" s="1866"/>
      <c r="F377" s="1866"/>
      <c r="G377" s="12"/>
    </row>
    <row r="378" spans="1:7">
      <c r="D378" s="1866"/>
      <c r="E378" s="1866"/>
      <c r="F378" s="1866"/>
      <c r="G378" s="12"/>
    </row>
    <row r="379" spans="1:7">
      <c r="D379" s="1866"/>
      <c r="E379" s="1866"/>
      <c r="F379" s="1866"/>
      <c r="G379" s="12"/>
    </row>
    <row r="380" spans="1:7">
      <c r="D380" s="1866"/>
      <c r="E380" s="1866"/>
      <c r="F380" s="1866"/>
      <c r="G380" s="12"/>
    </row>
    <row r="381" spans="1:7">
      <c r="D381" s="1866"/>
      <c r="E381" s="1866"/>
      <c r="F381" s="1866"/>
      <c r="G381" s="12"/>
    </row>
    <row r="382" spans="1:7">
      <c r="D382" s="1866"/>
      <c r="E382" s="1866"/>
      <c r="F382" s="1866"/>
      <c r="G382" s="12"/>
    </row>
    <row r="383" spans="1:7">
      <c r="D383" s="1866"/>
      <c r="E383" s="1866"/>
      <c r="F383" s="1866"/>
      <c r="G383" s="12"/>
    </row>
    <row r="384" spans="1:7">
      <c r="D384" s="1866"/>
      <c r="E384" s="1866"/>
      <c r="F384" s="1866"/>
      <c r="G384" s="12"/>
    </row>
    <row r="385" spans="1:7">
      <c r="D385" s="1866"/>
      <c r="E385" s="1866"/>
      <c r="F385" s="1866"/>
      <c r="G385" s="12"/>
    </row>
    <row r="386" spans="1:7">
      <c r="A386" s="12"/>
      <c r="B386" s="12"/>
      <c r="C386" s="12"/>
      <c r="D386" s="1866"/>
      <c r="E386" s="1866"/>
      <c r="F386" s="1866"/>
      <c r="G386" s="12"/>
    </row>
    <row r="387" spans="1:7">
      <c r="A387" s="12"/>
      <c r="B387" s="12"/>
      <c r="C387" s="12"/>
      <c r="D387" s="1866"/>
      <c r="E387" s="1866"/>
      <c r="F387" s="1866"/>
      <c r="G387" s="12"/>
    </row>
    <row r="388" spans="1:7">
      <c r="A388" s="12"/>
      <c r="B388" s="12"/>
      <c r="C388" s="12"/>
      <c r="D388" s="1866"/>
      <c r="E388" s="1866"/>
      <c r="F388" s="1866"/>
      <c r="G388" s="12"/>
    </row>
    <row r="389" spans="1:7">
      <c r="A389" s="12"/>
      <c r="B389" s="12"/>
      <c r="C389" s="12"/>
      <c r="D389" s="1866"/>
      <c r="E389" s="1866"/>
      <c r="F389" s="1866"/>
      <c r="G389" s="12"/>
    </row>
    <row r="390" spans="1:7">
      <c r="A390" s="12"/>
      <c r="B390" s="12"/>
      <c r="C390" s="12"/>
      <c r="D390" s="1866"/>
      <c r="E390" s="1866"/>
      <c r="F390" s="1866"/>
      <c r="G390" s="12"/>
    </row>
    <row r="391" spans="1:7">
      <c r="A391" s="12"/>
      <c r="B391" s="12"/>
      <c r="C391" s="12"/>
      <c r="D391" s="1866"/>
      <c r="E391" s="1866"/>
      <c r="F391" s="1866"/>
      <c r="G391" s="12"/>
    </row>
    <row r="392" spans="1:7">
      <c r="A392" s="12"/>
      <c r="B392" s="12"/>
      <c r="C392" s="12"/>
      <c r="D392" s="1866"/>
      <c r="E392" s="1866"/>
      <c r="F392" s="1866"/>
      <c r="G392" s="12"/>
    </row>
    <row r="393" spans="1:7">
      <c r="A393" s="12"/>
      <c r="B393" s="12"/>
      <c r="C393" s="12"/>
      <c r="D393" s="1866"/>
      <c r="E393" s="1866"/>
      <c r="F393" s="1866"/>
      <c r="G393" s="12"/>
    </row>
    <row r="394" spans="1:7">
      <c r="A394" s="12"/>
      <c r="B394" s="12"/>
      <c r="C394" s="12"/>
      <c r="D394" s="1866"/>
      <c r="E394" s="1866"/>
      <c r="F394" s="1866"/>
      <c r="G394" s="12"/>
    </row>
    <row r="395" spans="1:7">
      <c r="A395" s="12"/>
      <c r="B395" s="12"/>
      <c r="C395" s="12"/>
      <c r="D395" s="1866"/>
      <c r="E395" s="1866"/>
      <c r="F395" s="1866"/>
      <c r="G395" s="12"/>
    </row>
    <row r="396" spans="1:7">
      <c r="A396" s="12"/>
      <c r="B396" s="12"/>
      <c r="C396" s="12"/>
      <c r="D396" s="1866"/>
      <c r="E396" s="1866"/>
      <c r="F396" s="1866"/>
      <c r="G396" s="12"/>
    </row>
    <row r="397" spans="1:7">
      <c r="A397" s="12"/>
      <c r="B397" s="12"/>
      <c r="C397" s="12"/>
      <c r="D397" s="1866"/>
      <c r="E397" s="1866"/>
      <c r="F397" s="1866"/>
      <c r="G397" s="12"/>
    </row>
    <row r="398" spans="1:7">
      <c r="A398" s="12"/>
      <c r="B398" s="12"/>
      <c r="C398" s="12"/>
      <c r="D398" s="1866"/>
      <c r="E398" s="1866"/>
      <c r="F398" s="1866"/>
      <c r="G398" s="12"/>
    </row>
    <row r="399" spans="1:7">
      <c r="A399" s="12"/>
      <c r="B399" s="12"/>
      <c r="C399" s="12"/>
      <c r="D399" s="1866"/>
      <c r="E399" s="1866"/>
      <c r="F399" s="1866"/>
      <c r="G399" s="12"/>
    </row>
    <row r="400" spans="1:7">
      <c r="A400" s="12"/>
      <c r="B400" s="12"/>
      <c r="C400" s="12"/>
      <c r="D400" s="1866"/>
      <c r="E400" s="1866"/>
      <c r="F400" s="1866"/>
      <c r="G400" s="12"/>
    </row>
    <row r="401" spans="1:7">
      <c r="A401" s="12"/>
      <c r="B401" s="12"/>
      <c r="C401" s="12"/>
      <c r="D401" s="1866"/>
      <c r="E401" s="1866"/>
      <c r="F401" s="1866"/>
      <c r="G401" s="12"/>
    </row>
    <row r="402" spans="1:7" s="32" customFormat="1">
      <c r="A402" s="132"/>
      <c r="B402" s="676"/>
      <c r="C402" s="132"/>
      <c r="D402" s="1866"/>
      <c r="E402" s="1866"/>
      <c r="F402" s="1866"/>
      <c r="G402" s="30"/>
    </row>
    <row r="403" spans="1:7" s="32" customFormat="1" ht="40.700000000000003" customHeight="1">
      <c r="A403" s="132"/>
      <c r="B403" s="676"/>
      <c r="C403" s="132"/>
      <c r="D403" s="1866"/>
      <c r="E403" s="1866"/>
      <c r="F403" s="1866"/>
      <c r="G403" s="30"/>
    </row>
    <row r="404" spans="1:7" s="32" customFormat="1">
      <c r="A404" s="132"/>
      <c r="B404" s="676"/>
      <c r="C404" s="132"/>
      <c r="D404" s="135"/>
      <c r="E404" s="135"/>
      <c r="F404" s="135"/>
      <c r="G404" s="30"/>
    </row>
    <row r="405" spans="1:7" ht="14.25">
      <c r="A405" s="261"/>
      <c r="B405" s="679" t="s">
        <v>316</v>
      </c>
      <c r="C405" s="266"/>
      <c r="D405" s="1879" t="s">
        <v>1321</v>
      </c>
      <c r="E405" s="1879"/>
      <c r="F405" s="1879"/>
    </row>
    <row r="406" spans="1:7">
      <c r="D406" s="1896" t="s">
        <v>1085</v>
      </c>
      <c r="E406" s="1896"/>
      <c r="F406" s="1896"/>
    </row>
    <row r="407" spans="1:7">
      <c r="D407" s="1880" t="s">
        <v>1322</v>
      </c>
      <c r="E407" s="1880"/>
      <c r="F407" s="1880"/>
    </row>
    <row r="408" spans="1:7">
      <c r="D408" s="1880"/>
      <c r="E408" s="1880"/>
      <c r="F408" s="1880"/>
    </row>
    <row r="409" spans="1:7">
      <c r="D409" s="1880"/>
      <c r="E409" s="1880"/>
      <c r="F409" s="1880"/>
    </row>
    <row r="410" spans="1:7">
      <c r="D410" s="1880"/>
      <c r="E410" s="1880"/>
      <c r="F410" s="1880"/>
    </row>
    <row r="411" spans="1:7">
      <c r="D411" s="135"/>
      <c r="E411" s="135"/>
      <c r="F411" s="135"/>
      <c r="G411" s="12"/>
    </row>
    <row r="412" spans="1:7" ht="14.25">
      <c r="A412" s="261"/>
      <c r="B412" s="679" t="s">
        <v>316</v>
      </c>
      <c r="C412" s="266"/>
      <c r="D412" s="1866" t="s">
        <v>1323</v>
      </c>
      <c r="E412" s="1866"/>
      <c r="F412" s="1866"/>
      <c r="G412" s="12"/>
    </row>
    <row r="413" spans="1:7">
      <c r="D413" s="1866"/>
      <c r="E413" s="1866"/>
      <c r="F413" s="1866"/>
      <c r="G413" s="12"/>
    </row>
    <row r="414" spans="1:7">
      <c r="D414" s="1866"/>
      <c r="E414" s="1866"/>
      <c r="F414" s="1866"/>
      <c r="G414" s="12"/>
    </row>
    <row r="415" spans="1:7" s="719" customFormat="1">
      <c r="A415" s="731"/>
      <c r="B415" s="731"/>
      <c r="C415" s="731"/>
      <c r="D415" s="728"/>
      <c r="E415" s="728"/>
      <c r="F415" s="728"/>
    </row>
    <row r="416" spans="1:7" ht="14.25">
      <c r="B416" s="679" t="s">
        <v>316</v>
      </c>
      <c r="C416" s="261"/>
      <c r="D416" s="1880" t="s">
        <v>1324</v>
      </c>
      <c r="E416" s="1880"/>
      <c r="F416" s="1880"/>
      <c r="G416" s="12"/>
    </row>
    <row r="417" spans="1:7">
      <c r="D417" s="1880"/>
      <c r="E417" s="1880"/>
      <c r="F417" s="1880"/>
      <c r="G417" s="12"/>
    </row>
    <row r="418" spans="1:7">
      <c r="D418" s="135"/>
      <c r="E418" s="135"/>
      <c r="F418" s="135"/>
      <c r="G418" s="12"/>
    </row>
    <row r="419" spans="1:7" ht="14.25">
      <c r="B419" s="679" t="s">
        <v>316</v>
      </c>
      <c r="C419" s="261"/>
      <c r="D419" s="1880" t="s">
        <v>1325</v>
      </c>
      <c r="E419" s="1880"/>
      <c r="F419" s="1880"/>
      <c r="G419" s="12"/>
    </row>
    <row r="420" spans="1:7">
      <c r="D420" s="1880"/>
      <c r="E420" s="1880"/>
      <c r="F420" s="1880"/>
      <c r="G420" s="12"/>
    </row>
    <row r="421" spans="1:7">
      <c r="D421" s="1880"/>
      <c r="E421" s="1880"/>
      <c r="F421" s="1880"/>
      <c r="G421" s="12"/>
    </row>
    <row r="422" spans="1:7">
      <c r="D422" s="1880"/>
      <c r="E422" s="1880"/>
      <c r="F422" s="1880"/>
      <c r="G422" s="12"/>
    </row>
    <row r="423" spans="1:7">
      <c r="B423" s="679" t="s">
        <v>316</v>
      </c>
      <c r="D423" s="1880"/>
      <c r="E423" s="1880"/>
      <c r="F423" s="1880"/>
      <c r="G423" s="12"/>
    </row>
    <row r="424" spans="1:7">
      <c r="A424" s="12"/>
      <c r="B424" s="12"/>
      <c r="C424" s="12"/>
      <c r="D424" s="1880"/>
      <c r="E424" s="1880"/>
      <c r="F424" s="1880"/>
      <c r="G424" s="12"/>
    </row>
    <row r="425" spans="1:7">
      <c r="A425" s="12"/>
      <c r="C425" s="12"/>
      <c r="D425" s="1880"/>
      <c r="E425" s="1880"/>
      <c r="F425" s="1880"/>
      <c r="G425" s="12"/>
    </row>
    <row r="426" spans="1:7">
      <c r="A426" s="12"/>
      <c r="B426" s="679" t="s">
        <v>316</v>
      </c>
      <c r="C426" s="12"/>
      <c r="D426" s="1880"/>
      <c r="E426" s="1880"/>
      <c r="F426" s="1880"/>
      <c r="G426" s="12"/>
    </row>
    <row r="427" spans="1:7">
      <c r="A427" s="12"/>
      <c r="B427" s="12"/>
      <c r="C427" s="12"/>
      <c r="D427" s="1880"/>
      <c r="E427" s="1880"/>
      <c r="F427" s="1880"/>
      <c r="G427" s="12"/>
    </row>
    <row r="428" spans="1:7">
      <c r="A428" s="12"/>
      <c r="C428" s="12"/>
      <c r="D428" s="1880"/>
      <c r="E428" s="1880"/>
      <c r="F428" s="1880"/>
      <c r="G428" s="12"/>
    </row>
    <row r="429" spans="1:7">
      <c r="A429" s="12"/>
      <c r="C429" s="12"/>
      <c r="D429" s="1880"/>
      <c r="E429" s="1880"/>
      <c r="F429" s="1880"/>
      <c r="G429" s="12"/>
    </row>
    <row r="430" spans="1:7">
      <c r="A430" s="12"/>
      <c r="B430" s="679" t="s">
        <v>316</v>
      </c>
      <c r="C430" s="12"/>
      <c r="D430" s="1880"/>
      <c r="E430" s="1880"/>
      <c r="F430" s="1880"/>
      <c r="G430" s="12"/>
    </row>
    <row r="431" spans="1:7">
      <c r="A431" s="12"/>
      <c r="B431" s="12"/>
      <c r="C431" s="12"/>
      <c r="D431" s="1880"/>
      <c r="E431" s="1880"/>
      <c r="F431" s="1880"/>
      <c r="G431" s="12"/>
    </row>
    <row r="432" spans="1:7">
      <c r="A432" s="12"/>
      <c r="B432" s="679" t="s">
        <v>316</v>
      </c>
      <c r="C432" s="12"/>
      <c r="D432" s="1880"/>
      <c r="E432" s="1880"/>
      <c r="F432" s="1880"/>
      <c r="G432" s="12"/>
    </row>
    <row r="433" spans="1:7" s="719" customFormat="1">
      <c r="D433" s="729"/>
      <c r="E433" s="729"/>
      <c r="F433" s="729"/>
    </row>
    <row r="434" spans="1:7">
      <c r="A434" s="12"/>
      <c r="B434" s="718" t="s">
        <v>316</v>
      </c>
      <c r="C434" s="12"/>
      <c r="D434" s="1880" t="s">
        <v>1326</v>
      </c>
      <c r="E434" s="1880"/>
      <c r="F434" s="1880"/>
      <c r="G434" s="12"/>
    </row>
    <row r="435" spans="1:7">
      <c r="A435" s="12"/>
      <c r="B435" s="12"/>
      <c r="C435" s="12"/>
      <c r="D435" s="1880"/>
      <c r="E435" s="1880"/>
      <c r="F435" s="1880"/>
      <c r="G435" s="12"/>
    </row>
    <row r="436" spans="1:7">
      <c r="A436" s="12"/>
      <c r="B436" s="12"/>
      <c r="C436" s="12"/>
      <c r="D436" s="1880"/>
      <c r="E436" s="1880"/>
      <c r="F436" s="1880"/>
      <c r="G436" s="12"/>
    </row>
    <row r="437" spans="1:7">
      <c r="A437" s="12"/>
      <c r="B437" s="12"/>
      <c r="C437" s="12"/>
      <c r="D437" s="1880"/>
      <c r="E437" s="1880"/>
      <c r="F437" s="1880"/>
      <c r="G437" s="12"/>
    </row>
    <row r="438" spans="1:7">
      <c r="D438" s="1880"/>
      <c r="E438" s="1880"/>
      <c r="F438" s="1880"/>
    </row>
    <row r="439" spans="1:7">
      <c r="D439" s="135"/>
      <c r="E439" s="135"/>
      <c r="F439" s="135"/>
    </row>
    <row r="440" spans="1:7">
      <c r="B440" s="679" t="s">
        <v>316</v>
      </c>
      <c r="D440" s="1881" t="s">
        <v>1327</v>
      </c>
      <c r="E440" s="1881"/>
      <c r="F440" s="1881"/>
    </row>
    <row r="441" spans="1:7">
      <c r="A441" s="135"/>
      <c r="B441" s="135"/>
    </row>
    <row r="442" spans="1:7">
      <c r="A442" s="1886" t="s">
        <v>1168</v>
      </c>
      <c r="B442" s="1886"/>
      <c r="C442" s="1886"/>
      <c r="D442" s="1886"/>
      <c r="E442" s="1886"/>
      <c r="F442" s="1886"/>
      <c r="G442" s="1886"/>
    </row>
    <row r="443" spans="1:7">
      <c r="A443" s="135"/>
      <c r="B443" s="135"/>
    </row>
    <row r="444" spans="1:7">
      <c r="D444" s="1882" t="s">
        <v>948</v>
      </c>
      <c r="E444" s="1882"/>
      <c r="F444" s="1882"/>
    </row>
    <row r="445" spans="1:7" s="39" customFormat="1" ht="14.25">
      <c r="A445" s="403"/>
      <c r="B445" s="403"/>
      <c r="C445" s="273"/>
      <c r="D445" s="1883" t="s">
        <v>1328</v>
      </c>
      <c r="E445" s="1883"/>
      <c r="F445" s="1883"/>
      <c r="G445" s="130"/>
    </row>
    <row r="446" spans="1:7" s="39" customFormat="1" ht="14.25">
      <c r="A446" s="403"/>
      <c r="B446" s="403"/>
      <c r="C446" s="273"/>
      <c r="D446" s="732"/>
      <c r="E446" s="6"/>
      <c r="F446" s="6"/>
      <c r="G446" s="130"/>
    </row>
    <row r="447" spans="1:7" s="39" customFormat="1" ht="14.25">
      <c r="A447" s="261"/>
      <c r="B447" s="679" t="s">
        <v>316</v>
      </c>
      <c r="C447" s="273"/>
      <c r="D447" s="1884" t="s">
        <v>1329</v>
      </c>
      <c r="E447" s="1884"/>
      <c r="F447" s="1884"/>
      <c r="G447" s="130"/>
    </row>
    <row r="448" spans="1:7" s="39" customFormat="1" ht="14.25">
      <c r="A448" s="261"/>
      <c r="B448" s="261"/>
      <c r="C448" s="273"/>
      <c r="D448" s="1884"/>
      <c r="E448" s="1884"/>
      <c r="F448" s="1884"/>
      <c r="G448" s="130"/>
    </row>
    <row r="449" spans="1:7" s="39" customFormat="1" ht="14.25">
      <c r="A449" s="261"/>
      <c r="B449" s="261"/>
      <c r="C449" s="273"/>
      <c r="D449" s="730"/>
      <c r="E449" s="6"/>
      <c r="F449" s="6"/>
      <c r="G449" s="130"/>
    </row>
    <row r="450" spans="1:7">
      <c r="B450" s="679" t="s">
        <v>316</v>
      </c>
      <c r="D450" s="1885" t="s">
        <v>1330</v>
      </c>
      <c r="E450" s="1885"/>
      <c r="F450" s="1885"/>
    </row>
    <row r="451" spans="1:7" ht="14.25">
      <c r="A451" s="261"/>
      <c r="D451" s="1885"/>
      <c r="E451" s="1885"/>
      <c r="F451" s="1885"/>
    </row>
    <row r="452" spans="1:7" ht="14.25">
      <c r="A452" s="261"/>
      <c r="B452" s="261"/>
      <c r="D452" s="1885"/>
      <c r="E452" s="1885"/>
      <c r="F452" s="1885"/>
    </row>
    <row r="453" spans="1:7" ht="14.25">
      <c r="A453" s="261"/>
      <c r="B453" s="261"/>
      <c r="D453" s="1885"/>
      <c r="E453" s="1885"/>
      <c r="F453" s="1885"/>
    </row>
    <row r="454" spans="1:7">
      <c r="D454" s="678"/>
      <c r="E454" s="678"/>
      <c r="F454" s="678"/>
      <c r="G454" s="12"/>
    </row>
    <row r="455" spans="1:7" ht="14.25">
      <c r="A455" s="261"/>
      <c r="B455" s="679" t="s">
        <v>316</v>
      </c>
      <c r="D455" s="1867" t="s">
        <v>1331</v>
      </c>
      <c r="E455" s="1867"/>
      <c r="F455" s="1867"/>
      <c r="G455" s="12"/>
    </row>
    <row r="456" spans="1:7" ht="14.25">
      <c r="A456" s="261"/>
      <c r="B456" s="261"/>
      <c r="D456" s="1867"/>
      <c r="E456" s="1867"/>
      <c r="F456" s="1867"/>
      <c r="G456" s="12"/>
    </row>
    <row r="457" spans="1:7" ht="14.25">
      <c r="A457" s="261"/>
      <c r="D457" s="1867"/>
      <c r="E457" s="1867"/>
      <c r="F457" s="1867"/>
      <c r="G457" s="12"/>
    </row>
    <row r="458" spans="1:7" ht="14.25">
      <c r="A458" s="261"/>
      <c r="B458" s="261"/>
      <c r="D458" s="678"/>
      <c r="E458" s="678"/>
      <c r="F458" s="678"/>
      <c r="G458" s="12"/>
    </row>
    <row r="459" spans="1:7" ht="14.25">
      <c r="A459" s="261"/>
      <c r="B459" s="718" t="s">
        <v>316</v>
      </c>
      <c r="D459" s="1879" t="s">
        <v>1332</v>
      </c>
      <c r="E459" s="1879"/>
      <c r="F459" s="1879"/>
      <c r="G459" s="12"/>
    </row>
    <row r="460" spans="1:7" ht="14.25">
      <c r="A460" s="261"/>
      <c r="B460" s="261"/>
      <c r="D460" s="730"/>
      <c r="E460" s="6"/>
      <c r="F460" s="6"/>
      <c r="G460" s="12"/>
    </row>
    <row r="461" spans="1:7" ht="14.25">
      <c r="A461" s="261"/>
      <c r="B461" s="679" t="s">
        <v>316</v>
      </c>
      <c r="D461" s="1866" t="s">
        <v>1333</v>
      </c>
      <c r="E461" s="1866"/>
      <c r="F461" s="1866"/>
      <c r="G461" s="12"/>
    </row>
    <row r="462" spans="1:7" ht="14.25">
      <c r="A462" s="261"/>
      <c r="D462" s="1866"/>
      <c r="E462" s="1866"/>
      <c r="F462" s="1866"/>
      <c r="G462" s="12"/>
    </row>
    <row r="463" spans="1:7">
      <c r="A463" s="23"/>
      <c r="B463" s="675"/>
      <c r="D463" s="733"/>
      <c r="E463" s="6"/>
      <c r="F463" s="6"/>
      <c r="G463" s="12"/>
    </row>
    <row r="464" spans="1:7">
      <c r="A464" s="23"/>
      <c r="B464" s="718" t="s">
        <v>316</v>
      </c>
      <c r="D464" s="1879" t="s">
        <v>1334</v>
      </c>
      <c r="E464" s="1879"/>
      <c r="F464" s="1879"/>
      <c r="G464" s="12"/>
    </row>
    <row r="465" spans="1:7" ht="14.25">
      <c r="A465" s="261"/>
      <c r="B465" s="261"/>
      <c r="D465" s="135"/>
    </row>
    <row r="466" spans="1:7">
      <c r="A466" s="1886" t="s">
        <v>1169</v>
      </c>
      <c r="B466" s="1886"/>
      <c r="C466" s="1886"/>
      <c r="D466" s="1886"/>
      <c r="E466" s="1886"/>
      <c r="F466" s="1886"/>
      <c r="G466" s="1886"/>
    </row>
    <row r="467" spans="1:7" customFormat="1" ht="12" customHeight="1">
      <c r="A467" s="261"/>
      <c r="B467" s="261"/>
      <c r="C467" s="10"/>
      <c r="D467" s="151"/>
      <c r="E467" s="149"/>
      <c r="F467" s="149"/>
      <c r="G467" s="149"/>
    </row>
    <row r="468" spans="1:7" customFormat="1">
      <c r="A468" s="273"/>
      <c r="B468" s="273"/>
      <c r="C468" s="312"/>
      <c r="D468" s="1887" t="s">
        <v>851</v>
      </c>
      <c r="E468" s="1887"/>
      <c r="F468" s="1887"/>
      <c r="G468" s="182"/>
    </row>
    <row r="469" spans="1:7" customFormat="1" ht="13.15" customHeight="1">
      <c r="A469" s="260"/>
      <c r="B469" s="260"/>
      <c r="C469" s="313"/>
      <c r="D469" s="1888" t="s">
        <v>1212</v>
      </c>
      <c r="E469" s="1888"/>
      <c r="F469" s="1888"/>
      <c r="G469" s="149"/>
    </row>
    <row r="470" spans="1:7" customFormat="1">
      <c r="A470" s="260"/>
      <c r="B470" s="260"/>
      <c r="C470" s="313"/>
      <c r="D470" s="1888"/>
      <c r="E470" s="1888"/>
      <c r="F470" s="1888"/>
      <c r="G470" s="149"/>
    </row>
    <row r="471" spans="1:7" customFormat="1">
      <c r="A471" s="260"/>
      <c r="B471" s="260"/>
      <c r="C471" s="313"/>
      <c r="D471" s="1888"/>
      <c r="E471" s="1888"/>
      <c r="F471" s="1888"/>
      <c r="G471" s="149"/>
    </row>
    <row r="472" spans="1:7" customFormat="1">
      <c r="A472" s="260"/>
      <c r="B472" s="260"/>
      <c r="C472" s="313"/>
      <c r="D472" s="1888"/>
      <c r="E472" s="1888"/>
      <c r="F472" s="1888"/>
      <c r="G472" s="149"/>
    </row>
    <row r="473" spans="1:7" customFormat="1">
      <c r="A473" s="260"/>
      <c r="B473" s="260"/>
      <c r="C473" s="313"/>
      <c r="D473" s="1888"/>
      <c r="E473" s="1888"/>
      <c r="F473" s="1888"/>
      <c r="G473" s="149"/>
    </row>
    <row r="474" spans="1:7" customFormat="1">
      <c r="A474" s="260"/>
      <c r="B474" s="260"/>
      <c r="C474" s="313"/>
      <c r="D474" s="471"/>
      <c r="E474" s="149"/>
      <c r="F474" s="151"/>
      <c r="G474" s="149"/>
    </row>
    <row r="475" spans="1:7" customFormat="1" ht="14.45" customHeight="1">
      <c r="A475" s="261"/>
      <c r="B475" s="679" t="s">
        <v>316</v>
      </c>
      <c r="C475" s="313"/>
      <c r="D475" s="1928" t="s">
        <v>1203</v>
      </c>
      <c r="E475" s="1928"/>
      <c r="F475" s="1928"/>
      <c r="G475" s="149"/>
    </row>
    <row r="476" spans="1:7" customFormat="1">
      <c r="A476" s="260"/>
      <c r="B476" s="260"/>
      <c r="C476" s="313"/>
      <c r="D476" s="1928"/>
      <c r="E476" s="1928"/>
      <c r="F476" s="1928"/>
      <c r="G476" s="149"/>
    </row>
    <row r="477" spans="1:7" s="680" customFormat="1">
      <c r="A477" s="260"/>
      <c r="B477" s="260"/>
      <c r="C477" s="313"/>
      <c r="D477" s="1928"/>
      <c r="E477" s="1928"/>
      <c r="F477" s="1928"/>
      <c r="G477" s="149"/>
    </row>
    <row r="478" spans="1:7" s="680" customFormat="1">
      <c r="A478" s="260"/>
      <c r="B478" s="260"/>
      <c r="C478" s="313"/>
      <c r="D478" s="1928"/>
      <c r="E478" s="1928"/>
      <c r="F478" s="1928"/>
      <c r="G478" s="149"/>
    </row>
    <row r="479" spans="1:7" customFormat="1">
      <c r="A479" s="260"/>
      <c r="B479" s="260"/>
      <c r="C479" s="313"/>
      <c r="D479" s="1928"/>
      <c r="E479" s="1928"/>
      <c r="F479" s="1928"/>
      <c r="G479" s="149"/>
    </row>
    <row r="480" spans="1:7" customFormat="1">
      <c r="A480" s="260"/>
      <c r="B480" s="260"/>
      <c r="C480" s="313"/>
      <c r="D480" s="443"/>
      <c r="E480" s="149"/>
      <c r="F480" s="151"/>
      <c r="G480" s="149"/>
    </row>
    <row r="481" spans="1:7" customFormat="1" ht="14.45" customHeight="1">
      <c r="A481" s="261"/>
      <c r="B481" s="679" t="s">
        <v>316</v>
      </c>
      <c r="C481" s="313"/>
      <c r="D481" s="1928" t="s">
        <v>1206</v>
      </c>
      <c r="E481" s="1928"/>
      <c r="F481" s="1928"/>
      <c r="G481" s="149"/>
    </row>
    <row r="482" spans="1:7" customFormat="1">
      <c r="A482" s="260"/>
      <c r="B482" s="260"/>
      <c r="C482" s="313"/>
      <c r="D482" s="1928"/>
      <c r="E482" s="1928"/>
      <c r="F482" s="1928"/>
      <c r="G482" s="149"/>
    </row>
    <row r="483" spans="1:7" s="680" customFormat="1">
      <c r="A483" s="260"/>
      <c r="B483" s="260"/>
      <c r="C483" s="313"/>
      <c r="D483" s="1928"/>
      <c r="E483" s="1928"/>
      <c r="F483" s="1928"/>
      <c r="G483" s="149"/>
    </row>
    <row r="484" spans="1:7" customFormat="1">
      <c r="A484" s="260"/>
      <c r="B484" s="260"/>
      <c r="C484" s="313"/>
      <c r="D484" s="1928"/>
      <c r="E484" s="1928"/>
      <c r="F484" s="1928"/>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8" t="s">
        <v>1204</v>
      </c>
      <c r="E486" s="1928"/>
      <c r="F486" s="1928"/>
      <c r="G486" s="149"/>
    </row>
    <row r="487" spans="1:7" customFormat="1">
      <c r="A487" s="260"/>
      <c r="B487" s="260"/>
      <c r="C487" s="313"/>
      <c r="D487" s="1928"/>
      <c r="E487" s="1928"/>
      <c r="F487" s="1928"/>
      <c r="G487" s="149"/>
    </row>
    <row r="488" spans="1:7" customFormat="1">
      <c r="A488" s="260"/>
      <c r="B488" s="260"/>
      <c r="C488" s="313"/>
      <c r="D488" s="1928"/>
      <c r="E488" s="1928"/>
      <c r="F488" s="1928"/>
      <c r="G488" s="149"/>
    </row>
    <row r="489" spans="1:7" s="680" customFormat="1">
      <c r="A489" s="260"/>
      <c r="B489" s="260"/>
      <c r="C489" s="313"/>
      <c r="D489" s="700"/>
      <c r="E489" s="700"/>
      <c r="F489" s="700"/>
      <c r="G489" s="149"/>
    </row>
    <row r="490" spans="1:7" customFormat="1" ht="14.45" customHeight="1">
      <c r="A490" s="261"/>
      <c r="B490" s="679" t="s">
        <v>316</v>
      </c>
      <c r="C490" s="313"/>
      <c r="D490" s="1928" t="s">
        <v>1205</v>
      </c>
      <c r="E490" s="1928"/>
      <c r="F490" s="1928"/>
      <c r="G490" s="149"/>
    </row>
    <row r="491" spans="1:7" customFormat="1">
      <c r="A491" s="260"/>
      <c r="B491" s="260"/>
      <c r="C491" s="313"/>
      <c r="D491" s="1928"/>
      <c r="E491" s="1928"/>
      <c r="F491" s="1928"/>
      <c r="G491" s="149"/>
    </row>
    <row r="492" spans="1:7" customFormat="1">
      <c r="A492" s="260"/>
      <c r="B492" s="260"/>
      <c r="C492" s="313"/>
      <c r="D492" s="1928"/>
      <c r="E492" s="1928"/>
      <c r="F492" s="1928"/>
      <c r="G492" s="149"/>
    </row>
    <row r="493" spans="1:7" customFormat="1">
      <c r="A493" s="260"/>
      <c r="B493" s="260"/>
      <c r="C493" s="313"/>
      <c r="D493" s="1928"/>
      <c r="E493" s="1928"/>
      <c r="F493" s="1928"/>
      <c r="G493" s="149"/>
    </row>
    <row r="494" spans="1:7" customFormat="1">
      <c r="A494" s="260"/>
      <c r="B494" s="260"/>
      <c r="C494" s="313"/>
      <c r="D494" s="1928"/>
      <c r="E494" s="1928"/>
      <c r="F494" s="1928"/>
      <c r="G494" s="149"/>
    </row>
    <row r="495" spans="1:7" customFormat="1">
      <c r="A495" s="260"/>
      <c r="B495" s="260"/>
      <c r="C495" s="313"/>
      <c r="D495" s="1928"/>
      <c r="E495" s="1928"/>
      <c r="F495" s="1928"/>
      <c r="G495" s="149"/>
    </row>
    <row r="496" spans="1:7" customFormat="1">
      <c r="A496" s="260"/>
      <c r="B496" s="260"/>
      <c r="C496" s="313"/>
      <c r="D496" s="1928"/>
      <c r="E496" s="1928"/>
      <c r="F496" s="1928"/>
      <c r="G496" s="149"/>
    </row>
    <row r="497" spans="1:7" customFormat="1">
      <c r="A497" s="487"/>
      <c r="B497" s="487"/>
      <c r="C497" s="486"/>
      <c r="D497" s="1928"/>
      <c r="E497" s="1928"/>
      <c r="F497" s="1928"/>
      <c r="G497" s="149"/>
    </row>
    <row r="498" spans="1:7" customFormat="1">
      <c r="A498" s="487"/>
      <c r="B498" s="487"/>
      <c r="C498" s="486"/>
      <c r="D498" s="1928"/>
      <c r="E498" s="1928"/>
      <c r="F498" s="1928"/>
      <c r="G498" s="149"/>
    </row>
    <row r="499" spans="1:7" customFormat="1">
      <c r="A499" s="487"/>
      <c r="B499" s="487"/>
      <c r="C499" s="486"/>
      <c r="D499" s="443"/>
      <c r="E499" s="149"/>
      <c r="F499" s="151"/>
      <c r="G499" s="149"/>
    </row>
    <row r="500" spans="1:7" customFormat="1" ht="13.15" customHeight="1">
      <c r="A500" s="487"/>
      <c r="B500" s="679" t="s">
        <v>316</v>
      </c>
      <c r="C500" s="486"/>
      <c r="D500" s="1878" t="s">
        <v>1349</v>
      </c>
      <c r="E500" s="1878"/>
      <c r="F500" s="1878"/>
      <c r="G500" s="149"/>
    </row>
    <row r="501" spans="1:7" customFormat="1">
      <c r="A501" s="487"/>
      <c r="B501" s="487"/>
      <c r="C501" s="486"/>
      <c r="D501" s="1878"/>
      <c r="E501" s="1878"/>
      <c r="F501" s="1878"/>
      <c r="G501" s="149"/>
    </row>
    <row r="502" spans="1:7" customFormat="1">
      <c r="A502" s="487"/>
      <c r="B502" s="487"/>
      <c r="C502" s="486"/>
      <c r="D502" s="1878"/>
      <c r="E502" s="1878"/>
      <c r="F502" s="1878"/>
      <c r="G502" s="149"/>
    </row>
    <row r="503" spans="1:7" customFormat="1">
      <c r="A503" s="487"/>
      <c r="B503" s="487"/>
      <c r="C503" s="486"/>
      <c r="D503" s="1878"/>
      <c r="E503" s="1878"/>
      <c r="F503" s="1878"/>
      <c r="G503" s="149"/>
    </row>
    <row r="504" spans="1:7" customFormat="1">
      <c r="A504" s="260"/>
      <c r="B504" s="260"/>
      <c r="C504" s="313"/>
      <c r="D504" s="1878"/>
      <c r="E504" s="1878"/>
      <c r="F504" s="1878"/>
      <c r="G504" s="149"/>
    </row>
    <row r="505" spans="1:7" s="717" customFormat="1">
      <c r="A505" s="720"/>
      <c r="B505" s="720"/>
      <c r="C505" s="313"/>
      <c r="D505" s="741"/>
      <c r="E505" s="741"/>
      <c r="F505" s="741"/>
      <c r="G505" s="149"/>
    </row>
    <row r="506" spans="1:7" customFormat="1" ht="14.45" customHeight="1">
      <c r="A506" s="261"/>
      <c r="B506" s="679" t="s">
        <v>316</v>
      </c>
      <c r="C506" s="10"/>
      <c r="D506" s="1928" t="s">
        <v>1207</v>
      </c>
      <c r="E506" s="1928"/>
      <c r="F506" s="1928"/>
      <c r="G506" s="149"/>
    </row>
    <row r="507" spans="1:7" customFormat="1">
      <c r="A507" s="132"/>
      <c r="B507" s="676"/>
      <c r="C507" s="10"/>
      <c r="D507" s="1928"/>
      <c r="E507" s="1928"/>
      <c r="F507" s="1928"/>
      <c r="G507" s="149"/>
    </row>
    <row r="508" spans="1:7" customFormat="1">
      <c r="A508" s="132"/>
      <c r="B508" s="676"/>
      <c r="C508" s="10"/>
      <c r="D508" s="1928"/>
      <c r="E508" s="1928"/>
      <c r="F508" s="1928"/>
      <c r="G508" s="149"/>
    </row>
    <row r="509" spans="1:7" customFormat="1" ht="12" customHeight="1">
      <c r="A509" s="135"/>
      <c r="B509" s="135"/>
      <c r="C509" s="315"/>
      <c r="D509" s="135"/>
      <c r="E509" s="149"/>
      <c r="F509" s="314"/>
      <c r="G509" s="149"/>
    </row>
    <row r="510" spans="1:7">
      <c r="A510" s="1886" t="s">
        <v>1170</v>
      </c>
      <c r="B510" s="1886"/>
      <c r="C510" s="1886"/>
      <c r="D510" s="1886"/>
      <c r="E510" s="1886"/>
      <c r="F510" s="1886"/>
      <c r="G510" s="1886"/>
    </row>
    <row r="511" spans="1:7">
      <c r="A511" s="135"/>
      <c r="B511" s="135"/>
      <c r="C511" s="266"/>
      <c r="F511" s="134"/>
    </row>
    <row r="512" spans="1:7">
      <c r="B512" s="1914" t="s">
        <v>470</v>
      </c>
      <c r="C512" s="1914"/>
      <c r="D512" s="1914"/>
      <c r="E512" s="1914"/>
      <c r="F512" s="1914"/>
    </row>
    <row r="513" spans="1:7">
      <c r="A513" s="135"/>
      <c r="B513" s="135"/>
      <c r="C513" s="266"/>
      <c r="D513" s="135"/>
      <c r="F513" s="135"/>
    </row>
    <row r="514" spans="1:7">
      <c r="A514" s="1936" t="s">
        <v>1171</v>
      </c>
      <c r="B514" s="1936"/>
      <c r="C514" s="1936"/>
      <c r="D514" s="1936"/>
      <c r="E514" s="1936"/>
      <c r="F514" s="1936"/>
      <c r="G514" s="1936"/>
    </row>
    <row r="515" spans="1:7">
      <c r="A515" s="135"/>
      <c r="B515" s="135"/>
      <c r="C515" s="266"/>
      <c r="D515" s="135"/>
      <c r="F515" s="135"/>
    </row>
    <row r="516" spans="1:7">
      <c r="C516" s="266"/>
      <c r="D516" s="1889" t="s">
        <v>720</v>
      </c>
      <c r="E516" s="1889"/>
      <c r="F516" s="1889"/>
    </row>
    <row r="517" spans="1:7" s="682" customFormat="1">
      <c r="A517" s="699"/>
      <c r="B517" s="699"/>
      <c r="C517" s="266"/>
      <c r="D517" s="1879" t="s">
        <v>1228</v>
      </c>
      <c r="E517" s="1879"/>
      <c r="F517" s="1879"/>
      <c r="G517" s="7"/>
    </row>
    <row r="518" spans="1:7" s="682" customFormat="1">
      <c r="A518" s="699"/>
      <c r="B518" s="699"/>
      <c r="C518" s="266"/>
      <c r="D518" s="704"/>
      <c r="E518" s="704"/>
      <c r="F518" s="704"/>
      <c r="G518" s="7"/>
    </row>
    <row r="519" spans="1:7" ht="13.15" customHeight="1">
      <c r="A519" s="261"/>
      <c r="B519" s="679" t="s">
        <v>316</v>
      </c>
      <c r="C519" s="266"/>
      <c r="D519" s="1879" t="s">
        <v>949</v>
      </c>
      <c r="E519" s="1879"/>
      <c r="F519" s="1879"/>
      <c r="G519" s="12"/>
    </row>
    <row r="520" spans="1:7" ht="13.15" customHeight="1">
      <c r="A520" s="266"/>
      <c r="B520" s="266"/>
      <c r="C520" s="266"/>
      <c r="D520" s="704"/>
      <c r="E520" s="677"/>
      <c r="F520" s="677"/>
      <c r="G520" s="12"/>
    </row>
    <row r="521" spans="1:7" ht="14.25">
      <c r="A521" s="261"/>
      <c r="B521" s="679" t="s">
        <v>316</v>
      </c>
      <c r="C521" s="266"/>
      <c r="D521" s="1866" t="s">
        <v>1229</v>
      </c>
      <c r="E521" s="1866"/>
      <c r="F521" s="1866"/>
      <c r="G521" s="12"/>
    </row>
    <row r="522" spans="1:7">
      <c r="A522" s="266"/>
      <c r="B522" s="266"/>
      <c r="C522" s="266"/>
      <c r="D522" s="1866"/>
      <c r="E522" s="1866"/>
      <c r="F522" s="1866"/>
      <c r="G522" s="12"/>
    </row>
    <row r="523" spans="1:7">
      <c r="A523" s="266"/>
      <c r="B523" s="266"/>
      <c r="C523" s="266"/>
      <c r="D523" s="135"/>
      <c r="E523" s="135"/>
      <c r="F523" s="135"/>
      <c r="G523" s="12"/>
    </row>
    <row r="524" spans="1:7" ht="14.25">
      <c r="A524" s="261"/>
      <c r="B524" s="679" t="s">
        <v>316</v>
      </c>
      <c r="C524" s="266"/>
      <c r="D524" s="1866" t="s">
        <v>1230</v>
      </c>
      <c r="E524" s="1866"/>
      <c r="F524" s="1866"/>
      <c r="G524" s="12"/>
    </row>
    <row r="525" spans="1:7">
      <c r="A525" s="266"/>
      <c r="B525" s="266"/>
      <c r="C525" s="266"/>
      <c r="D525" s="1866"/>
      <c r="E525" s="1866"/>
      <c r="F525" s="1866"/>
      <c r="G525" s="12"/>
    </row>
    <row r="526" spans="1:7">
      <c r="A526" s="266"/>
      <c r="B526" s="266"/>
      <c r="C526" s="266"/>
      <c r="D526" s="135"/>
      <c r="E526" s="135"/>
      <c r="F526" s="135"/>
      <c r="G526" s="12"/>
    </row>
    <row r="527" spans="1:7" ht="14.25">
      <c r="A527" s="261"/>
      <c r="B527" s="679" t="s">
        <v>316</v>
      </c>
      <c r="C527" s="266"/>
      <c r="D527" s="1866" t="s">
        <v>1231</v>
      </c>
      <c r="E527" s="1866"/>
      <c r="F527" s="1866"/>
      <c r="G527" s="12"/>
    </row>
    <row r="528" spans="1:7">
      <c r="A528" s="266"/>
      <c r="B528" s="266"/>
      <c r="C528" s="266"/>
      <c r="D528" s="1866"/>
      <c r="E528" s="1866"/>
      <c r="F528" s="1866"/>
      <c r="G528" s="12"/>
    </row>
    <row r="529" spans="1:7">
      <c r="A529" s="266"/>
      <c r="B529" s="266"/>
      <c r="C529" s="266"/>
      <c r="D529" s="135"/>
      <c r="E529" s="135"/>
      <c r="F529" s="135"/>
      <c r="G529" s="12"/>
    </row>
    <row r="530" spans="1:7" ht="14.25">
      <c r="A530" s="261"/>
      <c r="B530" s="679" t="s">
        <v>316</v>
      </c>
      <c r="C530" s="266"/>
      <c r="D530" s="1866" t="s">
        <v>1232</v>
      </c>
      <c r="E530" s="1866"/>
      <c r="F530" s="1866"/>
      <c r="G530" s="12"/>
    </row>
    <row r="531" spans="1:7">
      <c r="A531" s="266"/>
      <c r="B531" s="266"/>
      <c r="C531" s="266"/>
      <c r="D531" s="1866"/>
      <c r="E531" s="1866"/>
      <c r="F531" s="1866"/>
      <c r="G531" s="12"/>
    </row>
    <row r="532" spans="1:7">
      <c r="A532" s="266"/>
      <c r="B532" s="266"/>
      <c r="C532" s="266"/>
      <c r="D532" s="1866"/>
      <c r="E532" s="1866"/>
      <c r="F532" s="1866"/>
      <c r="G532" s="12"/>
    </row>
    <row r="533" spans="1:7">
      <c r="A533" s="266"/>
      <c r="B533" s="266"/>
      <c r="C533" s="266"/>
      <c r="D533" s="135"/>
      <c r="E533" s="135"/>
      <c r="F533" s="135"/>
    </row>
    <row r="534" spans="1:7" ht="14.25">
      <c r="A534" s="261"/>
      <c r="B534" s="679" t="s">
        <v>316</v>
      </c>
      <c r="C534" s="266"/>
      <c r="D534" s="1901" t="s">
        <v>1350</v>
      </c>
      <c r="E534" s="1901"/>
      <c r="F534" s="1901"/>
    </row>
    <row r="535" spans="1:7">
      <c r="A535" s="266"/>
      <c r="B535" s="266"/>
      <c r="C535" s="266"/>
      <c r="D535" s="1901"/>
      <c r="E535" s="1901"/>
      <c r="F535" s="1901"/>
    </row>
    <row r="536" spans="1:7">
      <c r="A536" s="266"/>
      <c r="B536" s="266"/>
      <c r="C536" s="266"/>
      <c r="D536" s="135"/>
      <c r="E536" s="135"/>
      <c r="F536" s="135"/>
    </row>
    <row r="537" spans="1:7" ht="14.25">
      <c r="A537" s="261"/>
      <c r="B537" s="679" t="s">
        <v>316</v>
      </c>
      <c r="C537" s="266"/>
      <c r="D537" s="1901" t="s">
        <v>1233</v>
      </c>
      <c r="E537" s="1901"/>
      <c r="F537" s="1901"/>
    </row>
    <row r="538" spans="1:7">
      <c r="A538" s="266"/>
      <c r="B538" s="266"/>
      <c r="C538" s="266"/>
      <c r="D538" s="1901"/>
      <c r="E538" s="1901"/>
      <c r="F538" s="1901"/>
    </row>
    <row r="539" spans="1:7">
      <c r="A539" s="266"/>
      <c r="B539" s="266"/>
      <c r="C539" s="266"/>
      <c r="D539" s="135"/>
      <c r="E539" s="135"/>
      <c r="F539" s="135"/>
    </row>
    <row r="540" spans="1:7" ht="14.25">
      <c r="A540" s="261"/>
      <c r="B540" s="679" t="s">
        <v>316</v>
      </c>
      <c r="C540" s="266"/>
      <c r="D540" s="1866" t="s">
        <v>1234</v>
      </c>
      <c r="E540" s="1866"/>
      <c r="F540" s="1866"/>
    </row>
    <row r="541" spans="1:7">
      <c r="A541" s="266"/>
      <c r="B541" s="266"/>
      <c r="C541" s="266"/>
      <c r="D541" s="1866"/>
      <c r="E541" s="1866"/>
      <c r="F541" s="1866"/>
      <c r="G541" s="57"/>
    </row>
    <row r="542" spans="1:7">
      <c r="A542" s="266"/>
      <c r="B542" s="266"/>
      <c r="C542" s="266"/>
      <c r="D542" s="135"/>
      <c r="E542" s="135"/>
      <c r="F542" s="135"/>
      <c r="G542" s="57"/>
    </row>
    <row r="543" spans="1:7" ht="14.25">
      <c r="A543" s="261"/>
      <c r="B543" s="679" t="s">
        <v>316</v>
      </c>
      <c r="C543" s="266"/>
      <c r="D543" s="1879" t="s">
        <v>1235</v>
      </c>
      <c r="E543" s="1879"/>
      <c r="F543" s="1879"/>
      <c r="G543" s="57"/>
    </row>
    <row r="544" spans="1:7">
      <c r="A544" s="23"/>
      <c r="B544" s="675"/>
      <c r="C544" s="266"/>
      <c r="D544" s="1879" t="s">
        <v>881</v>
      </c>
      <c r="E544" s="1879"/>
      <c r="F544" s="1879"/>
      <c r="G544" s="57"/>
    </row>
    <row r="545" spans="1:7">
      <c r="A545" s="23"/>
      <c r="B545" s="675"/>
      <c r="C545" s="266"/>
      <c r="D545" s="6"/>
      <c r="E545" s="1897" t="s">
        <v>1236</v>
      </c>
      <c r="F545" s="1897"/>
      <c r="G545" s="57"/>
    </row>
    <row r="546" spans="1:7" ht="14.25">
      <c r="A546" s="261"/>
      <c r="B546" s="261"/>
      <c r="C546" s="266"/>
      <c r="E546" s="135"/>
      <c r="F546" s="135"/>
      <c r="G546" s="57"/>
    </row>
    <row r="547" spans="1:7" ht="14.25">
      <c r="A547" s="261"/>
      <c r="B547" s="679" t="s">
        <v>316</v>
      </c>
      <c r="C547" s="266"/>
      <c r="D547" s="1941" t="s">
        <v>1237</v>
      </c>
      <c r="E547" s="1941"/>
      <c r="F547" s="1941"/>
      <c r="G547" s="57"/>
    </row>
    <row r="548" spans="1:7">
      <c r="C548" s="266"/>
      <c r="D548" s="1866" t="s">
        <v>1238</v>
      </c>
      <c r="E548" s="1866"/>
      <c r="F548" s="1866"/>
      <c r="G548" s="57"/>
    </row>
    <row r="549" spans="1:7">
      <c r="A549" s="266"/>
      <c r="B549" s="266"/>
      <c r="C549" s="266"/>
      <c r="D549" s="1866"/>
      <c r="E549" s="1866"/>
      <c r="F549" s="1866"/>
      <c r="G549" s="57"/>
    </row>
    <row r="550" spans="1:7">
      <c r="A550" s="266"/>
      <c r="B550" s="266"/>
      <c r="C550" s="266"/>
      <c r="D550" s="1866"/>
      <c r="E550" s="1866"/>
      <c r="F550" s="1866"/>
      <c r="G550" s="57"/>
    </row>
    <row r="551" spans="1:7">
      <c r="A551" s="266"/>
      <c r="B551" s="266"/>
      <c r="C551" s="266"/>
      <c r="D551" s="135"/>
      <c r="E551" s="135"/>
      <c r="F551" s="135"/>
      <c r="G551" s="57"/>
    </row>
    <row r="552" spans="1:7" ht="14.25">
      <c r="A552" s="261"/>
      <c r="B552" s="679" t="s">
        <v>316</v>
      </c>
      <c r="C552" s="266"/>
      <c r="D552" s="1866" t="s">
        <v>1239</v>
      </c>
      <c r="E552" s="1866"/>
      <c r="F552" s="1866"/>
      <c r="G552" s="57"/>
    </row>
    <row r="553" spans="1:7" ht="14.25">
      <c r="A553" s="261"/>
      <c r="B553" s="261"/>
      <c r="C553" s="266"/>
      <c r="D553" s="1866"/>
      <c r="E553" s="1866"/>
      <c r="F553" s="1866"/>
      <c r="G553" s="57"/>
    </row>
    <row r="554" spans="1:7" ht="14.25">
      <c r="A554" s="261"/>
      <c r="B554" s="261"/>
      <c r="C554" s="266"/>
      <c r="D554" s="1866"/>
      <c r="E554" s="1866"/>
      <c r="F554" s="1866"/>
      <c r="G554" s="57"/>
    </row>
    <row r="555" spans="1:7" ht="14.25">
      <c r="A555" s="261"/>
      <c r="B555" s="261"/>
      <c r="C555" s="266"/>
      <c r="D555" s="1866"/>
      <c r="E555" s="1866"/>
      <c r="F555" s="1866"/>
      <c r="G555" s="57"/>
    </row>
    <row r="556" spans="1:7" ht="14.25">
      <c r="A556" s="261"/>
      <c r="B556" s="261"/>
      <c r="C556" s="266"/>
      <c r="D556" s="135"/>
      <c r="E556" s="135"/>
      <c r="F556" s="135"/>
      <c r="G556" s="57"/>
    </row>
    <row r="557" spans="1:7">
      <c r="A557" s="1886" t="s">
        <v>1172</v>
      </c>
      <c r="B557" s="1886"/>
      <c r="C557" s="1886"/>
      <c r="D557" s="1886"/>
      <c r="E557" s="1886"/>
      <c r="F557" s="1886"/>
      <c r="G557" s="1886"/>
    </row>
    <row r="558" spans="1:7">
      <c r="A558" s="266"/>
      <c r="B558" s="266"/>
      <c r="C558" s="266"/>
      <c r="E558" s="135"/>
      <c r="F558" s="135"/>
      <c r="G558" s="57"/>
    </row>
    <row r="559" spans="1:7" ht="12.75" customHeight="1">
      <c r="C559" s="255"/>
      <c r="D559" s="1915" t="s">
        <v>216</v>
      </c>
      <c r="E559" s="1915"/>
      <c r="F559" s="1915"/>
      <c r="G559" s="57"/>
    </row>
    <row r="560" spans="1:7">
      <c r="A560" s="260"/>
      <c r="B560" s="260"/>
      <c r="C560" s="260"/>
      <c r="D560" s="1909" t="s">
        <v>1188</v>
      </c>
      <c r="E560" s="1909"/>
      <c r="F560" s="1909"/>
      <c r="G560" s="57"/>
    </row>
    <row r="561" spans="1:7">
      <c r="A561" s="12"/>
      <c r="B561" s="12"/>
      <c r="C561" s="260"/>
      <c r="D561" s="377"/>
      <c r="G561" s="57"/>
    </row>
    <row r="562" spans="1:7">
      <c r="A562" s="260"/>
      <c r="B562" s="679" t="s">
        <v>316</v>
      </c>
      <c r="D562" s="1909" t="s">
        <v>955</v>
      </c>
      <c r="E562" s="1909"/>
      <c r="F562" s="1909"/>
      <c r="G562" s="57"/>
    </row>
    <row r="563" spans="1:7">
      <c r="A563" s="23"/>
      <c r="B563" s="675"/>
      <c r="D563" s="325"/>
    </row>
    <row r="564" spans="1:7">
      <c r="A564" s="23"/>
      <c r="B564" s="679" t="s">
        <v>316</v>
      </c>
      <c r="D564" s="1885" t="s">
        <v>1189</v>
      </c>
      <c r="E564" s="1885"/>
      <c r="F564" s="1885"/>
    </row>
    <row r="565" spans="1:7">
      <c r="A565" s="23"/>
      <c r="B565" s="675"/>
      <c r="D565" s="1885"/>
      <c r="E565" s="1885"/>
      <c r="F565" s="1885"/>
    </row>
    <row r="566" spans="1:7">
      <c r="A566" s="23"/>
      <c r="B566" s="688"/>
      <c r="D566" s="1885"/>
      <c r="E566" s="1885"/>
      <c r="F566" s="1885"/>
    </row>
    <row r="567" spans="1:7">
      <c r="A567" s="23"/>
      <c r="B567" s="675"/>
      <c r="D567" s="478"/>
    </row>
    <row r="568" spans="1:7" s="682" customFormat="1">
      <c r="A568" s="688"/>
      <c r="B568" s="679" t="s">
        <v>316</v>
      </c>
      <c r="C568" s="689"/>
      <c r="D568" s="1885" t="s">
        <v>1190</v>
      </c>
      <c r="E568" s="1885"/>
      <c r="F568" s="1885"/>
      <c r="G568" s="7"/>
    </row>
    <row r="569" spans="1:7" s="682" customFormat="1">
      <c r="A569" s="688"/>
      <c r="B569" s="688"/>
      <c r="C569" s="689"/>
      <c r="D569" s="1885"/>
      <c r="E569" s="1885"/>
      <c r="F569" s="1885"/>
      <c r="G569" s="7"/>
    </row>
    <row r="570" spans="1:7" s="682" customFormat="1">
      <c r="A570" s="688"/>
      <c r="B570" s="688"/>
      <c r="C570" s="689"/>
      <c r="D570" s="1885"/>
      <c r="E570" s="1885"/>
      <c r="F570" s="1885"/>
      <c r="G570" s="7"/>
    </row>
    <row r="571" spans="1:7" s="682" customFormat="1">
      <c r="A571" s="688"/>
      <c r="B571" s="688"/>
      <c r="C571" s="689"/>
      <c r="D571" s="1885"/>
      <c r="E571" s="1885"/>
      <c r="F571" s="1885"/>
      <c r="G571" s="7"/>
    </row>
    <row r="572" spans="1:7" s="682" customFormat="1">
      <c r="A572" s="688"/>
      <c r="B572" s="688"/>
      <c r="C572" s="689"/>
      <c r="D572" s="694"/>
      <c r="E572" s="694"/>
      <c r="F572" s="694"/>
      <c r="G572" s="7"/>
    </row>
    <row r="573" spans="1:7">
      <c r="A573" s="23"/>
      <c r="B573" s="679" t="s">
        <v>316</v>
      </c>
      <c r="D573" s="1885" t="s">
        <v>1191</v>
      </c>
      <c r="E573" s="1885"/>
      <c r="F573" s="1885"/>
    </row>
    <row r="574" spans="1:7">
      <c r="A574" s="23"/>
      <c r="B574" s="675"/>
      <c r="D574" s="1885"/>
      <c r="E574" s="1885"/>
      <c r="F574" s="1885"/>
    </row>
    <row r="575" spans="1:7">
      <c r="A575" s="23"/>
      <c r="B575" s="675"/>
      <c r="D575" s="377"/>
    </row>
    <row r="576" spans="1:7" s="682" customFormat="1">
      <c r="A576" s="688"/>
      <c r="B576" s="679" t="s">
        <v>316</v>
      </c>
      <c r="C576" s="689"/>
      <c r="D576" s="1909" t="s">
        <v>1192</v>
      </c>
      <c r="E576" s="1909"/>
      <c r="F576" s="1909"/>
      <c r="G576" s="7"/>
    </row>
    <row r="577" spans="1:7" s="682" customFormat="1">
      <c r="A577" s="688"/>
      <c r="B577" s="688"/>
      <c r="C577" s="689"/>
      <c r="D577" s="1909"/>
      <c r="E577" s="1909"/>
      <c r="F577" s="1909"/>
      <c r="G577" s="7"/>
    </row>
    <row r="578" spans="1:7" s="682" customFormat="1">
      <c r="A578" s="688"/>
      <c r="B578" s="688"/>
      <c r="C578" s="689"/>
      <c r="D578" s="377"/>
      <c r="E578" s="7"/>
      <c r="F578" s="7"/>
      <c r="G578" s="7"/>
    </row>
    <row r="579" spans="1:7" ht="14.25">
      <c r="A579" s="261"/>
      <c r="B579" s="679" t="s">
        <v>316</v>
      </c>
      <c r="D579" s="1909" t="s">
        <v>950</v>
      </c>
      <c r="E579" s="1909"/>
      <c r="F579" s="1909"/>
    </row>
    <row r="580" spans="1:7" ht="14.25">
      <c r="A580" s="261"/>
      <c r="B580" s="261"/>
      <c r="D580" s="377"/>
    </row>
    <row r="581" spans="1:7" ht="14.25">
      <c r="A581" s="261"/>
      <c r="B581" s="679" t="s">
        <v>316</v>
      </c>
      <c r="D581" s="1909" t="s">
        <v>1193</v>
      </c>
      <c r="E581" s="1909"/>
      <c r="F581" s="1909"/>
    </row>
    <row r="582" spans="1:7" ht="14.25">
      <c r="A582" s="261"/>
      <c r="B582" s="261"/>
      <c r="D582" s="1909"/>
      <c r="E582" s="1909"/>
      <c r="F582" s="1909"/>
    </row>
    <row r="583" spans="1:7">
      <c r="D583" s="1909"/>
      <c r="E583" s="1909"/>
      <c r="F583" s="1909"/>
    </row>
    <row r="584" spans="1:7">
      <c r="D584" s="1909"/>
      <c r="E584" s="1909"/>
      <c r="F584" s="1909"/>
    </row>
    <row r="585" spans="1:7" s="682" customFormat="1">
      <c r="A585" s="689"/>
      <c r="B585" s="689"/>
      <c r="C585" s="689"/>
      <c r="D585" s="1909"/>
      <c r="E585" s="1909"/>
      <c r="F585" s="1909"/>
      <c r="G585" s="7"/>
    </row>
    <row r="586" spans="1:7" s="682" customFormat="1">
      <c r="A586" s="689"/>
      <c r="B586" s="689"/>
      <c r="C586" s="689"/>
      <c r="D586" s="1909"/>
      <c r="E586" s="1909"/>
      <c r="F586" s="1909"/>
      <c r="G586" s="7"/>
    </row>
    <row r="587" spans="1:7"/>
    <row r="588" spans="1:7">
      <c r="A588" s="1886" t="s">
        <v>1173</v>
      </c>
      <c r="B588" s="1886"/>
      <c r="C588" s="1886"/>
      <c r="D588" s="1886"/>
      <c r="E588" s="1886"/>
      <c r="F588" s="1886"/>
      <c r="G588" s="1886"/>
    </row>
    <row r="589" spans="1:7"/>
    <row r="590" spans="1:7">
      <c r="D590" s="1903" t="s">
        <v>1273</v>
      </c>
      <c r="E590" s="1903"/>
      <c r="F590" s="1903"/>
    </row>
    <row r="591" spans="1:7">
      <c r="D591" s="1942" t="s">
        <v>1274</v>
      </c>
      <c r="E591" s="1942"/>
      <c r="F591" s="1942"/>
    </row>
    <row r="592" spans="1:7" s="719" customFormat="1">
      <c r="A592" s="705"/>
      <c r="B592" s="705"/>
      <c r="C592" s="705"/>
      <c r="D592" s="723"/>
      <c r="E592" s="722"/>
      <c r="F592" s="722"/>
      <c r="G592" s="7"/>
    </row>
    <row r="593" spans="1:7" s="39" customFormat="1" ht="14.25">
      <c r="A593" s="403"/>
      <c r="B593" s="679" t="s">
        <v>316</v>
      </c>
      <c r="C593" s="273"/>
      <c r="D593" s="1905" t="s">
        <v>1275</v>
      </c>
      <c r="E593" s="1905"/>
      <c r="F593" s="1905"/>
      <c r="G593" s="130"/>
    </row>
    <row r="594" spans="1:7">
      <c r="D594" s="1905"/>
      <c r="E594" s="1905"/>
      <c r="F594" s="1905"/>
    </row>
    <row r="595" spans="1:7">
      <c r="D595" s="1905"/>
      <c r="E595" s="1905"/>
      <c r="F595" s="1905"/>
    </row>
    <row r="596" spans="1:7"/>
    <row r="597" spans="1:7">
      <c r="A597" s="1886" t="s">
        <v>1174</v>
      </c>
      <c r="B597" s="1886"/>
      <c r="C597" s="1886"/>
      <c r="D597" s="1886"/>
      <c r="E597" s="1886"/>
      <c r="F597" s="1886"/>
      <c r="G597" s="1886"/>
    </row>
    <row r="598" spans="1:7">
      <c r="A598" s="135"/>
      <c r="B598" s="135"/>
      <c r="G598" s="57"/>
    </row>
    <row r="599" spans="1:7">
      <c r="A599" s="257"/>
      <c r="B599" s="674"/>
      <c r="C599" s="255"/>
      <c r="D599" s="1943" t="s">
        <v>1276</v>
      </c>
      <c r="E599" s="1943"/>
      <c r="F599" s="1943"/>
      <c r="G599" s="57"/>
    </row>
    <row r="600" spans="1:7">
      <c r="A600" s="257"/>
      <c r="B600" s="674"/>
      <c r="C600" s="255"/>
      <c r="D600" s="1943"/>
      <c r="E600" s="1943"/>
      <c r="F600" s="1943"/>
      <c r="G600" s="57"/>
    </row>
    <row r="601" spans="1:7">
      <c r="C601" s="260"/>
      <c r="D601" s="1942" t="s">
        <v>1277</v>
      </c>
      <c r="E601" s="1942"/>
      <c r="F601" s="1942"/>
      <c r="G601" s="57"/>
    </row>
    <row r="602" spans="1:7" s="719" customFormat="1">
      <c r="A602" s="705"/>
      <c r="B602" s="705"/>
      <c r="C602" s="720"/>
      <c r="D602" s="724"/>
      <c r="E602" s="724"/>
      <c r="F602" s="724"/>
      <c r="G602" s="57"/>
    </row>
    <row r="603" spans="1:7">
      <c r="A603" s="23"/>
      <c r="B603" s="679" t="s">
        <v>316</v>
      </c>
      <c r="D603" s="1942" t="s">
        <v>453</v>
      </c>
      <c r="E603" s="1942"/>
      <c r="F603" s="1942"/>
      <c r="G603" s="57"/>
    </row>
    <row r="604" spans="1:7">
      <c r="C604" s="268"/>
      <c r="E604" s="12"/>
      <c r="G604" s="57"/>
    </row>
    <row r="605" spans="1:7">
      <c r="A605" s="23"/>
      <c r="B605" s="679" t="s">
        <v>316</v>
      </c>
      <c r="D605" s="1902" t="s">
        <v>1278</v>
      </c>
      <c r="E605" s="1902"/>
      <c r="F605" s="1902"/>
      <c r="G605" s="57"/>
    </row>
    <row r="606" spans="1:7">
      <c r="D606" s="1902"/>
      <c r="E606" s="1902"/>
      <c r="F606" s="1902"/>
      <c r="G606" s="57"/>
    </row>
    <row r="607" spans="1:7">
      <c r="D607" s="12"/>
      <c r="G607" s="57"/>
    </row>
    <row r="608" spans="1:7">
      <c r="B608" s="679" t="s">
        <v>316</v>
      </c>
      <c r="D608" s="1902" t="s">
        <v>1279</v>
      </c>
      <c r="E608" s="1902"/>
      <c r="F608" s="1902"/>
      <c r="G608" s="57"/>
    </row>
    <row r="609" spans="1:7">
      <c r="C609" s="268"/>
      <c r="D609" s="1902"/>
      <c r="E609" s="1902"/>
      <c r="F609" s="1902"/>
      <c r="G609" s="57"/>
    </row>
    <row r="610" spans="1:7">
      <c r="C610" s="268"/>
      <c r="G610" s="57"/>
    </row>
    <row r="611" spans="1:7">
      <c r="B611" s="679" t="s">
        <v>316</v>
      </c>
      <c r="C611" s="268"/>
      <c r="D611" s="1902" t="s">
        <v>1280</v>
      </c>
      <c r="E611" s="1902"/>
      <c r="F611" s="1902"/>
      <c r="G611" s="57"/>
    </row>
    <row r="612" spans="1:7">
      <c r="C612" s="268"/>
      <c r="D612" s="1902"/>
      <c r="E612" s="1902"/>
      <c r="F612" s="1902"/>
      <c r="G612" s="57"/>
    </row>
    <row r="613" spans="1:7">
      <c r="C613" s="268"/>
      <c r="G613" s="57"/>
    </row>
    <row r="614" spans="1:7">
      <c r="A614" s="1886" t="s">
        <v>1175</v>
      </c>
      <c r="B614" s="1886"/>
      <c r="C614" s="1886"/>
      <c r="D614" s="1886"/>
      <c r="E614" s="1886"/>
      <c r="F614" s="1886"/>
      <c r="G614" s="1886"/>
    </row>
    <row r="615" spans="1:7">
      <c r="A615" s="267"/>
      <c r="B615" s="267"/>
      <c r="C615" s="267"/>
      <c r="G615" s="57"/>
    </row>
    <row r="616" spans="1:7">
      <c r="C616" s="23"/>
      <c r="D616" s="1903" t="s">
        <v>1281</v>
      </c>
      <c r="E616" s="1903"/>
      <c r="F616" s="1903"/>
      <c r="G616" s="57"/>
    </row>
    <row r="617" spans="1:7">
      <c r="A617" s="23"/>
      <c r="B617" s="675"/>
      <c r="C617" s="265"/>
      <c r="D617" s="50"/>
      <c r="G617" s="57"/>
    </row>
    <row r="618" spans="1:7" ht="14.25">
      <c r="A618" s="261"/>
      <c r="B618" s="679" t="s">
        <v>316</v>
      </c>
      <c r="C618" s="265"/>
      <c r="D618" s="1904" t="s">
        <v>1282</v>
      </c>
      <c r="E618" s="1904"/>
      <c r="F618" s="1904"/>
      <c r="G618" s="57"/>
    </row>
    <row r="619" spans="1:7">
      <c r="C619" s="265"/>
      <c r="D619" s="1904"/>
      <c r="E619" s="1904"/>
      <c r="F619" s="1904"/>
      <c r="G619" s="57"/>
    </row>
    <row r="620" spans="1:7">
      <c r="C620" s="265"/>
      <c r="D620" s="1904"/>
      <c r="E620" s="1904"/>
      <c r="F620" s="1904"/>
      <c r="G620" s="57"/>
    </row>
    <row r="621" spans="1:7">
      <c r="C621" s="265"/>
      <c r="D621" s="1904"/>
      <c r="E621" s="1904"/>
      <c r="F621" s="1904"/>
      <c r="G621" s="57"/>
    </row>
    <row r="622" spans="1:7">
      <c r="C622" s="265"/>
      <c r="D622" s="1904"/>
      <c r="E622" s="1904"/>
      <c r="F622" s="1904"/>
      <c r="G622" s="57"/>
    </row>
    <row r="623" spans="1:7">
      <c r="C623" s="265"/>
      <c r="D623" s="1904"/>
      <c r="E623" s="1904"/>
      <c r="F623" s="1904"/>
      <c r="G623" s="57"/>
    </row>
    <row r="624" spans="1:7" s="719" customFormat="1">
      <c r="A624" s="705"/>
      <c r="B624" s="705"/>
      <c r="C624" s="265"/>
      <c r="D624" s="725"/>
      <c r="E624" s="725"/>
      <c r="F624" s="725"/>
      <c r="G624" s="57"/>
    </row>
    <row r="625" spans="1:7" ht="14.25">
      <c r="A625" s="261"/>
      <c r="B625" s="679" t="s">
        <v>316</v>
      </c>
      <c r="C625" s="265"/>
      <c r="D625" s="1904" t="s">
        <v>1283</v>
      </c>
      <c r="E625" s="1904"/>
      <c r="F625" s="1904"/>
      <c r="G625" s="57"/>
    </row>
    <row r="626" spans="1:7">
      <c r="A626" s="266"/>
      <c r="B626" s="266"/>
      <c r="C626" s="266"/>
      <c r="D626" s="1904"/>
      <c r="E626" s="1904"/>
      <c r="F626" s="1904"/>
      <c r="G626" s="57"/>
    </row>
    <row r="627" spans="1:7">
      <c r="A627" s="266"/>
      <c r="B627" s="266"/>
      <c r="C627" s="266"/>
      <c r="D627" s="151"/>
      <c r="E627" s="147"/>
      <c r="F627" s="147"/>
      <c r="G627" s="57"/>
    </row>
    <row r="628" spans="1:7" ht="14.25">
      <c r="A628" s="261"/>
      <c r="B628" s="679" t="s">
        <v>316</v>
      </c>
      <c r="C628" s="266"/>
      <c r="D628" s="1905" t="s">
        <v>1284</v>
      </c>
      <c r="E628" s="1905"/>
      <c r="F628" s="1905"/>
      <c r="G628" s="57"/>
    </row>
    <row r="629" spans="1:7" ht="14.25">
      <c r="A629" s="261"/>
      <c r="B629" s="261"/>
      <c r="C629" s="266"/>
      <c r="D629" s="1905"/>
      <c r="E629" s="1905"/>
      <c r="F629" s="1905"/>
      <c r="G629" s="57"/>
    </row>
    <row r="630" spans="1:7" ht="14.25">
      <c r="A630" s="261"/>
      <c r="B630" s="261"/>
      <c r="C630" s="266"/>
      <c r="D630" s="1905"/>
      <c r="E630" s="1905"/>
      <c r="F630" s="1905"/>
      <c r="G630" s="57"/>
    </row>
    <row r="631" spans="1:7">
      <c r="A631" s="266"/>
      <c r="B631" s="266"/>
      <c r="C631" s="266"/>
      <c r="D631" s="1905"/>
      <c r="E631" s="1905"/>
      <c r="F631" s="1905"/>
      <c r="G631" s="57"/>
    </row>
    <row r="632" spans="1:7" s="719" customFormat="1">
      <c r="A632" s="266"/>
      <c r="B632" s="266"/>
      <c r="C632" s="266"/>
      <c r="D632" s="726"/>
      <c r="E632" s="726"/>
      <c r="F632" s="726"/>
      <c r="G632" s="57"/>
    </row>
    <row r="633" spans="1:7">
      <c r="A633" s="266"/>
      <c r="B633" s="679" t="s">
        <v>316</v>
      </c>
      <c r="C633" s="266"/>
      <c r="D633" s="1906" t="s">
        <v>1285</v>
      </c>
      <c r="E633" s="1906"/>
      <c r="F633" s="1906"/>
      <c r="G633" s="57"/>
    </row>
    <row r="634" spans="1:7">
      <c r="A634" s="266"/>
      <c r="B634" s="266"/>
      <c r="C634" s="266"/>
      <c r="D634" s="727"/>
      <c r="E634" s="727"/>
      <c r="F634" s="727"/>
      <c r="G634" s="57"/>
    </row>
    <row r="635" spans="1:7">
      <c r="A635" s="1886" t="s">
        <v>1176</v>
      </c>
      <c r="B635" s="1886"/>
      <c r="C635" s="1886"/>
      <c r="D635" s="1886"/>
      <c r="E635" s="1886"/>
      <c r="F635" s="1886"/>
      <c r="G635" s="1886"/>
    </row>
    <row r="636" spans="1:7">
      <c r="A636" s="135"/>
      <c r="B636" s="135"/>
      <c r="C636" s="266"/>
      <c r="D636" s="147"/>
      <c r="E636" s="147"/>
      <c r="F636" s="147"/>
      <c r="G636" s="57"/>
    </row>
    <row r="637" spans="1:7">
      <c r="C637" s="267"/>
      <c r="D637" s="1907" t="s">
        <v>1335</v>
      </c>
      <c r="E637" s="1907"/>
      <c r="F637" s="1907"/>
      <c r="G637" s="57"/>
    </row>
    <row r="638" spans="1:7">
      <c r="A638" s="260"/>
      <c r="B638" s="260"/>
      <c r="C638" s="260"/>
      <c r="D638" s="1908" t="s">
        <v>1336</v>
      </c>
      <c r="E638" s="1908"/>
      <c r="F638" s="1908"/>
      <c r="G638" s="57"/>
    </row>
    <row r="639" spans="1:7" s="719" customFormat="1">
      <c r="A639" s="720"/>
      <c r="B639" s="720"/>
      <c r="C639" s="720"/>
      <c r="D639" s="734"/>
      <c r="E639" s="734"/>
      <c r="F639" s="734"/>
      <c r="G639" s="57"/>
    </row>
    <row r="640" spans="1:7" ht="14.45" customHeight="1">
      <c r="A640" s="261"/>
      <c r="B640" s="679" t="s">
        <v>316</v>
      </c>
      <c r="C640" s="266"/>
      <c r="D640" s="1864" t="s">
        <v>1337</v>
      </c>
      <c r="E640" s="1864"/>
      <c r="F640" s="1864"/>
      <c r="G640" s="57"/>
    </row>
    <row r="641" spans="1:11" ht="14.25">
      <c r="A641" s="261"/>
      <c r="B641" s="261"/>
      <c r="C641" s="266"/>
      <c r="D641" s="1864"/>
      <c r="E641" s="1864"/>
      <c r="F641" s="1864"/>
      <c r="G641" s="57"/>
    </row>
    <row r="642" spans="1:11" ht="14.25">
      <c r="A642" s="261"/>
      <c r="B642" s="261"/>
      <c r="C642" s="266"/>
      <c r="D642" s="1864"/>
      <c r="E642" s="1864"/>
      <c r="F642" s="1864"/>
      <c r="G642" s="57"/>
    </row>
    <row r="643" spans="1:11" ht="14.25">
      <c r="A643" s="261"/>
      <c r="B643" s="261"/>
      <c r="C643" s="266"/>
      <c r="D643" s="1864"/>
      <c r="E643" s="1864"/>
      <c r="F643" s="1864"/>
      <c r="G643" s="57"/>
    </row>
    <row r="644" spans="1:11" s="682" customFormat="1" ht="14.25">
      <c r="A644" s="261"/>
      <c r="B644" s="261"/>
      <c r="C644" s="266"/>
      <c r="D644" s="1864"/>
      <c r="E644" s="1864"/>
      <c r="F644" s="1864"/>
      <c r="G644" s="57"/>
    </row>
    <row r="645" spans="1:11" s="719" customFormat="1" ht="14.25">
      <c r="A645" s="714"/>
      <c r="B645" s="714"/>
      <c r="C645" s="266"/>
      <c r="D645" s="736"/>
      <c r="E645" s="736"/>
      <c r="F645" s="736"/>
      <c r="G645" s="57"/>
    </row>
    <row r="646" spans="1:11" s="682" customFormat="1" ht="14.25">
      <c r="A646" s="261"/>
      <c r="B646" s="679" t="s">
        <v>316</v>
      </c>
      <c r="C646" s="266"/>
      <c r="D646" s="1925" t="s">
        <v>1187</v>
      </c>
      <c r="E646" s="1925"/>
      <c r="F646" s="1925"/>
      <c r="G646" s="57"/>
    </row>
    <row r="647" spans="1:11" s="682" customFormat="1" ht="14.25">
      <c r="A647" s="261"/>
      <c r="B647" s="261"/>
      <c r="C647" s="266"/>
      <c r="D647" s="1926" t="s">
        <v>1338</v>
      </c>
      <c r="E647" s="1926"/>
      <c r="F647" s="1926"/>
      <c r="G647" s="57"/>
    </row>
    <row r="648" spans="1:11" s="682" customFormat="1" ht="14.25">
      <c r="A648" s="261"/>
      <c r="B648" s="261"/>
      <c r="C648" s="266"/>
      <c r="D648" s="1926"/>
      <c r="E648" s="1926"/>
      <c r="F648" s="1926"/>
      <c r="G648" s="57"/>
    </row>
    <row r="649" spans="1:11" s="682" customFormat="1" ht="14.25">
      <c r="A649" s="261"/>
      <c r="B649" s="261"/>
      <c r="C649" s="266"/>
      <c r="D649" s="1926"/>
      <c r="E649" s="1926"/>
      <c r="F649" s="1926"/>
      <c r="G649" s="57"/>
    </row>
    <row r="650" spans="1:11" s="682" customFormat="1" ht="14.25">
      <c r="A650" s="261"/>
      <c r="B650" s="261"/>
      <c r="C650" s="266"/>
      <c r="D650" s="1926"/>
      <c r="E650" s="1926"/>
      <c r="F650" s="1926"/>
      <c r="G650" s="57"/>
    </row>
    <row r="651" spans="1:11" s="682" customFormat="1" ht="14.25">
      <c r="A651" s="261"/>
      <c r="B651" s="261"/>
      <c r="C651" s="266"/>
      <c r="D651" s="1926"/>
      <c r="E651" s="1926"/>
      <c r="F651" s="1926"/>
      <c r="G651" s="57"/>
    </row>
    <row r="652" spans="1:11" s="682" customFormat="1" ht="14.25">
      <c r="A652" s="261"/>
      <c r="B652" s="261"/>
      <c r="C652" s="266"/>
      <c r="D652" s="1927" t="s">
        <v>1339</v>
      </c>
      <c r="E652" s="1927"/>
      <c r="F652" s="1927"/>
      <c r="G652" s="57"/>
    </row>
    <row r="653" spans="1:11">
      <c r="A653" s="266"/>
      <c r="B653" s="266"/>
      <c r="C653" s="266"/>
      <c r="D653" s="147"/>
      <c r="E653" s="147"/>
      <c r="F653" s="147"/>
      <c r="G653" s="57"/>
    </row>
    <row r="654" spans="1:11">
      <c r="A654" s="1886" t="s">
        <v>1177</v>
      </c>
      <c r="B654" s="1886"/>
      <c r="C654" s="1886"/>
      <c r="D654" s="1886"/>
      <c r="E654" s="1886"/>
      <c r="F654" s="1886"/>
      <c r="G654" s="1886"/>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9" t="s">
        <v>104</v>
      </c>
      <c r="E656" s="1889"/>
      <c r="F656" s="1889"/>
      <c r="G656" s="57"/>
      <c r="H656" s="269"/>
      <c r="I656" s="269"/>
      <c r="J656" s="269"/>
      <c r="K656" s="269"/>
    </row>
    <row r="657" spans="1:11">
      <c r="A657" s="267"/>
      <c r="B657" s="267"/>
      <c r="C657" s="267"/>
      <c r="D657" s="1889" t="s">
        <v>128</v>
      </c>
      <c r="E657" s="1889"/>
      <c r="F657" s="1889"/>
      <c r="G657" s="57"/>
      <c r="H657" s="269"/>
      <c r="I657" s="269"/>
      <c r="J657" s="269"/>
      <c r="K657" s="269"/>
    </row>
    <row r="658" spans="1:11">
      <c r="A658" s="260"/>
      <c r="B658" s="260"/>
      <c r="C658" s="260"/>
      <c r="D658" s="1879" t="s">
        <v>1213</v>
      </c>
      <c r="E658" s="1879"/>
      <c r="F658" s="1879"/>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9" t="s">
        <v>951</v>
      </c>
      <c r="E660" s="1879"/>
      <c r="F660" s="1879"/>
      <c r="G660" s="57"/>
      <c r="H660" s="269"/>
      <c r="I660" s="269"/>
      <c r="J660" s="269"/>
      <c r="K660" s="269"/>
    </row>
    <row r="661" spans="1:11">
      <c r="A661" s="260"/>
      <c r="B661" s="260"/>
      <c r="C661" s="260"/>
      <c r="D661" s="1879" t="s">
        <v>962</v>
      </c>
      <c r="E661" s="1879"/>
      <c r="F661" s="1879"/>
      <c r="G661" s="57"/>
      <c r="H661" s="269"/>
      <c r="I661" s="269"/>
      <c r="J661" s="269"/>
      <c r="K661" s="269"/>
    </row>
    <row r="662" spans="1:11">
      <c r="A662" s="260"/>
      <c r="B662" s="260"/>
      <c r="C662" s="260"/>
      <c r="D662" s="6"/>
      <c r="E662" s="1875" t="s">
        <v>1214</v>
      </c>
      <c r="F662" s="1875"/>
      <c r="G662" s="57"/>
      <c r="H662" s="269"/>
      <c r="I662" s="269"/>
      <c r="J662" s="269"/>
      <c r="K662" s="269"/>
    </row>
    <row r="663" spans="1:11">
      <c r="A663" s="260"/>
      <c r="B663" s="260"/>
      <c r="C663" s="260"/>
      <c r="D663" s="6"/>
      <c r="E663" s="1875"/>
      <c r="F663" s="1875"/>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6" t="s">
        <v>1215</v>
      </c>
      <c r="E665" s="1866"/>
      <c r="F665" s="1866"/>
      <c r="G665" s="57"/>
      <c r="H665" s="269"/>
      <c r="I665" s="269"/>
      <c r="J665" s="269"/>
      <c r="K665" s="269"/>
    </row>
    <row r="666" spans="1:11">
      <c r="A666" s="23"/>
      <c r="B666" s="675"/>
      <c r="C666" s="260"/>
      <c r="D666" s="1866"/>
      <c r="E666" s="1866"/>
      <c r="F666" s="1866"/>
      <c r="G666" s="57"/>
      <c r="H666" s="269"/>
      <c r="I666" s="269"/>
      <c r="J666" s="269"/>
      <c r="K666" s="269"/>
    </row>
    <row r="667" spans="1:11">
      <c r="A667" s="260"/>
      <c r="B667" s="260"/>
      <c r="C667" s="260"/>
      <c r="D667" s="1866"/>
      <c r="E667" s="1866"/>
      <c r="F667" s="1866"/>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9" t="s">
        <v>991</v>
      </c>
      <c r="E669" s="1879"/>
      <c r="F669" s="1879"/>
      <c r="G669" s="57"/>
      <c r="H669" s="269"/>
      <c r="I669" s="269"/>
      <c r="J669" s="269"/>
      <c r="K669" s="269"/>
    </row>
    <row r="670" spans="1:11" ht="14.25">
      <c r="A670" s="261"/>
      <c r="B670" s="261"/>
      <c r="C670" s="260"/>
      <c r="D670" s="1879" t="s">
        <v>962</v>
      </c>
      <c r="E670" s="1879"/>
      <c r="F670" s="1879"/>
      <c r="G670" s="57"/>
      <c r="H670" s="269"/>
      <c r="I670" s="269"/>
      <c r="J670" s="269"/>
      <c r="K670" s="269"/>
    </row>
    <row r="671" spans="1:11">
      <c r="A671" s="260"/>
      <c r="B671" s="260"/>
      <c r="C671" s="260"/>
      <c r="D671" s="6"/>
      <c r="E671" s="1897" t="s">
        <v>1216</v>
      </c>
      <c r="F671" s="1897"/>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901" t="s">
        <v>1226</v>
      </c>
      <c r="E673" s="1901"/>
      <c r="F673" s="1901"/>
      <c r="G673" s="57"/>
      <c r="H673" s="269"/>
      <c r="I673" s="269"/>
      <c r="J673" s="269"/>
      <c r="K673" s="269"/>
    </row>
    <row r="674" spans="1:11">
      <c r="A674" s="260"/>
      <c r="B674" s="260"/>
      <c r="C674" s="260"/>
      <c r="D674" s="1901"/>
      <c r="E674" s="1901"/>
      <c r="F674" s="1901"/>
      <c r="G674" s="57"/>
      <c r="H674" s="269"/>
      <c r="I674" s="269"/>
      <c r="J674" s="269"/>
      <c r="K674" s="269"/>
    </row>
    <row r="675" spans="1:11">
      <c r="A675" s="260"/>
      <c r="B675" s="260"/>
      <c r="C675" s="260"/>
      <c r="D675" s="1901"/>
      <c r="E675" s="1901"/>
      <c r="F675" s="1901"/>
      <c r="G675" s="57"/>
      <c r="H675" s="269"/>
      <c r="I675" s="269"/>
      <c r="J675" s="269"/>
      <c r="K675" s="269"/>
    </row>
    <row r="676" spans="1:11">
      <c r="A676" s="260"/>
      <c r="B676" s="260"/>
      <c r="C676" s="260"/>
      <c r="D676" s="1901"/>
      <c r="E676" s="1901"/>
      <c r="F676" s="1901"/>
      <c r="G676" s="57"/>
      <c r="H676" s="269"/>
      <c r="I676" s="269"/>
      <c r="J676" s="269"/>
      <c r="K676" s="269"/>
    </row>
    <row r="677" spans="1:11">
      <c r="A677" s="260"/>
      <c r="B677" s="260"/>
      <c r="C677" s="260"/>
      <c r="D677" s="1901"/>
      <c r="E677" s="1901"/>
      <c r="F677" s="1901"/>
      <c r="G677" s="57"/>
      <c r="H677" s="269"/>
      <c r="I677" s="269"/>
      <c r="J677" s="269"/>
      <c r="K677" s="269"/>
    </row>
    <row r="678" spans="1:11" s="39" customFormat="1">
      <c r="A678" s="487"/>
      <c r="B678" s="487"/>
      <c r="C678" s="487"/>
      <c r="D678" s="1901"/>
      <c r="E678" s="1901"/>
      <c r="F678" s="1901"/>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901" t="s">
        <v>1217</v>
      </c>
      <c r="E680" s="1901"/>
      <c r="F680" s="1901"/>
      <c r="G680" s="57"/>
      <c r="H680" s="269"/>
      <c r="I680" s="269"/>
      <c r="J680" s="269"/>
      <c r="K680" s="269"/>
    </row>
    <row r="681" spans="1:11">
      <c r="A681" s="260"/>
      <c r="B681" s="260"/>
      <c r="C681" s="260"/>
      <c r="D681" s="1901"/>
      <c r="E681" s="1901"/>
      <c r="F681" s="1901"/>
      <c r="G681" s="57"/>
      <c r="H681" s="269"/>
      <c r="I681" s="269"/>
      <c r="J681" s="269"/>
      <c r="K681" s="269"/>
    </row>
    <row r="682" spans="1:11">
      <c r="A682" s="260"/>
      <c r="B682" s="260"/>
      <c r="C682" s="260"/>
      <c r="D682" s="1901"/>
      <c r="E682" s="1901"/>
      <c r="F682" s="1901"/>
      <c r="G682" s="57"/>
      <c r="H682" s="269"/>
      <c r="I682" s="269"/>
      <c r="J682" s="269"/>
      <c r="K682" s="269"/>
    </row>
    <row r="683" spans="1:11" ht="15" customHeight="1">
      <c r="A683" s="260"/>
      <c r="B683" s="260"/>
      <c r="C683" s="260"/>
      <c r="D683" s="1901"/>
      <c r="E683" s="1901"/>
      <c r="F683" s="1901"/>
      <c r="G683" s="57"/>
      <c r="H683" s="269"/>
      <c r="I683" s="269"/>
      <c r="J683" s="269"/>
      <c r="K683" s="269"/>
    </row>
    <row r="684" spans="1:11" ht="15" customHeight="1">
      <c r="A684" s="260"/>
      <c r="B684" s="260"/>
      <c r="C684" s="260"/>
      <c r="D684" s="1901"/>
      <c r="E684" s="1901"/>
      <c r="F684" s="1901"/>
      <c r="G684" s="57"/>
      <c r="H684" s="269"/>
      <c r="I684" s="269"/>
      <c r="J684" s="269"/>
      <c r="K684" s="269"/>
    </row>
    <row r="685" spans="1:11">
      <c r="A685" s="260"/>
      <c r="B685" s="260"/>
      <c r="C685" s="260"/>
      <c r="D685" s="1901"/>
      <c r="E685" s="1901"/>
      <c r="F685" s="1901"/>
      <c r="G685" s="57"/>
      <c r="H685" s="269"/>
      <c r="I685" s="269"/>
      <c r="J685" s="269"/>
      <c r="K685" s="269"/>
    </row>
    <row r="686" spans="1:11">
      <c r="A686" s="260"/>
      <c r="B686" s="260"/>
      <c r="C686" s="260"/>
      <c r="D686" s="1901"/>
      <c r="E686" s="1901"/>
      <c r="F686" s="1901"/>
      <c r="G686" s="57"/>
      <c r="H686" s="269"/>
      <c r="I686" s="269"/>
      <c r="J686" s="269"/>
      <c r="K686" s="269"/>
    </row>
    <row r="687" spans="1:11">
      <c r="A687" s="260"/>
      <c r="B687" s="260"/>
      <c r="C687" s="260"/>
      <c r="D687" s="1901"/>
      <c r="E687" s="1901"/>
      <c r="F687" s="1901"/>
      <c r="G687" s="57"/>
      <c r="H687" s="269"/>
      <c r="I687" s="269"/>
      <c r="J687" s="269"/>
      <c r="K687" s="269"/>
    </row>
    <row r="688" spans="1:11" ht="15" customHeight="1">
      <c r="A688" s="260"/>
      <c r="B688" s="260"/>
      <c r="C688" s="260"/>
      <c r="D688" s="1901"/>
      <c r="E688" s="1901"/>
      <c r="F688" s="1901"/>
      <c r="G688" s="57"/>
      <c r="H688" s="269"/>
      <c r="I688" s="269"/>
      <c r="J688" s="269"/>
      <c r="K688" s="269"/>
    </row>
    <row r="689" spans="1:11">
      <c r="A689" s="260"/>
      <c r="B689" s="260"/>
      <c r="C689" s="260"/>
      <c r="D689" s="1901"/>
      <c r="E689" s="1901"/>
      <c r="F689" s="1901"/>
      <c r="G689" s="57"/>
      <c r="H689" s="269"/>
      <c r="I689" s="269"/>
      <c r="J689" s="269"/>
      <c r="K689" s="269"/>
    </row>
    <row r="690" spans="1:11">
      <c r="A690" s="260"/>
      <c r="B690" s="260"/>
      <c r="C690" s="260"/>
      <c r="D690" s="1901"/>
      <c r="E690" s="1901"/>
      <c r="F690" s="1901"/>
      <c r="G690" s="57"/>
      <c r="H690" s="269"/>
      <c r="I690" s="269"/>
      <c r="J690" s="269"/>
      <c r="K690" s="269"/>
    </row>
    <row r="691" spans="1:11">
      <c r="A691" s="260"/>
      <c r="B691" s="260"/>
      <c r="C691" s="260"/>
      <c r="D691" s="1901"/>
      <c r="E691" s="1901"/>
      <c r="F691" s="1901"/>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901" t="s">
        <v>1227</v>
      </c>
      <c r="E693" s="1901"/>
      <c r="F693" s="1901"/>
      <c r="G693" s="57"/>
      <c r="H693" s="269"/>
      <c r="I693" s="269"/>
      <c r="J693" s="269"/>
      <c r="K693" s="269"/>
    </row>
    <row r="694" spans="1:11">
      <c r="A694" s="260"/>
      <c r="B694" s="260"/>
      <c r="C694" s="260"/>
      <c r="D694" s="1901"/>
      <c r="E694" s="1901"/>
      <c r="F694" s="1901"/>
      <c r="G694" s="57"/>
      <c r="H694" s="269"/>
      <c r="I694" s="269"/>
      <c r="J694" s="269"/>
      <c r="K694" s="269"/>
    </row>
    <row r="695" spans="1:11">
      <c r="A695" s="260"/>
      <c r="B695" s="260"/>
      <c r="C695" s="260"/>
      <c r="D695" s="1901"/>
      <c r="E695" s="1901"/>
      <c r="F695" s="1901"/>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901" t="s">
        <v>1224</v>
      </c>
      <c r="E697" s="1901"/>
      <c r="F697" s="1901"/>
      <c r="G697" s="57"/>
      <c r="H697" s="269"/>
      <c r="I697" s="269"/>
      <c r="J697" s="269"/>
      <c r="K697" s="269"/>
    </row>
    <row r="698" spans="1:11" s="682" customFormat="1">
      <c r="A698" s="260"/>
      <c r="B698" s="260"/>
      <c r="C698" s="260"/>
      <c r="D698" s="1901"/>
      <c r="E698" s="1901"/>
      <c r="F698" s="1901"/>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901" t="s">
        <v>1225</v>
      </c>
      <c r="E700" s="1901"/>
      <c r="F700" s="1901"/>
      <c r="G700" s="57"/>
      <c r="H700" s="269"/>
      <c r="I700" s="269"/>
      <c r="J700" s="269"/>
      <c r="K700" s="269"/>
    </row>
    <row r="701" spans="1:11" s="682" customFormat="1">
      <c r="A701" s="260"/>
      <c r="B701" s="260"/>
      <c r="C701" s="260"/>
      <c r="D701" s="1901"/>
      <c r="E701" s="1901"/>
      <c r="F701" s="1901"/>
      <c r="G701" s="57"/>
      <c r="H701" s="269"/>
      <c r="I701" s="269"/>
      <c r="J701" s="269"/>
      <c r="K701" s="269"/>
    </row>
    <row r="702" spans="1:11" s="682" customFormat="1">
      <c r="A702" s="260"/>
      <c r="B702" s="260"/>
      <c r="C702" s="260"/>
      <c r="D702" s="1901"/>
      <c r="E702" s="1901"/>
      <c r="F702" s="1901"/>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901" t="s">
        <v>1218</v>
      </c>
      <c r="E704" s="1901"/>
      <c r="F704" s="1901"/>
      <c r="G704" s="57"/>
      <c r="H704" s="269"/>
      <c r="I704" s="269"/>
      <c r="J704" s="269"/>
      <c r="K704" s="269"/>
    </row>
    <row r="705" spans="1:11">
      <c r="A705" s="260"/>
      <c r="B705" s="260"/>
      <c r="C705" s="260"/>
      <c r="D705" s="1901"/>
      <c r="E705" s="1901"/>
      <c r="F705" s="1901"/>
      <c r="G705" s="57"/>
      <c r="H705" s="269"/>
      <c r="I705" s="269"/>
      <c r="J705" s="269"/>
      <c r="K705" s="269"/>
    </row>
    <row r="706" spans="1:11">
      <c r="A706" s="260"/>
      <c r="B706" s="260"/>
      <c r="C706" s="260"/>
      <c r="D706" s="1901"/>
      <c r="E706" s="1901"/>
      <c r="F706" s="1901"/>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901" t="s">
        <v>1219</v>
      </c>
      <c r="E708" s="1901"/>
      <c r="F708" s="1901"/>
      <c r="G708" s="57"/>
      <c r="H708" s="269"/>
      <c r="I708" s="269"/>
      <c r="J708" s="269"/>
      <c r="K708" s="269"/>
    </row>
    <row r="709" spans="1:11">
      <c r="A709" s="260"/>
      <c r="B709" s="260"/>
      <c r="C709" s="260"/>
      <c r="D709" s="1901"/>
      <c r="E709" s="1901"/>
      <c r="F709" s="1901"/>
      <c r="G709" s="57"/>
      <c r="H709" s="269"/>
      <c r="I709" s="269"/>
      <c r="J709" s="269"/>
      <c r="K709" s="269"/>
    </row>
    <row r="710" spans="1:11">
      <c r="A710" s="260"/>
      <c r="B710" s="260"/>
      <c r="C710" s="260"/>
      <c r="D710" s="1901"/>
      <c r="E710" s="1901"/>
      <c r="F710" s="1901"/>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6" t="s">
        <v>1220</v>
      </c>
      <c r="E712" s="1866"/>
      <c r="F712" s="1866"/>
      <c r="G712" s="57"/>
      <c r="H712" s="269"/>
      <c r="I712" s="269"/>
      <c r="J712" s="269"/>
      <c r="K712" s="269"/>
    </row>
    <row r="713" spans="1:11">
      <c r="A713" s="260"/>
      <c r="B713" s="260"/>
      <c r="C713" s="260"/>
      <c r="D713" s="1866"/>
      <c r="E713" s="1866"/>
      <c r="F713" s="1866"/>
      <c r="G713" s="57"/>
      <c r="H713" s="269"/>
      <c r="I713" s="269"/>
      <c r="J713" s="269"/>
      <c r="K713" s="269"/>
    </row>
    <row r="714" spans="1:11">
      <c r="A714" s="260"/>
      <c r="B714" s="260"/>
      <c r="C714" s="260"/>
      <c r="D714" s="1866"/>
      <c r="E714" s="1866"/>
      <c r="F714" s="1866"/>
      <c r="G714" s="57"/>
      <c r="H714" s="269"/>
      <c r="I714" s="269"/>
      <c r="J714" s="269"/>
      <c r="K714" s="269"/>
    </row>
    <row r="715" spans="1:11">
      <c r="A715" s="260"/>
      <c r="B715" s="260"/>
      <c r="C715" s="260"/>
      <c r="D715" s="1866"/>
      <c r="E715" s="1866"/>
      <c r="F715" s="1866"/>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901" t="s">
        <v>1353</v>
      </c>
      <c r="E717" s="1901"/>
      <c r="F717" s="1901"/>
      <c r="G717" s="57"/>
      <c r="H717" s="269"/>
      <c r="I717" s="269"/>
      <c r="J717" s="269"/>
      <c r="K717" s="269"/>
    </row>
    <row r="718" spans="1:11">
      <c r="A718" s="260"/>
      <c r="B718" s="260"/>
      <c r="C718" s="260"/>
      <c r="D718" s="1901"/>
      <c r="E718" s="1901"/>
      <c r="F718" s="1901"/>
      <c r="G718" s="57"/>
      <c r="H718" s="269"/>
      <c r="I718" s="269"/>
      <c r="J718" s="269"/>
      <c r="K718" s="269"/>
    </row>
    <row r="719" spans="1:11">
      <c r="A719" s="260"/>
      <c r="B719" s="260"/>
      <c r="C719" s="260"/>
      <c r="D719" s="1901"/>
      <c r="E719" s="1901"/>
      <c r="F719" s="1901"/>
      <c r="G719" s="57"/>
      <c r="H719" s="269"/>
      <c r="I719" s="269"/>
      <c r="J719" s="269"/>
      <c r="K719" s="269"/>
    </row>
    <row r="720" spans="1:11">
      <c r="A720" s="260"/>
      <c r="B720" s="260"/>
      <c r="C720" s="260"/>
      <c r="D720" s="1901"/>
      <c r="E720" s="1901"/>
      <c r="F720" s="1901"/>
      <c r="G720" s="57"/>
      <c r="H720" s="269"/>
      <c r="I720" s="269"/>
      <c r="J720" s="269"/>
      <c r="K720" s="269"/>
    </row>
    <row r="721" spans="1:11">
      <c r="A721" s="260"/>
      <c r="B721" s="260"/>
      <c r="C721" s="260"/>
      <c r="D721" s="1901"/>
      <c r="E721" s="1901"/>
      <c r="F721" s="1901"/>
      <c r="G721" s="57"/>
      <c r="H721" s="269"/>
      <c r="I721" s="269"/>
      <c r="J721" s="269"/>
      <c r="K721" s="269"/>
    </row>
    <row r="722" spans="1:11">
      <c r="A722" s="260"/>
      <c r="B722" s="260"/>
      <c r="C722" s="260"/>
      <c r="D722" s="1901"/>
      <c r="E722" s="1901"/>
      <c r="F722" s="1901"/>
      <c r="G722" s="57"/>
      <c r="H722" s="269"/>
      <c r="I722" s="269"/>
      <c r="J722" s="269"/>
      <c r="K722" s="269"/>
    </row>
    <row r="723" spans="1:11">
      <c r="A723" s="260"/>
      <c r="B723" s="260"/>
      <c r="C723" s="260"/>
      <c r="D723" s="1901"/>
      <c r="E723" s="1901"/>
      <c r="F723" s="1901"/>
      <c r="G723" s="57"/>
      <c r="H723" s="269"/>
      <c r="I723" s="269"/>
      <c r="J723" s="269"/>
      <c r="K723" s="269"/>
    </row>
    <row r="724" spans="1:11">
      <c r="A724" s="260"/>
      <c r="B724" s="260"/>
      <c r="C724" s="260"/>
      <c r="D724" s="1934" t="s">
        <v>1221</v>
      </c>
      <c r="E724" s="1934"/>
      <c r="F724" s="1934"/>
      <c r="G724" s="57"/>
      <c r="H724" s="269"/>
      <c r="I724" s="269"/>
      <c r="J724" s="269"/>
      <c r="K724" s="269"/>
    </row>
    <row r="725" spans="1:11" s="682" customFormat="1">
      <c r="A725" s="260"/>
      <c r="B725" s="260"/>
      <c r="C725" s="260"/>
      <c r="D725" s="533"/>
      <c r="E725" s="7"/>
      <c r="F725" s="7"/>
      <c r="G725" s="57"/>
      <c r="H725" s="269"/>
      <c r="I725" s="269"/>
      <c r="J725" s="269"/>
      <c r="K725" s="269"/>
    </row>
    <row r="726" spans="1:11">
      <c r="A726" s="1936" t="s">
        <v>1178</v>
      </c>
      <c r="B726" s="1936"/>
      <c r="C726" s="1936"/>
      <c r="D726" s="1936"/>
      <c r="E726" s="1936"/>
      <c r="F726" s="1936"/>
      <c r="G726" s="1936"/>
      <c r="H726" s="269"/>
      <c r="I726" s="269"/>
      <c r="J726" s="269"/>
      <c r="K726" s="269"/>
    </row>
    <row r="727" spans="1:11">
      <c r="A727" s="260"/>
      <c r="B727" s="260"/>
      <c r="C727" s="260"/>
      <c r="D727" s="263"/>
      <c r="G727" s="271"/>
      <c r="H727" s="269"/>
      <c r="I727" s="269"/>
      <c r="J727" s="269"/>
      <c r="K727" s="269"/>
    </row>
    <row r="728" spans="1:11" ht="13.15" customHeight="1">
      <c r="C728" s="260"/>
      <c r="D728" s="1915" t="s">
        <v>1194</v>
      </c>
      <c r="E728" s="1915"/>
      <c r="F728" s="1915"/>
      <c r="G728" s="271"/>
      <c r="H728" s="269"/>
      <c r="I728" s="269"/>
      <c r="J728" s="269"/>
      <c r="K728" s="269"/>
    </row>
    <row r="729" spans="1:11">
      <c r="A729" s="260"/>
      <c r="B729" s="260"/>
      <c r="C729" s="260"/>
      <c r="D729" s="1932" t="s">
        <v>1195</v>
      </c>
      <c r="E729" s="1932"/>
      <c r="F729" s="1932"/>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6" t="s">
        <v>1196</v>
      </c>
      <c r="E731" s="1866"/>
      <c r="F731" s="1866"/>
      <c r="G731" s="271"/>
      <c r="H731" s="272"/>
      <c r="I731" s="272"/>
      <c r="J731" s="272"/>
      <c r="K731" s="272"/>
    </row>
    <row r="732" spans="1:11" s="39" customFormat="1" ht="10.5" customHeight="1">
      <c r="A732" s="132"/>
      <c r="B732" s="676"/>
      <c r="C732" s="132"/>
      <c r="D732" s="1866"/>
      <c r="E732" s="1866"/>
      <c r="F732" s="1866"/>
      <c r="G732" s="271"/>
      <c r="H732" s="272"/>
      <c r="I732" s="272"/>
      <c r="J732" s="272"/>
      <c r="K732" s="272"/>
    </row>
    <row r="733" spans="1:11" s="39" customFormat="1">
      <c r="A733" s="132"/>
      <c r="B733" s="676"/>
      <c r="C733" s="132"/>
      <c r="D733" s="1866"/>
      <c r="E733" s="1866"/>
      <c r="F733" s="1866"/>
      <c r="G733" s="271"/>
      <c r="H733" s="272"/>
      <c r="I733" s="272"/>
      <c r="J733" s="272"/>
      <c r="K733" s="272"/>
    </row>
    <row r="734" spans="1:11">
      <c r="D734" s="1866"/>
      <c r="E734" s="1866"/>
      <c r="F734" s="1866"/>
      <c r="G734" s="271"/>
      <c r="H734" s="269"/>
      <c r="I734" s="269"/>
      <c r="J734" s="269"/>
      <c r="K734" s="269"/>
    </row>
    <row r="735" spans="1:11">
      <c r="A735" s="273"/>
      <c r="B735" s="273"/>
      <c r="C735" s="273"/>
      <c r="D735" s="1866"/>
      <c r="E735" s="1866"/>
      <c r="F735" s="1866"/>
      <c r="G735" s="275"/>
      <c r="H735" s="269"/>
      <c r="I735" s="269"/>
      <c r="J735" s="269"/>
      <c r="K735" s="269"/>
    </row>
    <row r="736" spans="1:11" ht="15.6" customHeight="1">
      <c r="A736" s="273"/>
      <c r="B736" s="273"/>
      <c r="C736" s="273"/>
      <c r="D736" s="1866"/>
      <c r="E736" s="1866"/>
      <c r="F736" s="1866"/>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7" t="s">
        <v>1197</v>
      </c>
      <c r="E738" s="1867"/>
      <c r="F738" s="1867"/>
      <c r="G738" s="311"/>
    </row>
    <row r="739" spans="1:11" s="409" customFormat="1">
      <c r="A739" s="408"/>
      <c r="B739" s="408"/>
      <c r="C739" s="408"/>
      <c r="D739" s="1867"/>
      <c r="E739" s="1867"/>
      <c r="F739" s="1867"/>
      <c r="G739" s="311"/>
    </row>
    <row r="740" spans="1:11" s="409" customFormat="1">
      <c r="A740" s="408"/>
      <c r="B740" s="408"/>
      <c r="C740" s="408"/>
      <c r="D740" s="1867"/>
      <c r="E740" s="1867"/>
      <c r="F740" s="1867"/>
      <c r="G740" s="311"/>
    </row>
    <row r="741" spans="1:11" s="409" customFormat="1">
      <c r="A741" s="408"/>
      <c r="B741" s="408"/>
      <c r="C741" s="408"/>
      <c r="D741" s="1867"/>
      <c r="E741" s="1867"/>
      <c r="F741" s="1867"/>
      <c r="G741" s="311"/>
    </row>
    <row r="742" spans="1:11" s="409" customFormat="1">
      <c r="A742" s="408"/>
      <c r="B742" s="408"/>
      <c r="C742" s="408"/>
      <c r="D742" s="377"/>
      <c r="E742" s="311"/>
      <c r="F742" s="311"/>
      <c r="G742" s="311"/>
    </row>
    <row r="743" spans="1:11" s="409" customFormat="1" ht="14.25">
      <c r="A743" s="261"/>
      <c r="B743" s="679" t="s">
        <v>316</v>
      </c>
      <c r="C743" s="408"/>
      <c r="D743" s="1933" t="s">
        <v>1198</v>
      </c>
      <c r="E743" s="1933"/>
      <c r="F743" s="1933"/>
      <c r="G743" s="311"/>
    </row>
    <row r="744" spans="1:11" s="409" customFormat="1">
      <c r="A744" s="408"/>
      <c r="B744" s="408"/>
      <c r="C744" s="408"/>
      <c r="D744" s="1933"/>
      <c r="E744" s="1933"/>
      <c r="F744" s="1933"/>
      <c r="G744" s="311"/>
    </row>
    <row r="745" spans="1:11" s="409" customFormat="1">
      <c r="A745" s="408"/>
      <c r="B745" s="408"/>
      <c r="C745" s="408"/>
      <c r="D745" s="1933"/>
      <c r="E745" s="1933"/>
      <c r="F745" s="1933"/>
      <c r="G745" s="311"/>
    </row>
    <row r="746" spans="1:11">
      <c r="A746" s="273"/>
      <c r="B746" s="273"/>
      <c r="C746" s="273"/>
      <c r="D746" s="377"/>
      <c r="E746" s="274"/>
      <c r="F746" s="274"/>
      <c r="G746" s="275"/>
      <c r="H746" s="269"/>
      <c r="I746" s="269"/>
      <c r="J746" s="269"/>
      <c r="K746" s="269"/>
    </row>
    <row r="747" spans="1:11" ht="14.25">
      <c r="A747" s="261"/>
      <c r="B747" s="679" t="s">
        <v>316</v>
      </c>
      <c r="C747" s="273"/>
      <c r="D747" s="1867" t="s">
        <v>1199</v>
      </c>
      <c r="E747" s="1867"/>
      <c r="F747" s="1867"/>
      <c r="G747" s="275"/>
      <c r="H747" s="269"/>
      <c r="I747" s="269"/>
      <c r="J747" s="269"/>
      <c r="K747" s="269"/>
    </row>
    <row r="748" spans="1:11">
      <c r="A748" s="273"/>
      <c r="B748" s="273"/>
      <c r="C748" s="273"/>
      <c r="D748" s="1867"/>
      <c r="E748" s="1867"/>
      <c r="F748" s="1867"/>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7" t="s">
        <v>1200</v>
      </c>
      <c r="E750" s="1867"/>
      <c r="F750" s="1867"/>
      <c r="G750" s="275"/>
      <c r="H750" s="269"/>
      <c r="I750" s="269"/>
      <c r="J750" s="269"/>
      <c r="K750" s="269"/>
    </row>
    <row r="751" spans="1:11" s="682" customFormat="1">
      <c r="A751" s="273"/>
      <c r="B751" s="273"/>
      <c r="C751" s="273"/>
      <c r="D751" s="1867"/>
      <c r="E751" s="1867"/>
      <c r="F751" s="1867"/>
      <c r="G751" s="275"/>
      <c r="H751" s="269"/>
      <c r="I751" s="269"/>
      <c r="J751" s="269"/>
      <c r="K751" s="269"/>
    </row>
    <row r="752" spans="1:11" s="682" customFormat="1">
      <c r="A752" s="273"/>
      <c r="B752" s="273"/>
      <c r="C752" s="273"/>
      <c r="D752" s="1867"/>
      <c r="E752" s="1867"/>
      <c r="F752" s="1867"/>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8" t="s">
        <v>1201</v>
      </c>
      <c r="B754" s="1938"/>
      <c r="C754" s="1938"/>
      <c r="D754" s="1938"/>
      <c r="E754" s="1938"/>
      <c r="F754" s="1938"/>
      <c r="G754" s="1938"/>
    </row>
    <row r="755" spans="1:11">
      <c r="A755" s="260"/>
      <c r="B755" s="260"/>
      <c r="C755" s="260"/>
      <c r="D755" s="276"/>
      <c r="F755" s="147"/>
      <c r="G755" s="271"/>
    </row>
    <row r="756" spans="1:11">
      <c r="A756" s="273"/>
      <c r="B756" s="273"/>
      <c r="C756" s="442"/>
      <c r="D756" s="1939" t="s">
        <v>1185</v>
      </c>
      <c r="E756" s="1939"/>
      <c r="F756" s="1939"/>
      <c r="G756" s="271"/>
    </row>
    <row r="757" spans="1:11">
      <c r="A757" s="503"/>
      <c r="B757" s="503"/>
      <c r="C757" s="502"/>
      <c r="D757" s="1929" t="s">
        <v>1202</v>
      </c>
      <c r="E757" s="1929"/>
      <c r="F757" s="1929"/>
      <c r="G757" s="271"/>
    </row>
    <row r="758" spans="1:11">
      <c r="A758" s="273"/>
      <c r="B758" s="273"/>
      <c r="C758" s="442"/>
      <c r="D758" s="693"/>
      <c r="E758" s="693"/>
      <c r="F758" s="693"/>
      <c r="G758" s="271"/>
    </row>
    <row r="759" spans="1:11" ht="14.25">
      <c r="A759" s="261"/>
      <c r="B759" s="679" t="s">
        <v>316</v>
      </c>
      <c r="C759" s="442"/>
      <c r="D759" s="1930" t="s">
        <v>1070</v>
      </c>
      <c r="E759" s="1930"/>
      <c r="F759" s="1930"/>
      <c r="G759" s="271"/>
    </row>
    <row r="760" spans="1:11">
      <c r="A760" s="273"/>
      <c r="B760" s="273"/>
      <c r="C760" s="442"/>
      <c r="D760" s="692"/>
      <c r="E760" s="1931" t="s">
        <v>1186</v>
      </c>
      <c r="F760" s="1931"/>
      <c r="G760" s="271"/>
    </row>
    <row r="761" spans="1:11">
      <c r="A761" s="267"/>
      <c r="B761" s="267"/>
      <c r="C761" s="267"/>
      <c r="D761" s="135"/>
      <c r="F761" s="57"/>
      <c r="G761" s="271"/>
    </row>
    <row r="762" spans="1:11">
      <c r="A762" s="1935" t="s">
        <v>471</v>
      </c>
      <c r="B762" s="1935"/>
      <c r="C762" s="1935"/>
      <c r="D762" s="1935"/>
      <c r="E762" s="1935"/>
      <c r="F762" s="1935"/>
      <c r="G762" s="1935"/>
    </row>
    <row r="763" spans="1:11">
      <c r="A763" s="255"/>
      <c r="B763" s="673"/>
      <c r="C763" s="266"/>
      <c r="D763" s="271"/>
      <c r="E763" s="271"/>
      <c r="F763" s="271"/>
      <c r="G763" s="271"/>
    </row>
    <row r="764" spans="1:11">
      <c r="A764" s="135"/>
      <c r="B764" s="1937" t="s">
        <v>1069</v>
      </c>
      <c r="C764" s="1937"/>
      <c r="D764" s="1937"/>
      <c r="E764" s="1937"/>
      <c r="F764" s="1937"/>
      <c r="G764" s="271"/>
    </row>
    <row r="765" spans="1:11">
      <c r="A765" s="23"/>
      <c r="B765" s="675"/>
      <c r="G765" s="271"/>
    </row>
    <row r="766" spans="1:11">
      <c r="A766" s="1935" t="s">
        <v>472</v>
      </c>
      <c r="B766" s="1935"/>
      <c r="C766" s="1935"/>
      <c r="D766" s="1935"/>
      <c r="E766" s="1935"/>
      <c r="F766" s="1935"/>
      <c r="G766" s="1935"/>
    </row>
    <row r="767" spans="1:11">
      <c r="A767" s="255"/>
      <c r="B767" s="673"/>
      <c r="C767" s="255"/>
      <c r="D767" s="263"/>
      <c r="G767" s="271"/>
    </row>
    <row r="768" spans="1:11">
      <c r="A768" s="135"/>
      <c r="B768" s="1881" t="s">
        <v>470</v>
      </c>
      <c r="C768" s="1881"/>
      <c r="D768" s="1881"/>
      <c r="E768" s="1881"/>
      <c r="F768" s="1881"/>
      <c r="G768" s="271"/>
    </row>
    <row r="769" spans="1:7" ht="14.25">
      <c r="A769" s="261"/>
      <c r="B769" s="261"/>
      <c r="D769" s="135"/>
      <c r="E769" s="135"/>
      <c r="F769" s="271"/>
      <c r="G769" s="271"/>
    </row>
    <row r="770" spans="1:7">
      <c r="A770" s="1935" t="s">
        <v>473</v>
      </c>
      <c r="B770" s="1935"/>
      <c r="C770" s="1935"/>
      <c r="D770" s="1935"/>
      <c r="E770" s="1935"/>
      <c r="F770" s="1935"/>
      <c r="G770" s="1935"/>
    </row>
    <row r="771" spans="1:7">
      <c r="C771" s="260"/>
      <c r="D771" s="259"/>
      <c r="E771" s="135"/>
      <c r="F771" s="271"/>
      <c r="G771" s="271"/>
    </row>
    <row r="772" spans="1:7">
      <c r="A772" s="135"/>
      <c r="B772" s="1881" t="s">
        <v>470</v>
      </c>
      <c r="C772" s="1881"/>
      <c r="D772" s="1881"/>
      <c r="E772" s="1881"/>
      <c r="F772" s="1881"/>
      <c r="G772" s="271"/>
    </row>
    <row r="773" spans="1:7">
      <c r="A773" s="135"/>
      <c r="B773" s="135"/>
      <c r="C773" s="266"/>
      <c r="D773" s="271"/>
      <c r="E773" s="271"/>
      <c r="F773" s="271"/>
      <c r="G773" s="271"/>
    </row>
    <row r="774" spans="1:7">
      <c r="A774" s="1935" t="s">
        <v>474</v>
      </c>
      <c r="B774" s="1935"/>
      <c r="C774" s="1935"/>
      <c r="D774" s="1935"/>
      <c r="E774" s="1935"/>
      <c r="F774" s="1935"/>
      <c r="G774" s="1935"/>
    </row>
    <row r="775" spans="1:7">
      <c r="A775" s="135"/>
      <c r="B775" s="135"/>
    </row>
    <row r="776" spans="1:7">
      <c r="A776" s="135"/>
      <c r="B776" s="1881" t="s">
        <v>470</v>
      </c>
      <c r="C776" s="1881"/>
      <c r="D776" s="1881"/>
      <c r="E776" s="1881"/>
      <c r="F776" s="1881"/>
    </row>
    <row r="777" spans="1:7">
      <c r="A777" s="266"/>
      <c r="B777" s="266"/>
      <c r="C777" s="266"/>
      <c r="D777" s="258"/>
      <c r="F777" s="271"/>
    </row>
    <row r="778" spans="1:7">
      <c r="A778" s="1935" t="s">
        <v>475</v>
      </c>
      <c r="B778" s="1935"/>
      <c r="C778" s="1935"/>
      <c r="D778" s="1935"/>
      <c r="E778" s="1935"/>
      <c r="F778" s="1935"/>
      <c r="G778" s="1935"/>
    </row>
    <row r="779" spans="1:7">
      <c r="A779" s="135"/>
      <c r="B779" s="135"/>
    </row>
    <row r="780" spans="1:7">
      <c r="A780" s="135"/>
      <c r="B780" s="1881" t="s">
        <v>470</v>
      </c>
      <c r="C780" s="1881"/>
      <c r="D780" s="1881"/>
      <c r="E780" s="1881"/>
      <c r="F780" s="1881"/>
    </row>
    <row r="781" spans="1:7">
      <c r="A781" s="266"/>
      <c r="B781" s="266"/>
      <c r="C781" s="266"/>
      <c r="D781" s="258"/>
      <c r="F781" s="271"/>
    </row>
    <row r="782" spans="1:7">
      <c r="A782" s="1935" t="s">
        <v>476</v>
      </c>
      <c r="B782" s="1935"/>
      <c r="C782" s="1935"/>
      <c r="D782" s="1935"/>
      <c r="E782" s="1935"/>
      <c r="F782" s="1935"/>
      <c r="G782" s="1935"/>
    </row>
    <row r="783" spans="1:7">
      <c r="A783" s="135"/>
      <c r="B783" s="135"/>
    </row>
    <row r="784" spans="1:7">
      <c r="A784" s="135"/>
      <c r="B784" s="1881" t="s">
        <v>470</v>
      </c>
      <c r="C784" s="1881"/>
      <c r="D784" s="1881"/>
      <c r="E784" s="1881"/>
      <c r="F784" s="1881"/>
    </row>
    <row r="785" spans="1:7">
      <c r="A785" s="265"/>
      <c r="B785" s="265"/>
      <c r="C785" s="265"/>
      <c r="D785" s="277"/>
      <c r="E785" s="57"/>
      <c r="F785" s="57"/>
      <c r="G785" s="57"/>
    </row>
    <row r="786" spans="1:7">
      <c r="A786" s="1935" t="s">
        <v>192</v>
      </c>
      <c r="B786" s="1935"/>
      <c r="C786" s="1935"/>
      <c r="D786" s="1935"/>
      <c r="E786" s="1935"/>
      <c r="F786" s="1935"/>
      <c r="G786" s="1935"/>
    </row>
    <row r="787" spans="1:7">
      <c r="A787" s="135"/>
      <c r="B787" s="135"/>
    </row>
    <row r="788" spans="1:7">
      <c r="A788" s="135"/>
      <c r="B788" s="1881" t="s">
        <v>470</v>
      </c>
      <c r="C788" s="1881"/>
      <c r="D788" s="1881"/>
      <c r="E788" s="1881"/>
      <c r="F788" s="1881"/>
    </row>
    <row r="789" spans="1:7">
      <c r="A789" s="135"/>
      <c r="B789" s="135"/>
      <c r="D789" s="258"/>
    </row>
    <row r="790" spans="1:7">
      <c r="A790" s="1935" t="s">
        <v>938</v>
      </c>
      <c r="B790" s="1935"/>
      <c r="C790" s="1935"/>
      <c r="D790" s="1935"/>
      <c r="E790" s="1935"/>
      <c r="F790" s="1935"/>
      <c r="G790" s="1935"/>
    </row>
    <row r="791" spans="1:7">
      <c r="A791" s="135"/>
      <c r="B791" s="135"/>
    </row>
    <row r="792" spans="1:7">
      <c r="A792" s="135"/>
      <c r="B792" s="1881" t="s">
        <v>470</v>
      </c>
      <c r="C792" s="1881"/>
      <c r="D792" s="1881"/>
      <c r="E792" s="1881"/>
      <c r="F792" s="1881"/>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4" t="s">
        <v>2401</v>
      </c>
      <c r="B2" s="1945"/>
      <c r="C2" s="1945"/>
      <c r="D2" s="1945"/>
      <c r="E2" s="1945"/>
      <c r="F2" s="1945"/>
      <c r="G2" s="1945"/>
      <c r="H2" s="1945"/>
      <c r="I2" s="1945"/>
      <c r="J2" s="1945"/>
    </row>
    <row r="3" spans="1:10" ht="15">
      <c r="A3" s="1949" t="s">
        <v>1501</v>
      </c>
      <c r="B3" s="1950"/>
      <c r="C3" s="1950"/>
      <c r="D3" s="1950"/>
      <c r="E3" s="1950"/>
      <c r="F3" s="1950"/>
      <c r="G3" s="1950"/>
      <c r="H3" s="1950"/>
      <c r="I3" s="1950"/>
      <c r="J3" s="1950"/>
    </row>
    <row r="4" spans="1:10" ht="12.75"/>
    <row r="5" spans="1:10" ht="12.75" customHeight="1">
      <c r="A5" s="1946" t="s">
        <v>2404</v>
      </c>
      <c r="B5" s="1946"/>
      <c r="C5" s="1946"/>
      <c r="D5" s="1946"/>
      <c r="E5" s="1946"/>
      <c r="F5" s="1946"/>
      <c r="G5" s="1946"/>
      <c r="H5" s="1946"/>
      <c r="I5" s="1946"/>
      <c r="J5" s="1946"/>
    </row>
    <row r="6" spans="1:10" ht="12.75">
      <c r="A6" s="1946"/>
      <c r="B6" s="1946"/>
      <c r="C6" s="1946"/>
      <c r="D6" s="1946"/>
      <c r="E6" s="1946"/>
      <c r="F6" s="1946"/>
      <c r="G6" s="1946"/>
      <c r="H6" s="1946"/>
      <c r="I6" s="1946"/>
      <c r="J6" s="1946"/>
    </row>
    <row r="7" spans="1:10" ht="30" customHeight="1">
      <c r="A7" s="1946"/>
      <c r="B7" s="1946"/>
      <c r="C7" s="1946"/>
      <c r="D7" s="1946"/>
      <c r="E7" s="1946"/>
      <c r="F7" s="1946"/>
      <c r="G7" s="1946"/>
      <c r="H7" s="1946"/>
      <c r="I7" s="1946"/>
      <c r="J7" s="1946"/>
    </row>
    <row r="8" spans="1:10" ht="12.75">
      <c r="A8" s="772"/>
      <c r="B8" s="772"/>
      <c r="C8" s="772"/>
      <c r="D8" s="772"/>
      <c r="E8" s="772"/>
      <c r="F8" s="772"/>
      <c r="G8" s="772"/>
      <c r="H8" s="772"/>
      <c r="I8" s="772"/>
      <c r="J8" s="772"/>
    </row>
    <row r="9" spans="1:10" ht="12.75" customHeight="1">
      <c r="A9" s="1828" t="s">
        <v>2405</v>
      </c>
      <c r="B9" s="1827"/>
      <c r="C9" s="1827"/>
      <c r="D9" s="1827"/>
      <c r="E9" s="1827"/>
      <c r="F9" s="1827"/>
      <c r="G9" s="1827"/>
      <c r="H9" s="1827"/>
      <c r="I9" s="1827"/>
      <c r="J9" s="1827"/>
    </row>
    <row r="10" spans="1:10" ht="12.75"/>
    <row r="11" spans="1:10" ht="12.75" customHeight="1">
      <c r="A11" s="1951" t="s">
        <v>2407</v>
      </c>
      <c r="B11" s="1951"/>
      <c r="C11" s="1951"/>
      <c r="D11" s="1951"/>
      <c r="E11" s="1951"/>
      <c r="F11" s="1951"/>
      <c r="G11" s="1951"/>
      <c r="H11" s="1951"/>
      <c r="I11" s="1951"/>
      <c r="J11" s="1951"/>
    </row>
    <row r="12" spans="1:10" ht="12.75">
      <c r="A12" s="1951"/>
      <c r="B12" s="1951"/>
      <c r="C12" s="1951"/>
      <c r="D12" s="1951"/>
      <c r="E12" s="1951"/>
      <c r="F12" s="1951"/>
      <c r="G12" s="1951"/>
      <c r="H12" s="1951"/>
      <c r="I12" s="1951"/>
      <c r="J12" s="1951"/>
    </row>
    <row r="13" spans="1:10" s="1767" customFormat="1" ht="12.75">
      <c r="A13" s="1951"/>
      <c r="B13" s="1951"/>
      <c r="C13" s="1951"/>
      <c r="D13" s="1951"/>
      <c r="E13" s="1951"/>
      <c r="F13" s="1951"/>
      <c r="G13" s="1951"/>
      <c r="H13" s="1951"/>
      <c r="I13" s="1951"/>
      <c r="J13" s="1951"/>
    </row>
    <row r="14" spans="1:10" ht="12.75">
      <c r="A14" s="1952"/>
      <c r="B14" s="1952"/>
      <c r="C14" s="1952"/>
      <c r="D14" s="1952"/>
      <c r="E14" s="1952"/>
      <c r="F14" s="1952"/>
      <c r="G14" s="1952"/>
      <c r="H14" s="1952"/>
      <c r="I14" s="1952"/>
      <c r="J14" s="1952"/>
    </row>
    <row r="15" spans="1:10" ht="12.75">
      <c r="A15" s="1952"/>
      <c r="B15" s="1952"/>
      <c r="C15" s="1952"/>
      <c r="D15" s="1952"/>
      <c r="E15" s="1952"/>
      <c r="F15" s="1952"/>
      <c r="G15" s="1952"/>
      <c r="H15" s="1952"/>
      <c r="I15" s="1952"/>
      <c r="J15" s="1952"/>
    </row>
    <row r="16" spans="1:10" ht="12.75">
      <c r="A16" s="1952"/>
      <c r="B16" s="1952"/>
      <c r="C16" s="1952"/>
      <c r="D16" s="1952"/>
      <c r="E16" s="1952"/>
      <c r="F16" s="1952"/>
      <c r="G16" s="1952"/>
      <c r="H16" s="1952"/>
      <c r="I16" s="1952"/>
      <c r="J16" s="1952"/>
    </row>
    <row r="17" spans="1:10" s="1767" customFormat="1" ht="12.75">
      <c r="A17" s="1830"/>
      <c r="B17" s="1830"/>
      <c r="C17" s="1830"/>
      <c r="D17" s="1830"/>
      <c r="E17" s="1830"/>
      <c r="F17" s="1830"/>
      <c r="G17" s="1830"/>
      <c r="H17" s="1830"/>
      <c r="I17" s="1830"/>
      <c r="J17" s="1830"/>
    </row>
    <row r="18" spans="1:10" ht="12.75">
      <c r="A18" s="773" t="s">
        <v>2406</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3" t="s">
        <v>1391</v>
      </c>
      <c r="B20" s="1950"/>
      <c r="C20" s="1950"/>
      <c r="D20" s="1950"/>
      <c r="E20" s="195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6" t="s">
        <v>1392</v>
      </c>
      <c r="B57" s="1947"/>
      <c r="C57" s="1947"/>
      <c r="D57" s="1947"/>
      <c r="E57" s="1947"/>
      <c r="F57" s="1947"/>
      <c r="G57" s="1947"/>
      <c r="H57" s="1947"/>
      <c r="I57" s="1947"/>
      <c r="J57" s="1947"/>
    </row>
    <row r="58" spans="1:10" ht="12.75">
      <c r="A58" s="1947"/>
      <c r="B58" s="1947"/>
      <c r="C58" s="1947"/>
      <c r="D58" s="1947"/>
      <c r="E58" s="1947"/>
      <c r="F58" s="1947"/>
      <c r="G58" s="1947"/>
      <c r="H58" s="1947"/>
      <c r="I58" s="1947"/>
      <c r="J58" s="1947"/>
    </row>
    <row r="59" spans="1:10" ht="12.75">
      <c r="A59" s="1947"/>
      <c r="B59" s="1947"/>
      <c r="C59" s="1947"/>
      <c r="D59" s="1947"/>
      <c r="E59" s="1947"/>
      <c r="F59" s="1947"/>
      <c r="G59" s="1947"/>
      <c r="H59" s="1947"/>
      <c r="I59" s="1947"/>
      <c r="J59" s="1947"/>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8" t="s">
        <v>2402</v>
      </c>
      <c r="B72" s="1948"/>
      <c r="C72" s="1948"/>
      <c r="D72" s="1948"/>
      <c r="E72" s="1948"/>
      <c r="F72" s="1948"/>
      <c r="G72" s="1948"/>
      <c r="H72" s="1948"/>
      <c r="I72" s="1948"/>
    </row>
    <row r="73" spans="1:9" ht="12.75">
      <c r="A73" s="1872" t="s">
        <v>1094</v>
      </c>
      <c r="B73" s="1872"/>
      <c r="C73" s="1872"/>
      <c r="D73" s="1872"/>
      <c r="E73" s="1872"/>
    </row>
    <row r="74" spans="1:9" ht="12.75">
      <c r="A74" s="1872" t="s">
        <v>1393</v>
      </c>
      <c r="B74" s="1872"/>
      <c r="C74" s="1872"/>
      <c r="D74" s="1872"/>
      <c r="E74" s="1872"/>
    </row>
    <row r="75" spans="1:9" ht="12.75">
      <c r="A75" s="1872" t="s">
        <v>2403</v>
      </c>
      <c r="B75" s="1872"/>
      <c r="C75" s="1872"/>
      <c r="D75" s="1872"/>
      <c r="E75" s="18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051" zoomScaleNormal="100" zoomScaleSheetLayoutView="100" workbookViewId="0">
      <selection activeCell="F1106" sqref="F1106"/>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2" customWidth="1"/>
    <col min="10" max="16384" width="8.85546875" style="790"/>
  </cols>
  <sheetData>
    <row r="1" spans="1:9"/>
    <row r="2" spans="1:9">
      <c r="A2" s="2004" t="s">
        <v>2242</v>
      </c>
      <c r="B2" s="2004"/>
      <c r="C2" s="2004"/>
      <c r="D2" s="2004"/>
      <c r="E2" s="2004"/>
      <c r="F2" s="2004"/>
      <c r="G2" s="2004"/>
      <c r="H2" s="2004"/>
      <c r="I2" s="2004"/>
    </row>
    <row r="3" spans="1:9">
      <c r="A3" s="2005" t="s">
        <v>2243</v>
      </c>
      <c r="B3" s="2005"/>
      <c r="C3" s="2005"/>
      <c r="D3" s="2005"/>
      <c r="E3" s="2005"/>
      <c r="F3" s="2005"/>
      <c r="G3" s="2005"/>
      <c r="H3" s="2005"/>
      <c r="I3" s="2005"/>
    </row>
    <row r="4" spans="1:9">
      <c r="A4" s="1985"/>
      <c r="B4" s="1985"/>
      <c r="C4" s="1986"/>
      <c r="D4" s="1986"/>
      <c r="E4" s="1986"/>
      <c r="F4" s="1986"/>
      <c r="G4" s="1986"/>
      <c r="I4" s="642"/>
    </row>
    <row r="5" spans="1:9" s="791" customFormat="1">
      <c r="A5" s="1985"/>
      <c r="B5" s="1985"/>
      <c r="C5" s="1991"/>
      <c r="D5" s="1991"/>
      <c r="E5" s="1991"/>
      <c r="F5" s="1991"/>
      <c r="G5" s="1991"/>
      <c r="I5" s="1835"/>
    </row>
    <row r="6" spans="1:9" s="791" customFormat="1">
      <c r="A6" s="1993" t="s">
        <v>1255</v>
      </c>
      <c r="B6" s="1993"/>
      <c r="C6" s="1994"/>
      <c r="D6" s="1994"/>
      <c r="E6" s="1994"/>
      <c r="F6" s="1994"/>
      <c r="G6" s="1994"/>
      <c r="I6" s="1834" t="s">
        <v>2417</v>
      </c>
    </row>
    <row r="7" spans="1:9" s="791" customFormat="1">
      <c r="A7" s="1993" t="s">
        <v>1256</v>
      </c>
      <c r="B7" s="1993"/>
      <c r="C7" s="1994"/>
      <c r="D7" s="1994"/>
      <c r="E7" s="1994"/>
      <c r="F7" s="1994"/>
      <c r="G7" s="1994"/>
      <c r="I7" s="1834" t="s">
        <v>2418</v>
      </c>
    </row>
    <row r="8" spans="1:9">
      <c r="A8" s="792"/>
      <c r="B8" s="792"/>
      <c r="C8" s="793"/>
      <c r="D8" s="793"/>
      <c r="E8" s="793"/>
      <c r="F8" s="793"/>
    </row>
    <row r="9" spans="1:9">
      <c r="A9" s="1922" t="s">
        <v>1258</v>
      </c>
      <c r="B9" s="1922"/>
      <c r="C9" s="1922"/>
      <c r="D9" s="1922"/>
      <c r="E9" s="1922"/>
      <c r="F9" s="1922"/>
      <c r="G9" s="1922"/>
      <c r="H9" s="1851"/>
      <c r="I9" s="1852"/>
    </row>
    <row r="10" spans="1:9">
      <c r="A10" s="793"/>
      <c r="B10" s="793"/>
      <c r="E10" s="794"/>
    </row>
    <row r="11" spans="1:9" ht="13.7" customHeight="1">
      <c r="C11" s="793"/>
      <c r="D11" s="1995" t="s">
        <v>1257</v>
      </c>
      <c r="E11" s="1995"/>
      <c r="F11" s="1995"/>
    </row>
    <row r="12" spans="1:9">
      <c r="C12" s="793"/>
      <c r="D12" s="1995"/>
      <c r="E12" s="1995"/>
      <c r="F12" s="1995"/>
    </row>
    <row r="13" spans="1:9">
      <c r="A13" s="795"/>
      <c r="B13" s="795"/>
      <c r="C13" s="795"/>
      <c r="D13" s="1906" t="s">
        <v>1240</v>
      </c>
      <c r="E13" s="1906"/>
      <c r="F13" s="1906"/>
    </row>
    <row r="14" spans="1:9">
      <c r="A14" s="795"/>
      <c r="B14" s="795"/>
      <c r="C14" s="795"/>
      <c r="D14" s="796"/>
    </row>
    <row r="15" spans="1:9" ht="14.25">
      <c r="A15" s="797"/>
      <c r="B15" s="798" t="s">
        <v>316</v>
      </c>
      <c r="C15" s="799"/>
      <c r="D15" s="1904" t="s">
        <v>1241</v>
      </c>
      <c r="E15" s="1904"/>
      <c r="F15" s="1904"/>
      <c r="I15" s="1772" t="s">
        <v>2419</v>
      </c>
    </row>
    <row r="16" spans="1:9">
      <c r="A16" s="795"/>
      <c r="B16" s="795"/>
      <c r="C16" s="799"/>
      <c r="D16" s="1904"/>
      <c r="E16" s="1904"/>
      <c r="F16" s="1904"/>
    </row>
    <row r="17" spans="1:9">
      <c r="A17" s="795"/>
      <c r="B17" s="795"/>
      <c r="C17" s="799"/>
      <c r="D17" s="1904"/>
      <c r="E17" s="1904"/>
      <c r="F17" s="1904"/>
    </row>
    <row r="18" spans="1:9">
      <c r="A18" s="795"/>
      <c r="B18" s="795"/>
      <c r="C18" s="795"/>
    </row>
    <row r="19" spans="1:9" ht="14.25">
      <c r="A19" s="797"/>
      <c r="B19" s="798" t="s">
        <v>2623</v>
      </c>
      <c r="D19" s="1930" t="s">
        <v>1242</v>
      </c>
      <c r="E19" s="1930"/>
      <c r="F19" s="1930"/>
      <c r="I19" s="1772" t="s">
        <v>2420</v>
      </c>
    </row>
    <row r="20" spans="1:9" ht="14.25">
      <c r="A20" s="797"/>
      <c r="B20" s="797"/>
      <c r="D20" s="800"/>
    </row>
    <row r="21" spans="1:9" ht="14.25">
      <c r="A21" s="797"/>
      <c r="B21" s="798" t="s">
        <v>316</v>
      </c>
      <c r="D21" s="1904" t="s">
        <v>1243</v>
      </c>
      <c r="E21" s="1904"/>
      <c r="F21" s="1904"/>
      <c r="I21" s="1772" t="s">
        <v>2420</v>
      </c>
    </row>
    <row r="22" spans="1:9" ht="14.25">
      <c r="A22" s="797"/>
      <c r="B22" s="797"/>
      <c r="D22" s="1904"/>
      <c r="E22" s="1904"/>
      <c r="F22" s="1904"/>
    </row>
    <row r="23" spans="1:9"/>
    <row r="24" spans="1:9" ht="14.25">
      <c r="A24" s="797"/>
      <c r="B24" s="798" t="s">
        <v>316</v>
      </c>
      <c r="D24" s="1990" t="s">
        <v>1244</v>
      </c>
      <c r="E24" s="1990"/>
      <c r="F24" s="1990"/>
      <c r="I24" s="1772" t="s">
        <v>2423</v>
      </c>
    </row>
    <row r="25" spans="1:9">
      <c r="D25" s="1990"/>
      <c r="E25" s="1990"/>
      <c r="F25" s="1990"/>
    </row>
    <row r="26" spans="1:9">
      <c r="D26" s="1990"/>
      <c r="E26" s="1990"/>
      <c r="F26" s="1990"/>
    </row>
    <row r="27" spans="1:9">
      <c r="D27" s="1990"/>
      <c r="E27" s="1990"/>
      <c r="F27" s="1990"/>
    </row>
    <row r="28" spans="1:9">
      <c r="D28" s="1990"/>
      <c r="E28" s="1990"/>
      <c r="F28" s="1990"/>
    </row>
    <row r="29" spans="1:9" s="791" customFormat="1">
      <c r="A29" s="801"/>
      <c r="B29" s="801"/>
      <c r="C29" s="801"/>
      <c r="D29" s="733"/>
      <c r="E29" s="802"/>
      <c r="F29" s="802"/>
      <c r="G29" s="802"/>
      <c r="I29" s="1835"/>
    </row>
    <row r="30" spans="1:9" s="791" customFormat="1">
      <c r="A30" s="801"/>
      <c r="B30" s="798" t="s">
        <v>316</v>
      </c>
      <c r="C30" s="801"/>
      <c r="D30" s="1905" t="s">
        <v>1245</v>
      </c>
      <c r="E30" s="1905"/>
      <c r="F30" s="1905"/>
      <c r="G30" s="802"/>
      <c r="I30" s="1835" t="s">
        <v>2419</v>
      </c>
    </row>
    <row r="31" spans="1:9" s="791" customFormat="1">
      <c r="A31" s="801"/>
      <c r="B31" s="801"/>
      <c r="C31" s="801"/>
      <c r="D31" s="1905"/>
      <c r="E31" s="1905"/>
      <c r="F31" s="1905"/>
      <c r="G31" s="802"/>
      <c r="I31" s="1835"/>
    </row>
    <row r="32" spans="1:9" ht="14.25">
      <c r="A32" s="797"/>
      <c r="B32" s="797"/>
      <c r="D32" s="803"/>
    </row>
    <row r="33" spans="1:9" ht="14.45" customHeight="1">
      <c r="A33" s="797"/>
      <c r="B33" s="798" t="s">
        <v>316</v>
      </c>
      <c r="D33" s="1905" t="s">
        <v>1424</v>
      </c>
      <c r="E33" s="1905"/>
      <c r="F33" s="1905"/>
      <c r="I33" s="1835" t="s">
        <v>2491</v>
      </c>
    </row>
    <row r="34" spans="1:9" ht="14.25">
      <c r="A34" s="797"/>
      <c r="B34" s="797"/>
      <c r="D34" s="1905"/>
      <c r="E34" s="1905"/>
      <c r="F34" s="1905"/>
    </row>
    <row r="35" spans="1:9" ht="14.25">
      <c r="A35" s="797"/>
      <c r="B35" s="797"/>
      <c r="D35" s="1905"/>
      <c r="E35" s="1905"/>
      <c r="F35" s="1905"/>
    </row>
    <row r="36" spans="1:9" ht="14.25">
      <c r="A36" s="797"/>
      <c r="B36" s="797"/>
      <c r="D36" s="1905"/>
      <c r="E36" s="1905"/>
      <c r="F36" s="1905"/>
    </row>
    <row r="37" spans="1:9" ht="14.25">
      <c r="A37" s="797"/>
      <c r="B37" s="797"/>
      <c r="D37" s="790"/>
    </row>
    <row r="38" spans="1:9" ht="14.25">
      <c r="A38" s="797"/>
      <c r="B38" s="798" t="s">
        <v>316</v>
      </c>
      <c r="D38" s="1905" t="s">
        <v>1247</v>
      </c>
      <c r="E38" s="1905"/>
      <c r="F38" s="1905"/>
    </row>
    <row r="39" spans="1:9" ht="14.25">
      <c r="A39" s="797"/>
      <c r="B39" s="797"/>
      <c r="D39" s="1905"/>
      <c r="E39" s="1905"/>
      <c r="F39" s="1905"/>
    </row>
    <row r="40" spans="1:9" ht="14.25">
      <c r="A40" s="797"/>
      <c r="B40" s="797"/>
      <c r="D40" s="1905"/>
      <c r="E40" s="1905"/>
      <c r="F40" s="1905"/>
    </row>
    <row r="41" spans="1:9" ht="14.25">
      <c r="A41" s="797"/>
      <c r="B41" s="797"/>
      <c r="D41" s="1905"/>
      <c r="E41" s="1905"/>
      <c r="F41" s="1905"/>
    </row>
    <row r="42" spans="1:9" ht="14.25">
      <c r="A42" s="797"/>
      <c r="B42" s="797"/>
      <c r="D42" s="1905"/>
      <c r="E42" s="1905"/>
      <c r="F42" s="1905"/>
    </row>
    <row r="43" spans="1:9" ht="14.25">
      <c r="A43" s="797"/>
      <c r="B43" s="797"/>
      <c r="D43" s="781"/>
      <c r="E43" s="781"/>
      <c r="F43" s="781"/>
    </row>
    <row r="44" spans="1:9" ht="14.25">
      <c r="A44" s="797"/>
      <c r="B44" s="798" t="s">
        <v>316</v>
      </c>
      <c r="D44" s="1905" t="s">
        <v>1248</v>
      </c>
      <c r="E44" s="1905"/>
      <c r="F44" s="1905"/>
      <c r="I44" s="1835" t="s">
        <v>2491</v>
      </c>
    </row>
    <row r="45" spans="1:9" ht="14.25">
      <c r="A45" s="797"/>
      <c r="B45" s="797"/>
      <c r="D45" s="1905"/>
      <c r="E45" s="1905"/>
      <c r="F45" s="1905"/>
    </row>
    <row r="46" spans="1:9" ht="14.25">
      <c r="A46" s="797"/>
      <c r="B46" s="797"/>
      <c r="D46" s="1905"/>
      <c r="E46" s="1905"/>
      <c r="F46" s="1905"/>
    </row>
    <row r="47" spans="1:9" ht="23.25" customHeight="1">
      <c r="A47" s="797"/>
      <c r="B47" s="797"/>
      <c r="D47" s="1905"/>
      <c r="E47" s="1905"/>
      <c r="F47" s="1905"/>
    </row>
    <row r="48" spans="1:9" ht="14.25">
      <c r="A48" s="797"/>
      <c r="B48" s="797"/>
      <c r="D48" s="785"/>
    </row>
    <row r="49" spans="1:9" ht="14.45" customHeight="1">
      <c r="A49" s="797"/>
      <c r="B49" s="798" t="s">
        <v>316</v>
      </c>
      <c r="D49" s="1905" t="s">
        <v>1249</v>
      </c>
      <c r="E49" s="1905"/>
      <c r="F49" s="1905"/>
      <c r="I49" s="1835" t="s">
        <v>2491</v>
      </c>
    </row>
    <row r="50" spans="1:9" ht="14.25">
      <c r="A50" s="797"/>
      <c r="B50" s="797"/>
      <c r="D50" s="1905"/>
      <c r="E50" s="1905"/>
      <c r="F50" s="1905"/>
    </row>
    <row r="51" spans="1:9" ht="14.25">
      <c r="A51" s="797"/>
      <c r="B51" s="797"/>
      <c r="D51" s="1905"/>
      <c r="E51" s="1905"/>
      <c r="F51" s="1905"/>
    </row>
    <row r="52" spans="1:9" s="618" customFormat="1" ht="14.25">
      <c r="A52" s="797"/>
      <c r="B52" s="797"/>
      <c r="C52" s="804"/>
      <c r="D52" s="802"/>
      <c r="E52" s="693"/>
      <c r="F52" s="693"/>
      <c r="G52" s="693"/>
      <c r="I52" s="642"/>
    </row>
    <row r="53" spans="1:9" s="618" customFormat="1" ht="14.25">
      <c r="A53" s="805"/>
      <c r="B53" s="798" t="s">
        <v>316</v>
      </c>
      <c r="C53" s="806"/>
      <c r="D53" s="1905" t="s">
        <v>1250</v>
      </c>
      <c r="E53" s="1905"/>
      <c r="F53" s="1905"/>
      <c r="G53" s="693"/>
      <c r="I53" s="1772"/>
    </row>
    <row r="54" spans="1:9" s="618" customFormat="1" ht="14.25">
      <c r="A54" s="805"/>
      <c r="B54" s="805"/>
      <c r="C54" s="806"/>
      <c r="D54" s="1905"/>
      <c r="E54" s="1905"/>
      <c r="F54" s="1905"/>
      <c r="G54" s="693"/>
      <c r="I54" s="642"/>
    </row>
    <row r="55" spans="1:9" s="791" customFormat="1">
      <c r="A55" s="801"/>
      <c r="B55" s="801"/>
      <c r="C55" s="801"/>
      <c r="D55" s="733"/>
      <c r="E55" s="802"/>
      <c r="F55" s="802"/>
      <c r="G55" s="802"/>
      <c r="I55" s="1835"/>
    </row>
    <row r="56" spans="1:9" ht="14.25">
      <c r="A56" s="797"/>
      <c r="B56" s="798" t="s">
        <v>316</v>
      </c>
      <c r="D56" s="1905" t="s">
        <v>1251</v>
      </c>
      <c r="E56" s="1905"/>
      <c r="F56" s="1905"/>
      <c r="I56" s="1772" t="s">
        <v>2421</v>
      </c>
    </row>
    <row r="57" spans="1:9">
      <c r="D57" s="1905"/>
      <c r="E57" s="1905"/>
      <c r="F57" s="1905"/>
    </row>
    <row r="58" spans="1:9">
      <c r="D58" s="1905"/>
      <c r="E58" s="1905"/>
      <c r="F58" s="1905"/>
    </row>
    <row r="59" spans="1:9">
      <c r="D59" s="693"/>
    </row>
    <row r="60" spans="1:9" ht="14.25">
      <c r="A60" s="797"/>
      <c r="B60" s="798" t="s">
        <v>316</v>
      </c>
      <c r="D60" s="1905" t="s">
        <v>1252</v>
      </c>
      <c r="E60" s="1905"/>
      <c r="F60" s="1905"/>
      <c r="I60" s="1772" t="s">
        <v>2422</v>
      </c>
    </row>
    <row r="61" spans="1:9">
      <c r="D61" s="1905"/>
      <c r="E61" s="1905"/>
      <c r="F61" s="1905"/>
    </row>
    <row r="62" spans="1:9"/>
    <row r="63" spans="1:9" ht="14.25">
      <c r="A63" s="797"/>
      <c r="B63" s="798" t="s">
        <v>316</v>
      </c>
      <c r="D63" s="1905" t="s">
        <v>1253</v>
      </c>
      <c r="E63" s="1905"/>
      <c r="F63" s="1905"/>
    </row>
    <row r="64" spans="1:9">
      <c r="D64" s="1905"/>
      <c r="E64" s="1905"/>
      <c r="F64" s="1905"/>
      <c r="I64" s="1772" t="s">
        <v>2423</v>
      </c>
    </row>
    <row r="65" spans="1:9">
      <c r="D65" s="1905"/>
      <c r="E65" s="1905"/>
      <c r="F65" s="1905"/>
    </row>
    <row r="66" spans="1:9">
      <c r="D66" s="790"/>
    </row>
    <row r="67" spans="1:9" ht="14.25">
      <c r="A67" s="797"/>
      <c r="B67" s="798" t="s">
        <v>316</v>
      </c>
      <c r="D67" s="1904" t="s">
        <v>1254</v>
      </c>
      <c r="E67" s="1904"/>
      <c r="F67" s="1904"/>
      <c r="I67" s="1772" t="s">
        <v>2423</v>
      </c>
    </row>
    <row r="68" spans="1:9">
      <c r="D68" s="1904"/>
      <c r="E68" s="1904"/>
      <c r="F68" s="1904"/>
    </row>
    <row r="69" spans="1:9" ht="14.25">
      <c r="A69" s="797"/>
      <c r="B69" s="797"/>
      <c r="D69" s="800"/>
    </row>
    <row r="70" spans="1:9">
      <c r="A70" s="1886" t="s">
        <v>1161</v>
      </c>
      <c r="B70" s="1886"/>
      <c r="C70" s="1886"/>
      <c r="D70" s="1886"/>
      <c r="E70" s="1886"/>
      <c r="F70" s="1886"/>
      <c r="G70" s="1886"/>
      <c r="H70" s="1851"/>
      <c r="I70" s="1852"/>
    </row>
    <row r="71" spans="1:9"/>
    <row r="72" spans="1:9">
      <c r="C72" s="807"/>
      <c r="D72" s="1975" t="s">
        <v>1259</v>
      </c>
      <c r="E72" s="1975"/>
      <c r="F72" s="1975"/>
    </row>
    <row r="73" spans="1:9">
      <c r="A73" s="800"/>
      <c r="B73" s="800"/>
      <c r="D73" s="1904" t="s">
        <v>1286</v>
      </c>
      <c r="E73" s="1904"/>
      <c r="F73" s="1904"/>
    </row>
    <row r="74" spans="1:9">
      <c r="A74" s="800"/>
      <c r="B74" s="800"/>
    </row>
    <row r="75" spans="1:9" ht="13.7" customHeight="1">
      <c r="A75" s="797"/>
      <c r="B75" s="798" t="s">
        <v>2623</v>
      </c>
      <c r="D75" s="1904" t="s">
        <v>1473</v>
      </c>
      <c r="E75" s="1904"/>
      <c r="F75" s="1904"/>
      <c r="I75" s="1772" t="s">
        <v>2424</v>
      </c>
    </row>
    <row r="76" spans="1:9" ht="14.25">
      <c r="A76" s="797"/>
      <c r="B76" s="797"/>
      <c r="D76" s="1904"/>
      <c r="E76" s="1904"/>
      <c r="F76" s="1904"/>
    </row>
    <row r="77" spans="1:9" ht="14.25">
      <c r="A77" s="797"/>
      <c r="B77" s="797"/>
      <c r="D77" s="1904"/>
      <c r="E77" s="1904"/>
      <c r="F77" s="1904"/>
    </row>
    <row r="78" spans="1:9" ht="14.25">
      <c r="A78" s="797"/>
      <c r="B78" s="797"/>
      <c r="D78" s="1904"/>
      <c r="E78" s="1904"/>
      <c r="F78" s="1904"/>
    </row>
    <row r="79" spans="1:9" ht="14.25">
      <c r="A79" s="797"/>
      <c r="B79" s="797"/>
      <c r="D79" s="1904"/>
      <c r="E79" s="1904"/>
      <c r="F79" s="1904"/>
    </row>
    <row r="80" spans="1:9" ht="14.25">
      <c r="A80" s="797"/>
      <c r="B80" s="797"/>
      <c r="D80" s="1904"/>
      <c r="E80" s="1904"/>
      <c r="F80" s="1904"/>
    </row>
    <row r="81" spans="1:9" ht="14.25">
      <c r="A81" s="797"/>
      <c r="B81" s="797"/>
      <c r="D81" s="1904"/>
      <c r="E81" s="1904"/>
      <c r="F81" s="1904"/>
    </row>
    <row r="82" spans="1:9" ht="14.25">
      <c r="A82" s="797"/>
      <c r="B82" s="797"/>
      <c r="D82" s="1904"/>
      <c r="E82" s="1904"/>
      <c r="F82" s="1904"/>
    </row>
    <row r="83" spans="1:9" ht="14.25">
      <c r="A83" s="797"/>
      <c r="B83" s="797"/>
      <c r="D83" s="878"/>
      <c r="E83" s="878"/>
      <c r="F83" s="878"/>
    </row>
    <row r="84" spans="1:9" ht="15" customHeight="1">
      <c r="A84" s="797"/>
      <c r="B84" s="798" t="s">
        <v>2623</v>
      </c>
      <c r="D84" s="1904" t="s">
        <v>2244</v>
      </c>
      <c r="E84" s="1904"/>
      <c r="F84" s="1904"/>
      <c r="I84" s="1772" t="s">
        <v>2425</v>
      </c>
    </row>
    <row r="85" spans="1:9" ht="14.25">
      <c r="A85" s="797"/>
      <c r="B85" s="797"/>
      <c r="D85" s="1904"/>
      <c r="E85" s="1904"/>
      <c r="F85" s="1904"/>
    </row>
    <row r="86" spans="1:9" ht="14.25">
      <c r="A86" s="797"/>
      <c r="B86" s="797"/>
      <c r="D86" s="1710"/>
      <c r="E86" s="1710"/>
      <c r="F86" s="1710"/>
    </row>
    <row r="87" spans="1:9" ht="14.25">
      <c r="A87" s="797"/>
      <c r="B87" s="798" t="s">
        <v>2623</v>
      </c>
      <c r="D87" s="1904" t="s">
        <v>2248</v>
      </c>
      <c r="E87" s="1904"/>
      <c r="F87" s="1904"/>
      <c r="I87" s="1772" t="s">
        <v>2426</v>
      </c>
    </row>
    <row r="88" spans="1:9" ht="14.25">
      <c r="A88" s="797"/>
      <c r="B88" s="797"/>
      <c r="D88" s="1904"/>
      <c r="E88" s="1904"/>
      <c r="F88" s="1904"/>
    </row>
    <row r="89" spans="1:9" ht="14.25">
      <c r="A89" s="797"/>
      <c r="B89" s="797"/>
      <c r="D89" s="1904"/>
      <c r="E89" s="1904"/>
      <c r="F89" s="1904"/>
    </row>
    <row r="90" spans="1:9" ht="14.25">
      <c r="A90" s="797"/>
      <c r="B90" s="797"/>
      <c r="D90" s="1710"/>
      <c r="E90" s="1710"/>
      <c r="F90" s="1710"/>
    </row>
    <row r="91" spans="1:9" ht="14.25">
      <c r="A91" s="797"/>
      <c r="B91" s="798" t="s">
        <v>2623</v>
      </c>
      <c r="D91" s="1904" t="s">
        <v>2246</v>
      </c>
      <c r="E91" s="1904"/>
      <c r="F91" s="1904"/>
      <c r="I91" s="1772" t="s">
        <v>2471</v>
      </c>
    </row>
    <row r="92" spans="1:9" s="1727" customFormat="1" ht="14.25">
      <c r="A92" s="1725"/>
      <c r="B92" s="1725"/>
      <c r="C92" s="1726"/>
      <c r="D92" s="1904"/>
      <c r="E92" s="1904"/>
      <c r="F92" s="1904"/>
      <c r="I92" s="1836"/>
    </row>
    <row r="93" spans="1:9" ht="14.25">
      <c r="A93" s="797"/>
      <c r="B93" s="797"/>
      <c r="D93" s="1716"/>
      <c r="E93" s="1717" t="s">
        <v>2247</v>
      </c>
      <c r="F93" s="1710"/>
    </row>
    <row r="94" spans="1:9" ht="14.25">
      <c r="A94" s="797"/>
      <c r="B94" s="797"/>
      <c r="D94" s="878"/>
      <c r="E94" s="878"/>
      <c r="F94" s="878"/>
    </row>
    <row r="95" spans="1:9" ht="14.25">
      <c r="A95" s="797"/>
      <c r="B95" s="798" t="s">
        <v>2626</v>
      </c>
      <c r="D95" s="1904" t="s">
        <v>2245</v>
      </c>
      <c r="E95" s="1904"/>
      <c r="F95" s="1904"/>
      <c r="I95" s="1772" t="s">
        <v>2427</v>
      </c>
    </row>
    <row r="96" spans="1:9" ht="14.25">
      <c r="A96" s="797"/>
      <c r="B96" s="797"/>
      <c r="D96" s="1904"/>
      <c r="E96" s="1904"/>
      <c r="F96" s="1904"/>
    </row>
    <row r="97" spans="1:9" ht="14.25">
      <c r="A97" s="797"/>
      <c r="B97" s="797"/>
      <c r="D97" s="1710"/>
      <c r="E97" s="1710"/>
      <c r="F97" s="1710"/>
    </row>
    <row r="98" spans="1:9" ht="14.45" customHeight="1">
      <c r="A98" s="797"/>
      <c r="B98" s="798" t="s">
        <v>2626</v>
      </c>
      <c r="D98" s="1904" t="s">
        <v>1399</v>
      </c>
      <c r="E98" s="1904"/>
      <c r="F98" s="1904"/>
      <c r="G98" s="790"/>
      <c r="I98" s="1772" t="s">
        <v>2428</v>
      </c>
    </row>
    <row r="99" spans="1:9" ht="14.25">
      <c r="A99" s="797"/>
      <c r="B99" s="797"/>
      <c r="D99" s="1904"/>
      <c r="E99" s="1904"/>
      <c r="F99" s="1904"/>
      <c r="G99" s="790"/>
    </row>
    <row r="100" spans="1:9" ht="14.25">
      <c r="A100" s="797"/>
      <c r="B100" s="797"/>
      <c r="D100" s="1904"/>
      <c r="E100" s="1904"/>
      <c r="F100" s="1904"/>
      <c r="G100" s="790"/>
    </row>
    <row r="101" spans="1:9" ht="14.25">
      <c r="A101" s="797"/>
      <c r="B101" s="797"/>
      <c r="D101" s="1904"/>
      <c r="E101" s="1904"/>
      <c r="F101" s="1904"/>
      <c r="G101" s="790"/>
    </row>
    <row r="102" spans="1:9" ht="14.25">
      <c r="A102" s="797"/>
      <c r="B102" s="797"/>
      <c r="D102" s="1904"/>
      <c r="E102" s="1904"/>
      <c r="F102" s="1904"/>
      <c r="G102" s="790"/>
    </row>
    <row r="103" spans="1:9" ht="14.25">
      <c r="A103" s="797"/>
      <c r="B103" s="797"/>
      <c r="D103" s="1904"/>
      <c r="E103" s="1904"/>
      <c r="F103" s="1904"/>
      <c r="G103" s="790"/>
    </row>
    <row r="104" spans="1:9" ht="14.25">
      <c r="A104" s="797"/>
      <c r="B104" s="797"/>
      <c r="D104" s="1904"/>
      <c r="E104" s="1904"/>
      <c r="F104" s="1904"/>
      <c r="G104" s="790"/>
    </row>
    <row r="105" spans="1:9" ht="14.25">
      <c r="A105" s="797"/>
      <c r="B105" s="797"/>
      <c r="D105" s="1904"/>
      <c r="E105" s="1904"/>
      <c r="F105" s="1904"/>
      <c r="G105" s="790"/>
    </row>
    <row r="106" spans="1:9" ht="14.25">
      <c r="A106" s="797"/>
      <c r="B106" s="797"/>
      <c r="D106" s="1904"/>
      <c r="E106" s="1904"/>
      <c r="F106" s="1904"/>
      <c r="G106" s="790"/>
    </row>
    <row r="107" spans="1:9" ht="14.25">
      <c r="A107" s="797"/>
      <c r="B107" s="797"/>
      <c r="D107" s="1904"/>
      <c r="E107" s="1904"/>
      <c r="F107" s="1904"/>
      <c r="G107" s="790"/>
    </row>
    <row r="108" spans="1:9" ht="14.25">
      <c r="A108" s="797"/>
      <c r="B108" s="797"/>
      <c r="D108" s="1904"/>
      <c r="E108" s="1904"/>
      <c r="F108" s="1904"/>
      <c r="G108" s="790"/>
    </row>
    <row r="109" spans="1:9" ht="14.25">
      <c r="A109" s="797"/>
      <c r="B109" s="797"/>
      <c r="D109" s="1904"/>
      <c r="E109" s="1904"/>
      <c r="F109" s="1904"/>
      <c r="G109" s="790"/>
    </row>
    <row r="110" spans="1:9" ht="14.25">
      <c r="A110" s="797"/>
      <c r="B110" s="797"/>
      <c r="D110" s="1904"/>
      <c r="E110" s="1904"/>
      <c r="F110" s="1904"/>
      <c r="G110" s="790"/>
    </row>
    <row r="111" spans="1:9" ht="14.25">
      <c r="A111" s="797"/>
      <c r="B111" s="797"/>
      <c r="D111" s="1904"/>
      <c r="E111" s="1904"/>
      <c r="F111" s="1904"/>
    </row>
    <row r="112" spans="1:9" ht="14.25">
      <c r="A112" s="797"/>
      <c r="B112" s="797"/>
      <c r="D112" s="1904"/>
      <c r="E112" s="1904"/>
      <c r="F112" s="1904"/>
    </row>
    <row r="113" spans="1:11" ht="14.25">
      <c r="A113" s="797"/>
      <c r="B113" s="797"/>
      <c r="D113" s="904"/>
      <c r="E113" s="904"/>
      <c r="F113" s="904"/>
    </row>
    <row r="114" spans="1:11" ht="14.25" customHeight="1">
      <c r="A114" s="797"/>
      <c r="B114" s="798" t="s">
        <v>2626</v>
      </c>
      <c r="D114" s="1924" t="s">
        <v>1261</v>
      </c>
      <c r="E114" s="1924"/>
      <c r="F114" s="1924"/>
    </row>
    <row r="115" spans="1:11" ht="14.25">
      <c r="A115" s="797"/>
      <c r="B115" s="797"/>
      <c r="D115" s="1924"/>
      <c r="E115" s="1924"/>
      <c r="F115" s="1924"/>
    </row>
    <row r="116" spans="1:11" ht="14.25">
      <c r="A116" s="797"/>
      <c r="B116" s="797"/>
      <c r="D116" s="1924"/>
      <c r="E116" s="1924"/>
      <c r="F116" s="1924"/>
    </row>
    <row r="117" spans="1:11" ht="14.25">
      <c r="A117" s="797"/>
      <c r="B117" s="797"/>
      <c r="D117" s="1924"/>
      <c r="E117" s="1924"/>
      <c r="F117" s="1924"/>
    </row>
    <row r="118" spans="1:11" ht="14.25">
      <c r="A118" s="797"/>
      <c r="B118" s="797"/>
      <c r="D118" s="1924"/>
      <c r="E118" s="1924"/>
      <c r="F118" s="1924"/>
    </row>
    <row r="119" spans="1:11" ht="14.25">
      <c r="A119" s="797"/>
      <c r="B119" s="797"/>
      <c r="D119" s="1924"/>
      <c r="E119" s="1924"/>
      <c r="F119" s="1924"/>
    </row>
    <row r="120" spans="1:11" ht="14.25">
      <c r="A120" s="797"/>
      <c r="B120" s="797"/>
      <c r="D120" s="1924"/>
      <c r="E120" s="1924"/>
      <c r="F120" s="1924"/>
    </row>
    <row r="121" spans="1:11" ht="14.25">
      <c r="A121" s="797"/>
      <c r="B121" s="797"/>
      <c r="D121" s="1924"/>
      <c r="E121" s="1924"/>
      <c r="F121" s="1924"/>
    </row>
    <row r="122" spans="1:11">
      <c r="C122" s="722"/>
      <c r="D122" s="905"/>
      <c r="E122" s="905"/>
      <c r="F122" s="905"/>
      <c r="G122" s="722"/>
      <c r="H122" s="722"/>
      <c r="I122" s="622"/>
      <c r="J122" s="722"/>
      <c r="K122" s="722"/>
    </row>
    <row r="123" spans="1:11" ht="14.25">
      <c r="A123" s="797"/>
      <c r="B123" s="798" t="s">
        <v>2623</v>
      </c>
      <c r="C123" s="722"/>
      <c r="D123" s="1924" t="s">
        <v>1263</v>
      </c>
      <c r="E123" s="1924"/>
      <c r="F123" s="1924"/>
      <c r="G123" s="722"/>
      <c r="H123" s="722"/>
      <c r="I123" s="622" t="s">
        <v>2429</v>
      </c>
      <c r="J123" s="722"/>
      <c r="K123" s="722"/>
    </row>
    <row r="124" spans="1:11" ht="14.25">
      <c r="A124" s="797"/>
      <c r="B124" s="797"/>
      <c r="C124" s="722"/>
      <c r="D124" s="1924"/>
      <c r="E124" s="1924"/>
      <c r="F124" s="1924"/>
      <c r="G124" s="722"/>
      <c r="H124" s="722"/>
      <c r="I124" s="622"/>
      <c r="J124" s="722"/>
      <c r="K124" s="722"/>
    </row>
    <row r="125" spans="1:11"/>
    <row r="126" spans="1:11" ht="14.25">
      <c r="A126" s="797"/>
      <c r="B126" s="798" t="s">
        <v>2626</v>
      </c>
      <c r="C126" s="804"/>
      <c r="D126" s="1904" t="s">
        <v>1264</v>
      </c>
      <c r="E126" s="1904"/>
      <c r="F126" s="1904"/>
      <c r="I126" s="622" t="s">
        <v>2429</v>
      </c>
    </row>
    <row r="127" spans="1:11">
      <c r="C127" s="804"/>
      <c r="D127" s="1904"/>
      <c r="E127" s="1904"/>
      <c r="F127" s="1904"/>
    </row>
    <row r="128" spans="1:11">
      <c r="C128" s="804"/>
      <c r="D128" s="1904"/>
      <c r="E128" s="1904"/>
      <c r="F128" s="1904"/>
    </row>
    <row r="129" spans="1:9">
      <c r="C129" s="804"/>
      <c r="D129" s="1904"/>
      <c r="E129" s="1904"/>
      <c r="F129" s="1904"/>
    </row>
    <row r="130" spans="1:9">
      <c r="C130" s="804"/>
      <c r="D130" s="1904"/>
      <c r="E130" s="1904"/>
      <c r="F130" s="1904"/>
    </row>
    <row r="131" spans="1:9">
      <c r="C131" s="804"/>
      <c r="D131" s="672"/>
      <c r="E131" s="672"/>
      <c r="F131" s="672"/>
    </row>
    <row r="132" spans="1:9" s="722" customFormat="1" ht="14.25">
      <c r="A132" s="797"/>
      <c r="B132" s="798" t="s">
        <v>2623</v>
      </c>
      <c r="C132" s="804"/>
      <c r="D132" s="1905" t="s">
        <v>1265</v>
      </c>
      <c r="E132" s="1905"/>
      <c r="F132" s="1905"/>
      <c r="G132" s="672"/>
      <c r="I132" s="622" t="s">
        <v>2430</v>
      </c>
    </row>
    <row r="133" spans="1:9" s="812" customFormat="1" ht="13.7" customHeight="1">
      <c r="A133" s="809"/>
      <c r="B133" s="809"/>
      <c r="C133" s="810"/>
      <c r="D133" s="1905"/>
      <c r="E133" s="1905"/>
      <c r="F133" s="1905"/>
      <c r="G133" s="811"/>
      <c r="I133" s="1837"/>
    </row>
    <row r="134" spans="1:9" s="722" customFormat="1" ht="13.7" customHeight="1">
      <c r="A134" s="788"/>
      <c r="B134" s="788"/>
      <c r="C134" s="804"/>
      <c r="D134" s="1905"/>
      <c r="E134" s="1905"/>
      <c r="F134" s="1905"/>
      <c r="G134" s="672"/>
      <c r="I134" s="622"/>
    </row>
    <row r="135" spans="1:9" s="722" customFormat="1" ht="13.7" customHeight="1">
      <c r="A135" s="788"/>
      <c r="B135" s="788"/>
      <c r="C135" s="804"/>
      <c r="D135" s="1905"/>
      <c r="E135" s="1905"/>
      <c r="F135" s="1905"/>
      <c r="G135" s="672"/>
      <c r="I135" s="622"/>
    </row>
    <row r="136" spans="1:9" s="722" customFormat="1" ht="13.7" customHeight="1">
      <c r="A136" s="788"/>
      <c r="B136" s="788"/>
      <c r="C136" s="804"/>
      <c r="D136" s="1905"/>
      <c r="E136" s="1905"/>
      <c r="F136" s="1905"/>
      <c r="G136" s="672"/>
      <c r="I136" s="622"/>
    </row>
    <row r="137" spans="1:9" s="722" customFormat="1" ht="13.7" customHeight="1">
      <c r="A137" s="813"/>
      <c r="B137" s="813"/>
      <c r="C137" s="804"/>
      <c r="D137" s="1905"/>
      <c r="E137" s="1905"/>
      <c r="F137" s="1905"/>
      <c r="G137" s="672"/>
      <c r="I137" s="622"/>
    </row>
    <row r="138" spans="1:9" s="618" customFormat="1" ht="13.7" customHeight="1">
      <c r="A138" s="801"/>
      <c r="B138" s="801"/>
      <c r="C138" s="806"/>
      <c r="D138" s="1905"/>
      <c r="E138" s="1905"/>
      <c r="F138" s="1905"/>
      <c r="G138" s="693"/>
      <c r="I138" s="642"/>
    </row>
    <row r="139" spans="1:9" s="618" customFormat="1" ht="13.7" customHeight="1">
      <c r="A139" s="801"/>
      <c r="B139" s="801"/>
      <c r="C139" s="806"/>
      <c r="D139" s="1905"/>
      <c r="E139" s="1905"/>
      <c r="F139" s="1905"/>
      <c r="G139" s="693"/>
      <c r="I139" s="642"/>
    </row>
    <row r="140" spans="1:9" s="722" customFormat="1" ht="13.7" customHeight="1">
      <c r="A140" s="788"/>
      <c r="B140" s="788"/>
      <c r="C140" s="804"/>
      <c r="D140" s="1905"/>
      <c r="E140" s="1905"/>
      <c r="F140" s="1905"/>
      <c r="G140" s="672"/>
      <c r="I140" s="622"/>
    </row>
    <row r="141" spans="1:9" s="722" customFormat="1" ht="13.7" customHeight="1">
      <c r="A141" s="788"/>
      <c r="B141" s="788"/>
      <c r="C141" s="804"/>
      <c r="D141" s="1905"/>
      <c r="E141" s="1905"/>
      <c r="F141" s="1905"/>
      <c r="G141" s="672"/>
      <c r="I141" s="622"/>
    </row>
    <row r="142" spans="1:9" s="722" customFormat="1" ht="13.7" customHeight="1">
      <c r="A142" s="788"/>
      <c r="B142" s="788"/>
      <c r="C142" s="804"/>
      <c r="D142" s="1905"/>
      <c r="E142" s="1905"/>
      <c r="F142" s="1905"/>
      <c r="G142" s="672"/>
      <c r="I142" s="622"/>
    </row>
    <row r="143" spans="1:9" s="722" customFormat="1" ht="13.7" customHeight="1">
      <c r="A143" s="788"/>
      <c r="B143" s="788"/>
      <c r="C143" s="804"/>
      <c r="D143" s="1905"/>
      <c r="E143" s="1905"/>
      <c r="F143" s="1905"/>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2626</v>
      </c>
      <c r="C145" s="804"/>
      <c r="D145" s="1988" t="s">
        <v>1373</v>
      </c>
      <c r="E145" s="1988"/>
      <c r="F145" s="1988"/>
      <c r="G145" s="672"/>
      <c r="I145" s="622" t="s">
        <v>2431</v>
      </c>
    </row>
    <row r="146" spans="1:9" s="722" customFormat="1" ht="13.7" customHeight="1">
      <c r="A146" s="788"/>
      <c r="B146" s="788"/>
      <c r="C146" s="804"/>
      <c r="D146" s="1988"/>
      <c r="E146" s="1988"/>
      <c r="F146" s="1988"/>
      <c r="G146" s="672"/>
      <c r="I146" s="622"/>
    </row>
    <row r="147" spans="1:9" s="722" customFormat="1" ht="13.7" customHeight="1">
      <c r="A147" s="788"/>
      <c r="B147" s="788"/>
      <c r="C147" s="804"/>
      <c r="D147" s="1988"/>
      <c r="E147" s="1988"/>
      <c r="F147" s="1988"/>
      <c r="G147" s="672"/>
      <c r="I147" s="622"/>
    </row>
    <row r="148" spans="1:9" s="722" customFormat="1" ht="13.7" customHeight="1">
      <c r="A148" s="788"/>
      <c r="B148" s="788"/>
      <c r="C148" s="804"/>
      <c r="D148" s="1988"/>
      <c r="E148" s="1988"/>
      <c r="F148" s="1988"/>
      <c r="G148" s="672"/>
      <c r="I148" s="622"/>
    </row>
    <row r="149" spans="1:9" s="722" customFormat="1" ht="13.7" customHeight="1">
      <c r="A149" s="788"/>
      <c r="B149" s="788"/>
      <c r="C149" s="804"/>
      <c r="D149" s="1988"/>
      <c r="E149" s="1988"/>
      <c r="F149" s="1988"/>
      <c r="G149" s="672"/>
      <c r="I149" s="622"/>
    </row>
    <row r="150" spans="1:9" s="722" customFormat="1" ht="13.7" customHeight="1">
      <c r="A150" s="788"/>
      <c r="B150" s="788"/>
      <c r="C150" s="804"/>
      <c r="D150" s="1988"/>
      <c r="E150" s="1988"/>
      <c r="F150" s="1988"/>
      <c r="G150" s="672"/>
      <c r="I150" s="622"/>
    </row>
    <row r="151" spans="1:9" s="722" customFormat="1" ht="13.7" customHeight="1">
      <c r="A151" s="788"/>
      <c r="B151" s="788"/>
      <c r="C151" s="804"/>
      <c r="D151" s="1988"/>
      <c r="E151" s="1988"/>
      <c r="F151" s="1988"/>
      <c r="G151" s="672"/>
      <c r="I151" s="622"/>
    </row>
    <row r="152" spans="1:9" s="722" customFormat="1" ht="13.7" customHeight="1">
      <c r="A152" s="788"/>
      <c r="B152" s="788"/>
      <c r="C152" s="804"/>
      <c r="D152" s="1988"/>
      <c r="E152" s="1988"/>
      <c r="F152" s="1988"/>
      <c r="G152" s="672"/>
      <c r="I152" s="622"/>
    </row>
    <row r="153" spans="1:9" s="722" customFormat="1" ht="13.7" customHeight="1">
      <c r="A153" s="788"/>
      <c r="B153" s="788"/>
      <c r="C153" s="804"/>
      <c r="D153" s="1988"/>
      <c r="E153" s="1988"/>
      <c r="F153" s="1988"/>
      <c r="G153" s="672"/>
      <c r="I153" s="622"/>
    </row>
    <row r="154" spans="1:9" s="722" customFormat="1" ht="13.7" customHeight="1">
      <c r="A154" s="788"/>
      <c r="B154" s="788"/>
      <c r="C154" s="804"/>
      <c r="D154" s="1988"/>
      <c r="E154" s="1988"/>
      <c r="F154" s="1988"/>
      <c r="G154" s="672"/>
      <c r="I154" s="622"/>
    </row>
    <row r="155" spans="1:9" s="722" customFormat="1" ht="13.7" customHeight="1">
      <c r="A155" s="788"/>
      <c r="B155" s="788"/>
      <c r="C155" s="804"/>
      <c r="D155" s="1988"/>
      <c r="E155" s="1988"/>
      <c r="F155" s="1988"/>
      <c r="G155" s="672"/>
      <c r="I155" s="622"/>
    </row>
    <row r="156" spans="1:9" s="722" customFormat="1" ht="13.7" customHeight="1">
      <c r="A156" s="788"/>
      <c r="B156" s="788"/>
      <c r="C156" s="804"/>
      <c r="D156" s="1988"/>
      <c r="E156" s="1988"/>
      <c r="F156" s="1988"/>
      <c r="G156" s="672"/>
      <c r="I156" s="622"/>
    </row>
    <row r="157" spans="1:9" s="722" customFormat="1" ht="13.7" customHeight="1">
      <c r="A157" s="788"/>
      <c r="B157" s="788"/>
      <c r="C157" s="804"/>
      <c r="D157" s="1988"/>
      <c r="E157" s="1988"/>
      <c r="F157" s="1988"/>
      <c r="G157" s="672"/>
      <c r="I157" s="622"/>
    </row>
    <row r="158" spans="1:9" s="722" customFormat="1" ht="13.7" customHeight="1">
      <c r="A158" s="788"/>
      <c r="B158" s="788"/>
      <c r="C158" s="804"/>
      <c r="D158" s="1988"/>
      <c r="E158" s="1988"/>
      <c r="F158" s="1988"/>
      <c r="G158" s="672"/>
      <c r="I158" s="622"/>
    </row>
    <row r="159" spans="1:9" s="722" customFormat="1" ht="13.7" customHeight="1">
      <c r="A159" s="788"/>
      <c r="B159" s="788"/>
      <c r="C159" s="804"/>
      <c r="D159" s="1988"/>
      <c r="E159" s="1988"/>
      <c r="F159" s="1988"/>
      <c r="G159" s="672"/>
      <c r="I159" s="622"/>
    </row>
    <row r="160" spans="1:9" s="722" customFormat="1" ht="13.7" customHeight="1">
      <c r="A160" s="788"/>
      <c r="B160" s="788"/>
      <c r="C160" s="804"/>
      <c r="D160" s="1988"/>
      <c r="E160" s="1988"/>
      <c r="F160" s="1988"/>
      <c r="G160" s="672"/>
      <c r="I160" s="622"/>
    </row>
    <row r="161" spans="1:9" s="722" customFormat="1" ht="13.7" customHeight="1">
      <c r="A161" s="788"/>
      <c r="B161" s="788"/>
      <c r="C161" s="804"/>
      <c r="D161" s="1988"/>
      <c r="E161" s="1988"/>
      <c r="F161" s="1988"/>
      <c r="G161" s="672"/>
      <c r="I161" s="622"/>
    </row>
    <row r="162" spans="1:9" s="722" customFormat="1" ht="13.7" customHeight="1">
      <c r="A162" s="788"/>
      <c r="B162" s="788"/>
      <c r="C162" s="804"/>
      <c r="D162" s="1988"/>
      <c r="E162" s="1988"/>
      <c r="F162" s="1988"/>
      <c r="G162" s="672"/>
      <c r="I162" s="622"/>
    </row>
    <row r="163" spans="1:9" s="722" customFormat="1" ht="13.7" customHeight="1">
      <c r="A163" s="788"/>
      <c r="B163" s="788"/>
      <c r="C163" s="804"/>
      <c r="D163" s="1989" t="s">
        <v>1407</v>
      </c>
      <c r="E163" s="1989"/>
      <c r="F163" s="1989"/>
      <c r="G163" s="856"/>
      <c r="I163" s="622"/>
    </row>
    <row r="164" spans="1:9" s="722" customFormat="1" ht="13.7" customHeight="1">
      <c r="A164" s="788"/>
      <c r="B164" s="788"/>
      <c r="C164" s="804"/>
      <c r="D164" s="1987"/>
      <c r="E164" s="1987"/>
      <c r="F164" s="1987"/>
      <c r="G164" s="1987"/>
      <c r="I164" s="622"/>
    </row>
    <row r="165" spans="1:9" s="722" customFormat="1" ht="14.45" customHeight="1">
      <c r="A165" s="813"/>
      <c r="B165" s="798" t="s">
        <v>2626</v>
      </c>
      <c r="C165" s="814"/>
      <c r="D165" s="1878" t="s">
        <v>1435</v>
      </c>
      <c r="E165" s="1878"/>
      <c r="F165" s="1878"/>
      <c r="G165" s="815"/>
      <c r="I165" s="622" t="s">
        <v>2426</v>
      </c>
    </row>
    <row r="166" spans="1:9" s="722" customFormat="1" ht="14.45" customHeight="1">
      <c r="A166" s="813"/>
      <c r="B166" s="813"/>
      <c r="C166" s="814"/>
      <c r="D166" s="1878"/>
      <c r="E166" s="1878"/>
      <c r="F166" s="1878"/>
      <c r="G166" s="815"/>
      <c r="I166" s="622"/>
    </row>
    <row r="167" spans="1:9" s="722" customFormat="1" ht="13.7" customHeight="1">
      <c r="A167" s="813"/>
      <c r="B167" s="813"/>
      <c r="C167" s="814"/>
      <c r="D167" s="1878"/>
      <c r="E167" s="1878"/>
      <c r="F167" s="1878"/>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2623</v>
      </c>
      <c r="C169" s="814"/>
      <c r="D169" s="1874" t="s">
        <v>1267</v>
      </c>
      <c r="E169" s="1874"/>
      <c r="F169" s="1874"/>
      <c r="G169" s="815"/>
      <c r="I169" s="622" t="s">
        <v>2432</v>
      </c>
    </row>
    <row r="170" spans="1:9" s="722" customFormat="1" ht="13.7" customHeight="1">
      <c r="A170" s="813"/>
      <c r="B170" s="813"/>
      <c r="C170" s="814"/>
      <c r="D170" s="1874"/>
      <c r="E170" s="1874"/>
      <c r="F170" s="1874"/>
      <c r="G170" s="815"/>
      <c r="I170" s="622"/>
    </row>
    <row r="171" spans="1:9" s="722" customFormat="1" ht="13.7" customHeight="1">
      <c r="A171" s="813"/>
      <c r="B171" s="813"/>
      <c r="C171" s="814"/>
      <c r="D171" s="1874"/>
      <c r="E171" s="1874"/>
      <c r="F171" s="1874"/>
      <c r="G171" s="815"/>
      <c r="I171" s="622"/>
    </row>
    <row r="172" spans="1:9" s="722" customFormat="1" ht="13.7" customHeight="1">
      <c r="A172" s="813"/>
      <c r="B172" s="813"/>
      <c r="C172" s="814"/>
      <c r="D172" s="1874"/>
      <c r="E172" s="1874"/>
      <c r="F172" s="1874"/>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2626</v>
      </c>
      <c r="C174" s="804"/>
      <c r="D174" s="1909" t="s">
        <v>1268</v>
      </c>
      <c r="E174" s="1909"/>
      <c r="F174" s="1909"/>
      <c r="G174" s="672"/>
      <c r="I174" s="622" t="s">
        <v>2433</v>
      </c>
    </row>
    <row r="175" spans="1:9" s="722" customFormat="1" ht="13.7" customHeight="1">
      <c r="A175" s="788"/>
      <c r="B175" s="788"/>
      <c r="C175" s="804"/>
      <c r="D175" s="1909"/>
      <c r="E175" s="1909"/>
      <c r="F175" s="1909"/>
      <c r="G175" s="672"/>
      <c r="I175" s="622"/>
    </row>
    <row r="176" spans="1:9" s="722" customFormat="1" ht="13.7" customHeight="1">
      <c r="A176" s="788"/>
      <c r="B176" s="788"/>
      <c r="C176" s="804"/>
      <c r="D176" s="1909"/>
      <c r="E176" s="1909"/>
      <c r="F176" s="1909"/>
      <c r="G176" s="672"/>
      <c r="I176" s="622"/>
    </row>
    <row r="177" spans="1:9" s="722" customFormat="1" ht="13.7" customHeight="1">
      <c r="A177" s="816"/>
      <c r="B177" s="816"/>
      <c r="C177" s="804"/>
      <c r="D177" s="789"/>
      <c r="E177" s="785"/>
      <c r="F177" s="785"/>
      <c r="G177" s="672"/>
      <c r="I177" s="622"/>
    </row>
    <row r="178" spans="1:9">
      <c r="A178" s="1886" t="s">
        <v>2408</v>
      </c>
      <c r="B178" s="1886"/>
      <c r="C178" s="1886"/>
      <c r="D178" s="1886"/>
      <c r="E178" s="1886"/>
      <c r="F178" s="1886"/>
      <c r="G178" s="1886"/>
      <c r="H178" s="1851"/>
      <c r="I178" s="1852"/>
    </row>
    <row r="179" spans="1:9" ht="12" customHeight="1">
      <c r="D179" s="800"/>
      <c r="E179" s="800"/>
      <c r="F179" s="800"/>
    </row>
    <row r="180" spans="1:9">
      <c r="B180" s="1976" t="s">
        <v>470</v>
      </c>
      <c r="C180" s="1976"/>
      <c r="D180" s="1976"/>
      <c r="E180" s="1976"/>
      <c r="F180" s="1976"/>
    </row>
    <row r="181" spans="1:9" s="1770" customFormat="1">
      <c r="A181" s="788"/>
      <c r="B181" s="1829" t="s">
        <v>2409</v>
      </c>
      <c r="C181" s="1829"/>
      <c r="D181" s="1829"/>
      <c r="E181" s="1829"/>
      <c r="F181" s="1829"/>
      <c r="G181" s="1769"/>
      <c r="I181" s="1772"/>
    </row>
    <row r="182" spans="1:9" ht="12" customHeight="1">
      <c r="A182" s="793"/>
      <c r="B182" s="793"/>
      <c r="C182" s="793"/>
    </row>
    <row r="183" spans="1:9">
      <c r="A183" s="1886" t="s">
        <v>1163</v>
      </c>
      <c r="B183" s="1886"/>
      <c r="C183" s="1886"/>
      <c r="D183" s="1886"/>
      <c r="E183" s="1886"/>
      <c r="F183" s="1886"/>
      <c r="G183" s="1886"/>
      <c r="H183" s="1851"/>
      <c r="I183" s="1852"/>
    </row>
    <row r="184" spans="1:9" ht="12" customHeight="1">
      <c r="A184" s="817"/>
      <c r="B184" s="817"/>
      <c r="C184" s="818"/>
      <c r="D184" s="819"/>
      <c r="E184" s="820"/>
      <c r="F184" s="819"/>
      <c r="G184" s="819"/>
    </row>
    <row r="185" spans="1:9" ht="13.7" customHeight="1">
      <c r="A185" s="817"/>
      <c r="B185" s="817"/>
      <c r="C185" s="818"/>
      <c r="D185" s="1910" t="s">
        <v>2249</v>
      </c>
      <c r="E185" s="1910"/>
      <c r="F185" s="1910"/>
      <c r="G185" s="819"/>
    </row>
    <row r="186" spans="1:9">
      <c r="A186" s="817"/>
      <c r="B186" s="817"/>
      <c r="C186" s="818"/>
      <c r="D186" s="1910"/>
      <c r="E186" s="1910"/>
      <c r="F186" s="1910"/>
      <c r="G186" s="819"/>
    </row>
    <row r="187" spans="1:9">
      <c r="A187" s="817"/>
      <c r="B187" s="817"/>
      <c r="C187" s="818"/>
      <c r="D187" s="1911" t="s">
        <v>1400</v>
      </c>
      <c r="E187" s="1911"/>
      <c r="F187" s="1911"/>
      <c r="G187" s="819"/>
    </row>
    <row r="188" spans="1:9">
      <c r="A188" s="817"/>
      <c r="B188" s="817"/>
      <c r="C188" s="818"/>
      <c r="D188" s="1711"/>
      <c r="E188" s="1711"/>
      <c r="F188" s="1711"/>
      <c r="G188" s="819"/>
    </row>
    <row r="189" spans="1:9">
      <c r="A189" s="817"/>
      <c r="B189" s="798" t="s">
        <v>2623</v>
      </c>
      <c r="C189" s="818"/>
      <c r="D189" s="1879" t="s">
        <v>2250</v>
      </c>
      <c r="E189" s="1879"/>
      <c r="F189" s="1879"/>
      <c r="G189" s="819"/>
      <c r="I189" s="1772" t="s">
        <v>2482</v>
      </c>
    </row>
    <row r="190" spans="1:9">
      <c r="A190" s="817"/>
      <c r="B190" s="817"/>
      <c r="C190" s="818"/>
      <c r="D190" s="1932" t="s">
        <v>2251</v>
      </c>
      <c r="E190" s="1932"/>
      <c r="F190" s="1932"/>
      <c r="G190" s="819"/>
    </row>
    <row r="191" spans="1:9">
      <c r="A191" s="817"/>
      <c r="B191" s="817"/>
      <c r="C191" s="818"/>
      <c r="D191" s="1728" t="s">
        <v>2252</v>
      </c>
      <c r="E191" s="1957" t="s">
        <v>2253</v>
      </c>
      <c r="F191" s="1957"/>
      <c r="G191" s="819"/>
    </row>
    <row r="192" spans="1:9">
      <c r="A192" s="817"/>
      <c r="B192" s="817"/>
      <c r="C192" s="818"/>
      <c r="D192" s="155"/>
      <c r="E192" s="155"/>
      <c r="F192" s="155"/>
      <c r="G192" s="819"/>
    </row>
    <row r="193" spans="1:9">
      <c r="A193" s="817"/>
      <c r="B193" s="798" t="s">
        <v>2626</v>
      </c>
      <c r="C193" s="818"/>
      <c r="D193" s="1932" t="s">
        <v>2254</v>
      </c>
      <c r="E193" s="1932"/>
      <c r="F193" s="1932"/>
      <c r="G193" s="819"/>
      <c r="I193" s="1772" t="s">
        <v>2483</v>
      </c>
    </row>
    <row r="194" spans="1:9">
      <c r="A194" s="817"/>
      <c r="B194" s="817"/>
      <c r="C194" s="818"/>
      <c r="D194" s="1879" t="s">
        <v>2251</v>
      </c>
      <c r="E194" s="1879"/>
      <c r="F194" s="1879"/>
      <c r="G194" s="819"/>
    </row>
    <row r="195" spans="1:9">
      <c r="A195" s="817"/>
      <c r="B195" s="817"/>
      <c r="C195" s="818"/>
      <c r="D195" s="1709" t="s">
        <v>2255</v>
      </c>
      <c r="E195" s="1974" t="s">
        <v>2256</v>
      </c>
      <c r="F195" s="1974"/>
      <c r="G195" s="819"/>
    </row>
    <row r="196" spans="1:9">
      <c r="A196" s="817"/>
      <c r="B196" s="817"/>
      <c r="C196" s="818"/>
      <c r="D196" s="155"/>
      <c r="E196" s="155"/>
      <c r="F196" s="155"/>
      <c r="G196" s="819"/>
    </row>
    <row r="197" spans="1:9">
      <c r="A197" s="817"/>
      <c r="B197" s="798" t="s">
        <v>2626</v>
      </c>
      <c r="C197" s="818"/>
      <c r="D197" s="1932" t="s">
        <v>2257</v>
      </c>
      <c r="E197" s="1932"/>
      <c r="F197" s="1932"/>
      <c r="G197" s="819"/>
      <c r="I197" s="1772" t="s">
        <v>2484</v>
      </c>
    </row>
    <row r="198" spans="1:9">
      <c r="A198" s="817"/>
      <c r="B198" s="817"/>
      <c r="C198" s="818"/>
      <c r="D198" s="1706" t="s">
        <v>2251</v>
      </c>
      <c r="E198" s="155"/>
      <c r="F198" s="155"/>
      <c r="G198" s="819"/>
    </row>
    <row r="199" spans="1:9">
      <c r="A199" s="817"/>
      <c r="B199" s="817"/>
      <c r="C199" s="818"/>
      <c r="D199" s="1709" t="s">
        <v>2252</v>
      </c>
      <c r="E199" s="1974" t="s">
        <v>2258</v>
      </c>
      <c r="F199" s="1974"/>
      <c r="G199" s="819"/>
    </row>
    <row r="200" spans="1:9">
      <c r="A200" s="817"/>
      <c r="B200" s="817"/>
      <c r="C200" s="818"/>
      <c r="D200" s="1711"/>
      <c r="E200" s="1711"/>
      <c r="F200" s="1711"/>
      <c r="G200" s="819"/>
    </row>
    <row r="201" spans="1:9" ht="14.25">
      <c r="A201" s="797"/>
      <c r="B201" s="798" t="s">
        <v>2626</v>
      </c>
      <c r="C201" s="818"/>
      <c r="D201" s="1904" t="s">
        <v>2259</v>
      </c>
      <c r="E201" s="1904"/>
      <c r="F201" s="1904"/>
      <c r="G201" s="819"/>
      <c r="I201" s="1772" t="s">
        <v>2485</v>
      </c>
    </row>
    <row r="202" spans="1:9" ht="14.25">
      <c r="A202" s="797"/>
      <c r="B202" s="797"/>
      <c r="C202" s="818"/>
      <c r="D202" s="1904"/>
      <c r="E202" s="1904"/>
      <c r="F202" s="1904"/>
      <c r="G202" s="819"/>
    </row>
    <row r="203" spans="1:9">
      <c r="A203" s="818"/>
      <c r="B203" s="818"/>
      <c r="C203" s="818"/>
      <c r="D203" s="1904"/>
      <c r="E203" s="1904"/>
      <c r="F203" s="1904"/>
    </row>
    <row r="204" spans="1:9">
      <c r="A204" s="818"/>
      <c r="B204" s="818"/>
      <c r="C204" s="818"/>
      <c r="D204" s="803"/>
      <c r="E204" s="819"/>
      <c r="F204" s="819"/>
    </row>
    <row r="205" spans="1:9">
      <c r="A205" s="818"/>
      <c r="B205" s="798" t="s">
        <v>2626</v>
      </c>
      <c r="C205" s="818"/>
      <c r="D205" s="1932" t="s">
        <v>2260</v>
      </c>
      <c r="E205" s="1932"/>
      <c r="F205" s="1932"/>
      <c r="I205" s="1772" t="s">
        <v>2486</v>
      </c>
    </row>
    <row r="206" spans="1:9">
      <c r="A206" s="818"/>
      <c r="B206" s="818"/>
      <c r="C206" s="818"/>
      <c r="D206" s="1932" t="s">
        <v>2251</v>
      </c>
      <c r="E206" s="1932"/>
      <c r="F206" s="1932"/>
    </row>
    <row r="207" spans="1:9">
      <c r="A207" s="818"/>
      <c r="B207" s="818"/>
      <c r="C207" s="818"/>
      <c r="D207" s="1709" t="s">
        <v>2252</v>
      </c>
      <c r="E207" s="1974" t="s">
        <v>2261</v>
      </c>
      <c r="F207" s="1974"/>
    </row>
    <row r="208" spans="1:9">
      <c r="A208" s="818"/>
      <c r="B208" s="818"/>
      <c r="C208" s="818"/>
      <c r="D208" s="779"/>
      <c r="E208" s="779"/>
      <c r="F208" s="779"/>
    </row>
    <row r="209" spans="1:9" s="618" customFormat="1" ht="14.25">
      <c r="A209" s="797"/>
      <c r="B209" s="798" t="s">
        <v>2626</v>
      </c>
      <c r="C209" s="806"/>
      <c r="D209" s="1904" t="s">
        <v>1426</v>
      </c>
      <c r="E209" s="1904"/>
      <c r="F209" s="1904"/>
      <c r="G209" s="693"/>
      <c r="I209" s="642"/>
    </row>
    <row r="210" spans="1:9" s="618" customFormat="1" ht="14.45" customHeight="1">
      <c r="A210" s="797"/>
      <c r="C210" s="806"/>
      <c r="D210" s="1904"/>
      <c r="E210" s="1904"/>
      <c r="F210" s="1904"/>
      <c r="G210" s="693"/>
      <c r="I210" s="642"/>
    </row>
    <row r="211" spans="1:9" s="618" customFormat="1" ht="14.25">
      <c r="A211" s="797"/>
      <c r="B211" s="818"/>
      <c r="C211" s="806"/>
      <c r="D211" s="1904"/>
      <c r="E211" s="1904"/>
      <c r="F211" s="1904"/>
      <c r="G211" s="693"/>
      <c r="I211" s="642"/>
    </row>
    <row r="212" spans="1:9" s="618" customFormat="1" ht="14.25">
      <c r="A212" s="797"/>
      <c r="B212" s="818"/>
      <c r="C212" s="806"/>
      <c r="D212" s="1904"/>
      <c r="E212" s="1904"/>
      <c r="F212" s="1904"/>
      <c r="G212" s="693"/>
      <c r="I212" s="642"/>
    </row>
    <row r="213" spans="1:9">
      <c r="A213" s="818"/>
      <c r="B213" s="818"/>
      <c r="C213" s="818"/>
      <c r="D213" s="779"/>
      <c r="E213" s="779"/>
      <c r="F213" s="779"/>
    </row>
    <row r="214" spans="1:9">
      <c r="A214" s="1886" t="s">
        <v>1164</v>
      </c>
      <c r="B214" s="1886"/>
      <c r="C214" s="1886"/>
      <c r="D214" s="1886"/>
      <c r="E214" s="1886"/>
      <c r="F214" s="1886"/>
      <c r="G214" s="1886"/>
      <c r="H214" s="1851"/>
      <c r="I214" s="1852"/>
    </row>
    <row r="215" spans="1:9" ht="12" customHeight="1">
      <c r="D215" s="800"/>
      <c r="E215" s="800"/>
      <c r="F215" s="800"/>
    </row>
    <row r="216" spans="1:9">
      <c r="C216" s="807"/>
      <c r="D216" s="1992" t="s">
        <v>214</v>
      </c>
      <c r="E216" s="1992"/>
      <c r="F216" s="1992"/>
    </row>
    <row r="217" spans="1:9">
      <c r="A217" s="793"/>
      <c r="B217" s="793"/>
      <c r="C217" s="793"/>
      <c r="D217" s="1978" t="s">
        <v>1293</v>
      </c>
      <c r="E217" s="1978"/>
      <c r="F217" s="1978"/>
    </row>
    <row r="218" spans="1:9" ht="12" customHeight="1">
      <c r="A218" s="816"/>
      <c r="B218" s="816"/>
      <c r="C218" s="816"/>
    </row>
    <row r="219" spans="1:9" ht="13.7" customHeight="1">
      <c r="A219" s="816"/>
      <c r="C219" s="816"/>
      <c r="D219" s="1903" t="s">
        <v>579</v>
      </c>
      <c r="E219" s="1903"/>
      <c r="F219" s="1903"/>
      <c r="I219" s="1772" t="s">
        <v>2434</v>
      </c>
    </row>
    <row r="220" spans="1:9" ht="14.25">
      <c r="A220" s="797"/>
      <c r="B220" s="798" t="s">
        <v>2623</v>
      </c>
      <c r="D220" s="1904" t="s">
        <v>2262</v>
      </c>
      <c r="E220" s="1904"/>
      <c r="F220" s="1904"/>
    </row>
    <row r="221" spans="1:9" ht="14.25" customHeight="1">
      <c r="A221" s="797"/>
      <c r="B221" s="797"/>
      <c r="D221" s="1904"/>
      <c r="E221" s="1904"/>
      <c r="F221" s="1904"/>
    </row>
    <row r="222" spans="1:9" ht="14.25" customHeight="1">
      <c r="A222" s="797"/>
      <c r="B222" s="797"/>
      <c r="D222" s="1904"/>
      <c r="E222" s="1904"/>
      <c r="F222" s="1904"/>
    </row>
    <row r="223" spans="1:9" ht="14.25">
      <c r="A223" s="797"/>
      <c r="B223" s="797"/>
      <c r="D223" s="1904"/>
      <c r="E223" s="1904"/>
      <c r="F223" s="1904"/>
    </row>
    <row r="224" spans="1:9" ht="14.25">
      <c r="A224" s="797"/>
      <c r="B224" s="797"/>
      <c r="D224" s="1710"/>
      <c r="E224" s="1710"/>
      <c r="F224" s="1710"/>
    </row>
    <row r="225" spans="1:9" ht="14.25">
      <c r="A225" s="797"/>
      <c r="B225" s="798" t="s">
        <v>2623</v>
      </c>
      <c r="D225" s="1904" t="s">
        <v>2263</v>
      </c>
      <c r="E225" s="1904"/>
      <c r="F225" s="1904"/>
      <c r="I225" s="1772" t="s">
        <v>2435</v>
      </c>
    </row>
    <row r="226" spans="1:9" ht="14.25">
      <c r="A226" s="797"/>
      <c r="B226" s="797"/>
      <c r="D226" s="1904"/>
      <c r="E226" s="1904"/>
      <c r="F226" s="1904"/>
    </row>
    <row r="227" spans="1:9" ht="14.25">
      <c r="A227" s="797"/>
      <c r="B227" s="797"/>
      <c r="D227" s="1904"/>
      <c r="E227" s="1904"/>
      <c r="F227" s="1904"/>
    </row>
    <row r="228" spans="1:9" ht="14.25">
      <c r="A228" s="797"/>
      <c r="B228" s="797"/>
      <c r="D228" s="1904"/>
      <c r="E228" s="1904"/>
      <c r="F228" s="1904"/>
    </row>
    <row r="229" spans="1:9" ht="14.25" customHeight="1">
      <c r="A229" s="797"/>
      <c r="B229" s="797"/>
      <c r="D229" s="1904"/>
      <c r="E229" s="1904"/>
      <c r="F229" s="1904"/>
    </row>
    <row r="230" spans="1:9" ht="14.25" customHeight="1">
      <c r="A230" s="797"/>
      <c r="B230" s="797"/>
      <c r="D230" s="1710"/>
      <c r="E230" s="1710"/>
      <c r="F230" s="1710"/>
    </row>
    <row r="231" spans="1:9" ht="14.25">
      <c r="A231" s="797"/>
      <c r="B231" s="797"/>
      <c r="D231" s="1904" t="s">
        <v>1289</v>
      </c>
      <c r="E231" s="1904"/>
      <c r="F231" s="1904"/>
      <c r="I231" s="1772" t="s">
        <v>2434</v>
      </c>
    </row>
    <row r="232" spans="1:9" ht="14.25">
      <c r="A232" s="797"/>
      <c r="B232" s="797"/>
      <c r="D232" s="1904"/>
      <c r="E232" s="1904"/>
      <c r="F232" s="1904"/>
    </row>
    <row r="233" spans="1:9" ht="14.25">
      <c r="A233" s="797"/>
      <c r="B233" s="797"/>
      <c r="D233" s="1904"/>
      <c r="E233" s="1904"/>
      <c r="F233" s="1904"/>
    </row>
    <row r="234" spans="1:9" ht="14.25">
      <c r="A234" s="797"/>
      <c r="B234" s="797"/>
      <c r="D234" s="1904"/>
      <c r="E234" s="1904"/>
      <c r="F234" s="1904"/>
    </row>
    <row r="235" spans="1:9" ht="14.25">
      <c r="A235" s="797"/>
      <c r="B235" s="797"/>
      <c r="D235" s="1904"/>
      <c r="E235" s="1904"/>
      <c r="F235" s="1904"/>
    </row>
    <row r="236" spans="1:9" ht="14.25">
      <c r="A236" s="797"/>
      <c r="B236" s="797"/>
      <c r="D236" s="800"/>
      <c r="E236" s="800"/>
      <c r="F236" s="800"/>
    </row>
    <row r="237" spans="1:9" ht="14.25">
      <c r="A237" s="797"/>
      <c r="B237" s="798" t="s">
        <v>2623</v>
      </c>
      <c r="D237" s="1982" t="s">
        <v>2267</v>
      </c>
      <c r="E237" s="1982"/>
      <c r="F237" s="1982"/>
      <c r="I237" s="1772" t="s">
        <v>2473</v>
      </c>
    </row>
    <row r="238" spans="1:9" ht="14.25">
      <c r="A238" s="797"/>
      <c r="B238" s="797"/>
      <c r="D238" s="1982"/>
      <c r="E238" s="1982"/>
      <c r="F238" s="1982"/>
    </row>
    <row r="239" spans="1:9" ht="14.25">
      <c r="A239" s="797"/>
      <c r="B239" s="797"/>
      <c r="D239" s="1982"/>
      <c r="E239" s="1982"/>
      <c r="F239" s="1982"/>
    </row>
    <row r="240" spans="1:9" ht="14.25">
      <c r="A240" s="797"/>
      <c r="B240" s="797"/>
      <c r="D240" s="1976" t="s">
        <v>963</v>
      </c>
      <c r="E240" s="1976"/>
      <c r="F240" s="1976"/>
    </row>
    <row r="241" spans="1:9" ht="14.25">
      <c r="A241" s="797"/>
      <c r="B241" s="797"/>
      <c r="D241" s="800"/>
      <c r="E241" s="800"/>
      <c r="F241" s="800"/>
    </row>
    <row r="242" spans="1:9" ht="14.45" customHeight="1">
      <c r="A242" s="797"/>
      <c r="B242" s="798" t="s">
        <v>2626</v>
      </c>
      <c r="D242" s="1982" t="s">
        <v>1292</v>
      </c>
      <c r="E242" s="1982"/>
      <c r="F242" s="1982"/>
      <c r="I242" s="1772" t="s">
        <v>2493</v>
      </c>
    </row>
    <row r="243" spans="1:9" ht="14.25">
      <c r="A243" s="797"/>
      <c r="B243" s="797"/>
      <c r="D243" s="1982"/>
      <c r="E243" s="1982"/>
      <c r="F243" s="1982"/>
    </row>
    <row r="244" spans="1:9" ht="14.25">
      <c r="A244" s="797"/>
      <c r="B244" s="797"/>
      <c r="D244" s="1982"/>
      <c r="E244" s="1982"/>
      <c r="F244" s="1982"/>
    </row>
    <row r="245" spans="1:9" ht="14.25">
      <c r="A245" s="797"/>
      <c r="B245" s="797"/>
      <c r="D245" s="1982"/>
      <c r="E245" s="1982"/>
      <c r="F245" s="1982"/>
    </row>
    <row r="246" spans="1:9" ht="14.25">
      <c r="A246" s="797"/>
      <c r="B246" s="797"/>
      <c r="D246" s="1982"/>
      <c r="E246" s="1982"/>
      <c r="F246" s="1982"/>
    </row>
    <row r="247" spans="1:9" ht="14.25">
      <c r="A247" s="797"/>
      <c r="B247" s="797"/>
      <c r="D247" s="1722"/>
      <c r="E247" s="1722"/>
      <c r="F247" s="1722"/>
    </row>
    <row r="248" spans="1:9" ht="14.25">
      <c r="A248" s="797"/>
      <c r="B248" s="798" t="s">
        <v>2623</v>
      </c>
      <c r="D248" s="1721" t="s">
        <v>2264</v>
      </c>
      <c r="E248" s="1722"/>
      <c r="F248" s="1722"/>
      <c r="I248" s="1772" t="s">
        <v>2472</v>
      </c>
    </row>
    <row r="249" spans="1:9" ht="14.25">
      <c r="A249" s="797"/>
      <c r="B249" s="797"/>
      <c r="D249" s="1721"/>
      <c r="E249" s="1729" t="s">
        <v>2265</v>
      </c>
      <c r="F249" s="1722"/>
    </row>
    <row r="250" spans="1:9">
      <c r="D250" s="800"/>
      <c r="E250" s="800"/>
      <c r="F250" s="800"/>
    </row>
    <row r="251" spans="1:9" ht="14.25">
      <c r="A251" s="797"/>
      <c r="B251" s="798" t="s">
        <v>2623</v>
      </c>
      <c r="D251" s="1904" t="s">
        <v>1291</v>
      </c>
      <c r="E251" s="1904"/>
      <c r="F251" s="1904"/>
    </row>
    <row r="252" spans="1:9" ht="14.25">
      <c r="A252" s="797"/>
      <c r="B252" s="797"/>
      <c r="D252" s="1904"/>
      <c r="E252" s="1904"/>
      <c r="F252" s="1904"/>
    </row>
    <row r="253" spans="1:9">
      <c r="D253" s="821"/>
    </row>
    <row r="254" spans="1:9">
      <c r="A254" s="1886" t="s">
        <v>1165</v>
      </c>
      <c r="B254" s="1886"/>
      <c r="C254" s="1886"/>
      <c r="D254" s="1886"/>
      <c r="E254" s="1886"/>
      <c r="F254" s="1886"/>
      <c r="G254" s="1886"/>
      <c r="H254" s="1851"/>
      <c r="I254" s="1852"/>
    </row>
    <row r="255" spans="1:9">
      <c r="D255" s="821"/>
    </row>
    <row r="256" spans="1:9">
      <c r="C256" s="807"/>
      <c r="D256" s="1903" t="s">
        <v>1294</v>
      </c>
      <c r="E256" s="1903"/>
      <c r="F256" s="1903"/>
    </row>
    <row r="257" spans="1:9">
      <c r="A257" s="793"/>
      <c r="B257" s="793"/>
      <c r="C257" s="793"/>
      <c r="D257" s="800"/>
      <c r="E257" s="800"/>
      <c r="F257" s="800"/>
    </row>
    <row r="258" spans="1:9">
      <c r="A258" s="795"/>
      <c r="B258" s="795"/>
      <c r="C258" s="795"/>
      <c r="D258" s="1903" t="s">
        <v>275</v>
      </c>
      <c r="E258" s="1903"/>
      <c r="F258" s="1903"/>
      <c r="I258" s="1772" t="s">
        <v>2474</v>
      </c>
    </row>
    <row r="259" spans="1:9" ht="14.45" customHeight="1">
      <c r="A259" s="797"/>
      <c r="B259" s="798" t="s">
        <v>2623</v>
      </c>
      <c r="D259" s="1984" t="s">
        <v>1401</v>
      </c>
      <c r="E259" s="1984"/>
      <c r="F259" s="1984"/>
    </row>
    <row r="260" spans="1:9">
      <c r="D260" s="1984"/>
      <c r="E260" s="1984"/>
      <c r="F260" s="1984"/>
    </row>
    <row r="261" spans="1:9">
      <c r="D261" s="1978" t="s">
        <v>954</v>
      </c>
      <c r="E261" s="1978"/>
      <c r="F261" s="1978"/>
    </row>
    <row r="262" spans="1:9">
      <c r="D262" s="800"/>
      <c r="E262" s="800"/>
      <c r="F262" s="800"/>
    </row>
    <row r="263" spans="1:9" ht="14.45" customHeight="1">
      <c r="A263" s="797"/>
      <c r="B263" s="798" t="s">
        <v>2626</v>
      </c>
      <c r="D263" s="1982" t="s">
        <v>2266</v>
      </c>
      <c r="E263" s="1982"/>
      <c r="F263" s="1982"/>
      <c r="I263" s="1772" t="s">
        <v>2494</v>
      </c>
    </row>
    <row r="264" spans="1:9">
      <c r="D264" s="1982"/>
      <c r="E264" s="1982"/>
      <c r="F264" s="1982"/>
    </row>
    <row r="265" spans="1:9">
      <c r="D265" s="1982"/>
      <c r="E265" s="1982"/>
      <c r="F265" s="1982"/>
    </row>
    <row r="266" spans="1:9">
      <c r="D266" s="1982"/>
      <c r="E266" s="1982"/>
      <c r="F266" s="1982"/>
    </row>
    <row r="267" spans="1:9">
      <c r="D267" s="1982"/>
      <c r="E267" s="1982"/>
      <c r="F267" s="1982"/>
    </row>
    <row r="268" spans="1:9">
      <c r="D268" s="1982"/>
      <c r="E268" s="1982"/>
      <c r="F268" s="1982"/>
    </row>
    <row r="269" spans="1:9">
      <c r="D269" s="800"/>
      <c r="E269" s="800"/>
      <c r="F269" s="800"/>
    </row>
    <row r="270" spans="1:9" ht="14.25">
      <c r="A270" s="797"/>
      <c r="B270" s="798" t="s">
        <v>2626</v>
      </c>
      <c r="D270" s="1904" t="s">
        <v>1297</v>
      </c>
      <c r="E270" s="1904"/>
      <c r="F270" s="1904"/>
    </row>
    <row r="271" spans="1:9">
      <c r="D271" s="1904"/>
      <c r="E271" s="1904"/>
      <c r="F271" s="1904"/>
    </row>
    <row r="272" spans="1:9">
      <c r="D272" s="1904"/>
      <c r="E272" s="1904"/>
      <c r="F272" s="1904"/>
    </row>
    <row r="273" spans="1:9">
      <c r="D273" s="822"/>
      <c r="E273" s="800"/>
      <c r="F273" s="800"/>
    </row>
    <row r="274" spans="1:9">
      <c r="A274" s="1886" t="s">
        <v>1166</v>
      </c>
      <c r="B274" s="1886"/>
      <c r="C274" s="1886"/>
      <c r="D274" s="1886"/>
      <c r="E274" s="1886"/>
      <c r="F274" s="1886"/>
      <c r="G274" s="1886"/>
      <c r="H274" s="1851"/>
      <c r="I274" s="1852"/>
    </row>
    <row r="275" spans="1:9">
      <c r="D275" s="822"/>
      <c r="E275" s="800"/>
      <c r="F275" s="800"/>
    </row>
    <row r="276" spans="1:9">
      <c r="C276" s="793"/>
      <c r="D276" s="1975" t="s">
        <v>1299</v>
      </c>
      <c r="E276" s="1975"/>
      <c r="F276" s="1975"/>
    </row>
    <row r="277" spans="1:9">
      <c r="C277" s="793"/>
      <c r="D277" s="1975"/>
      <c r="E277" s="1975"/>
      <c r="F277" s="1975"/>
    </row>
    <row r="278" spans="1:9">
      <c r="A278" s="795"/>
      <c r="B278" s="795"/>
      <c r="C278" s="795"/>
      <c r="D278" s="622"/>
      <c r="E278" s="672"/>
      <c r="F278" s="672"/>
    </row>
    <row r="279" spans="1:9">
      <c r="C279" s="795"/>
      <c r="D279" s="1903" t="s">
        <v>215</v>
      </c>
      <c r="E279" s="1903"/>
      <c r="F279" s="1903"/>
    </row>
    <row r="280" spans="1:9" ht="15.75" customHeight="1">
      <c r="A280" s="797"/>
      <c r="B280" s="797"/>
      <c r="D280" s="1977" t="s">
        <v>1300</v>
      </c>
      <c r="E280" s="1977"/>
      <c r="F280" s="1977"/>
    </row>
    <row r="281" spans="1:9">
      <c r="E281" s="800"/>
      <c r="F281" s="800"/>
    </row>
    <row r="282" spans="1:9" ht="14.25">
      <c r="A282" s="797"/>
      <c r="B282" s="798" t="s">
        <v>2626</v>
      </c>
      <c r="D282" s="1904" t="s">
        <v>1301</v>
      </c>
      <c r="E282" s="1904"/>
      <c r="F282" s="1904"/>
      <c r="I282" s="1772" t="s">
        <v>2436</v>
      </c>
    </row>
    <row r="283" spans="1:9" ht="14.25">
      <c r="A283" s="797"/>
      <c r="B283" s="797"/>
      <c r="D283" s="1904"/>
      <c r="E283" s="1904"/>
      <c r="F283" s="1904"/>
    </row>
    <row r="284" spans="1:9">
      <c r="D284" s="800"/>
      <c r="E284" s="800"/>
      <c r="F284" s="800"/>
    </row>
    <row r="285" spans="1:9" ht="14.25">
      <c r="A285" s="797"/>
      <c r="B285" s="798" t="s">
        <v>2626</v>
      </c>
      <c r="D285" s="1982" t="s">
        <v>1302</v>
      </c>
      <c r="E285" s="1982"/>
      <c r="F285" s="1982"/>
      <c r="I285" s="1772" t="s">
        <v>2436</v>
      </c>
    </row>
    <row r="286" spans="1:9" ht="14.25">
      <c r="A286" s="797"/>
      <c r="B286" s="797"/>
      <c r="D286" s="1982"/>
      <c r="E286" s="1982"/>
      <c r="F286" s="1982"/>
    </row>
    <row r="287" spans="1:9" ht="14.25">
      <c r="A287" s="797"/>
      <c r="B287" s="797"/>
      <c r="D287" s="1982"/>
      <c r="E287" s="1982"/>
      <c r="F287" s="1982"/>
    </row>
    <row r="288" spans="1:9">
      <c r="D288" s="800"/>
      <c r="E288" s="800"/>
      <c r="F288" s="800"/>
    </row>
    <row r="289" spans="1:9" ht="14.25">
      <c r="A289" s="797"/>
      <c r="B289" s="798" t="s">
        <v>2626</v>
      </c>
      <c r="D289" s="1904" t="s">
        <v>1303</v>
      </c>
      <c r="E289" s="1904"/>
      <c r="F289" s="1904"/>
      <c r="I289" s="1772" t="s">
        <v>2436</v>
      </c>
    </row>
    <row r="290" spans="1:9" ht="14.25">
      <c r="A290" s="797"/>
      <c r="B290" s="797"/>
      <c r="D290" s="1904"/>
      <c r="E290" s="1904"/>
      <c r="F290" s="1904"/>
    </row>
    <row r="291" spans="1:9">
      <c r="A291" s="816"/>
      <c r="B291" s="816"/>
      <c r="E291" s="800"/>
      <c r="F291" s="800"/>
    </row>
    <row r="292" spans="1:9">
      <c r="A292" s="1886" t="s">
        <v>1167</v>
      </c>
      <c r="B292" s="1886"/>
      <c r="C292" s="1886"/>
      <c r="D292" s="1886"/>
      <c r="E292" s="1886"/>
      <c r="F292" s="1886"/>
      <c r="G292" s="1886"/>
      <c r="H292" s="1851"/>
      <c r="I292" s="1852"/>
    </row>
    <row r="293" spans="1:9">
      <c r="A293" s="816"/>
      <c r="B293" s="816"/>
      <c r="D293" s="800"/>
      <c r="E293" s="800"/>
      <c r="F293" s="800"/>
    </row>
    <row r="294" spans="1:9">
      <c r="C294" s="816"/>
      <c r="D294" s="1903" t="s">
        <v>719</v>
      </c>
      <c r="E294" s="1903"/>
      <c r="F294" s="1903"/>
    </row>
    <row r="295" spans="1:9">
      <c r="C295" s="816"/>
      <c r="D295" s="1906" t="s">
        <v>1304</v>
      </c>
      <c r="E295" s="1906"/>
      <c r="F295" s="1906"/>
    </row>
    <row r="296" spans="1:9">
      <c r="C296" s="816"/>
      <c r="D296" s="823"/>
    </row>
    <row r="297" spans="1:9">
      <c r="A297" s="801"/>
      <c r="B297" s="798" t="s">
        <v>2626</v>
      </c>
      <c r="D297" s="1906" t="s">
        <v>1305</v>
      </c>
      <c r="E297" s="1906"/>
      <c r="F297" s="1906"/>
      <c r="I297" s="1772" t="s">
        <v>2437</v>
      </c>
    </row>
    <row r="298" spans="1:9" s="791" customFormat="1" ht="14.25">
      <c r="A298" s="805"/>
      <c r="B298" s="805"/>
      <c r="C298" s="801"/>
      <c r="D298" s="824"/>
      <c r="E298" s="825"/>
      <c r="F298" s="825"/>
      <c r="G298" s="802"/>
      <c r="I298" s="1835"/>
    </row>
    <row r="299" spans="1:9" s="791" customFormat="1" ht="13.7" customHeight="1">
      <c r="A299" s="801"/>
      <c r="B299" s="798" t="s">
        <v>2626</v>
      </c>
      <c r="C299" s="801"/>
      <c r="D299" s="2000" t="s">
        <v>1430</v>
      </c>
      <c r="E299" s="2000"/>
      <c r="F299" s="2000"/>
      <c r="G299" s="802"/>
      <c r="I299" s="1835" t="s">
        <v>2437</v>
      </c>
    </row>
    <row r="300" spans="1:9" s="791" customFormat="1" ht="14.25">
      <c r="A300" s="805"/>
      <c r="B300" s="805"/>
      <c r="C300" s="801"/>
      <c r="D300" s="2000"/>
      <c r="E300" s="2000"/>
      <c r="F300" s="2000"/>
      <c r="G300" s="802"/>
      <c r="I300" s="1835"/>
    </row>
    <row r="301" spans="1:9" s="791" customFormat="1" ht="14.25">
      <c r="A301" s="805"/>
      <c r="B301" s="805"/>
      <c r="C301" s="801"/>
      <c r="D301" s="2000"/>
      <c r="E301" s="2000"/>
      <c r="F301" s="2000"/>
      <c r="G301" s="802"/>
      <c r="I301" s="1835"/>
    </row>
    <row r="302" spans="1:9" s="791" customFormat="1" ht="14.25">
      <c r="A302" s="805"/>
      <c r="B302" s="805"/>
      <c r="C302" s="801"/>
      <c r="D302" s="2000"/>
      <c r="E302" s="2000"/>
      <c r="F302" s="2000"/>
      <c r="G302" s="802"/>
      <c r="I302" s="1835"/>
    </row>
    <row r="303" spans="1:9" s="791" customFormat="1" ht="14.25">
      <c r="A303" s="805"/>
      <c r="B303" s="805"/>
      <c r="C303" s="801"/>
      <c r="D303" s="2000"/>
      <c r="E303" s="2000"/>
      <c r="F303" s="2000"/>
      <c r="G303" s="802"/>
      <c r="I303" s="1835"/>
    </row>
    <row r="304" spans="1:9" s="791" customFormat="1" ht="14.25">
      <c r="A304" s="805"/>
      <c r="B304" s="805"/>
      <c r="C304" s="801"/>
      <c r="D304" s="824"/>
      <c r="E304" s="825"/>
      <c r="F304" s="825"/>
      <c r="G304" s="802"/>
      <c r="I304" s="1835"/>
    </row>
    <row r="305" spans="1:9" s="791" customFormat="1" ht="13.7" customHeight="1">
      <c r="A305" s="801"/>
      <c r="B305" s="798" t="s">
        <v>2626</v>
      </c>
      <c r="C305" s="801"/>
      <c r="D305" s="2000" t="s">
        <v>1307</v>
      </c>
      <c r="E305" s="2000"/>
      <c r="F305" s="2000"/>
      <c r="G305" s="802"/>
      <c r="I305" s="1835" t="s">
        <v>2437</v>
      </c>
    </row>
    <row r="306" spans="1:9" s="791" customFormat="1">
      <c r="A306" s="801"/>
      <c r="B306" s="801"/>
      <c r="C306" s="801"/>
      <c r="D306" s="2000"/>
      <c r="E306" s="2000"/>
      <c r="F306" s="2000"/>
      <c r="G306" s="802"/>
      <c r="I306" s="1835"/>
    </row>
    <row r="307" spans="1:9" s="791" customFormat="1" ht="14.25">
      <c r="A307" s="805"/>
      <c r="B307" s="805"/>
      <c r="C307" s="801"/>
      <c r="D307" s="824"/>
      <c r="E307" s="825"/>
      <c r="F307" s="825"/>
      <c r="G307" s="802"/>
      <c r="I307" s="1835"/>
    </row>
    <row r="308" spans="1:9">
      <c r="A308" s="801"/>
      <c r="B308" s="798" t="s">
        <v>2626</v>
      </c>
      <c r="D308" s="1906" t="s">
        <v>1308</v>
      </c>
      <c r="E308" s="1906"/>
      <c r="F308" s="1906"/>
      <c r="I308" s="1772" t="s">
        <v>2423</v>
      </c>
    </row>
    <row r="309" spans="1:9">
      <c r="E309" s="800"/>
      <c r="F309" s="800"/>
    </row>
    <row r="310" spans="1:9" ht="14.25">
      <c r="A310" s="797"/>
      <c r="B310" s="798" t="s">
        <v>2626</v>
      </c>
      <c r="D310" s="1982" t="s">
        <v>1457</v>
      </c>
      <c r="E310" s="1982"/>
      <c r="F310" s="1982"/>
      <c r="I310" s="1772" t="s">
        <v>2438</v>
      </c>
    </row>
    <row r="311" spans="1:9" ht="14.25">
      <c r="A311" s="797"/>
      <c r="B311" s="797"/>
      <c r="D311" s="1982"/>
      <c r="E311" s="1982"/>
      <c r="F311" s="1982"/>
    </row>
    <row r="312" spans="1:9" ht="14.25">
      <c r="A312" s="797"/>
      <c r="B312" s="797"/>
      <c r="D312" s="1982"/>
      <c r="E312" s="1982"/>
      <c r="F312" s="1982"/>
    </row>
    <row r="313" spans="1:9" ht="14.25">
      <c r="A313" s="797"/>
      <c r="B313" s="797"/>
      <c r="D313" s="1982"/>
      <c r="E313" s="1982"/>
      <c r="F313" s="1982"/>
    </row>
    <row r="314" spans="1:9" ht="14.25">
      <c r="A314" s="797"/>
      <c r="B314" s="797"/>
      <c r="D314" s="1982"/>
      <c r="E314" s="1982"/>
      <c r="F314" s="1982"/>
    </row>
    <row r="315" spans="1:9" ht="14.25">
      <c r="A315" s="797"/>
      <c r="B315" s="797"/>
      <c r="D315" s="1982"/>
      <c r="E315" s="1982"/>
      <c r="F315" s="1982"/>
    </row>
    <row r="316" spans="1:9" ht="14.25">
      <c r="A316" s="797"/>
      <c r="B316" s="797"/>
      <c r="D316" s="1982"/>
      <c r="E316" s="1982"/>
      <c r="F316" s="1982"/>
    </row>
    <row r="317" spans="1:9" ht="14.25">
      <c r="A317" s="797"/>
      <c r="B317" s="797"/>
      <c r="D317" s="1982"/>
      <c r="E317" s="1982"/>
      <c r="F317" s="1982"/>
    </row>
    <row r="318" spans="1:9" ht="14.25">
      <c r="A318" s="797"/>
      <c r="B318" s="797"/>
      <c r="D318" s="1982"/>
      <c r="E318" s="1982"/>
      <c r="F318" s="1982"/>
    </row>
    <row r="319" spans="1:9" ht="14.25">
      <c r="A319" s="797"/>
      <c r="B319" s="797"/>
      <c r="D319" s="1982"/>
      <c r="E319" s="1982"/>
      <c r="F319" s="1982"/>
    </row>
    <row r="320" spans="1:9" ht="14.25">
      <c r="A320" s="797"/>
      <c r="B320" s="797"/>
      <c r="D320" s="1982"/>
      <c r="E320" s="1982"/>
      <c r="F320" s="1982"/>
    </row>
    <row r="321" spans="1:9" ht="14.25">
      <c r="A321" s="797"/>
      <c r="B321" s="797"/>
      <c r="D321" s="1982"/>
      <c r="E321" s="1982"/>
      <c r="F321" s="1982"/>
    </row>
    <row r="322" spans="1:9" ht="14.25">
      <c r="A322" s="797"/>
      <c r="B322" s="797"/>
      <c r="D322" s="1982"/>
      <c r="E322" s="1982"/>
      <c r="F322" s="1982"/>
    </row>
    <row r="323" spans="1:9" ht="14.25">
      <c r="A323" s="797"/>
      <c r="B323" s="797"/>
      <c r="D323" s="1982"/>
      <c r="E323" s="1982"/>
      <c r="F323" s="1982"/>
    </row>
    <row r="324" spans="1:9" ht="14.25">
      <c r="A324" s="797"/>
      <c r="B324" s="797"/>
      <c r="D324" s="1982"/>
      <c r="E324" s="1982"/>
      <c r="F324" s="1982"/>
    </row>
    <row r="325" spans="1:9">
      <c r="D325" s="800"/>
      <c r="E325" s="800"/>
      <c r="F325" s="800"/>
    </row>
    <row r="326" spans="1:9" ht="14.25">
      <c r="A326" s="797"/>
      <c r="B326" s="798" t="s">
        <v>2626</v>
      </c>
      <c r="D326" s="1982" t="s">
        <v>1310</v>
      </c>
      <c r="E326" s="1982"/>
      <c r="F326" s="1982"/>
      <c r="I326" s="1772" t="s">
        <v>2438</v>
      </c>
    </row>
    <row r="327" spans="1:9">
      <c r="D327" s="1982"/>
      <c r="E327" s="1982"/>
      <c r="F327" s="1982"/>
    </row>
    <row r="328" spans="1:9">
      <c r="D328" s="1982"/>
      <c r="E328" s="1982"/>
      <c r="F328" s="1982"/>
    </row>
    <row r="329" spans="1:9">
      <c r="D329" s="1982"/>
      <c r="E329" s="1982"/>
      <c r="F329" s="1982"/>
    </row>
    <row r="330" spans="1:9">
      <c r="D330" s="1982"/>
      <c r="E330" s="1982"/>
      <c r="F330" s="1982"/>
    </row>
    <row r="331" spans="1:9">
      <c r="D331" s="1982"/>
      <c r="E331" s="1982"/>
      <c r="F331" s="1982"/>
    </row>
    <row r="332" spans="1:9">
      <c r="D332" s="1982"/>
      <c r="E332" s="1982"/>
      <c r="F332" s="1982"/>
    </row>
    <row r="333" spans="1:9">
      <c r="D333" s="1982"/>
      <c r="E333" s="1982"/>
      <c r="F333" s="1982"/>
    </row>
    <row r="334" spans="1:9">
      <c r="D334" s="1982"/>
      <c r="E334" s="1982"/>
      <c r="F334" s="1982"/>
    </row>
    <row r="335" spans="1:9">
      <c r="D335" s="800"/>
      <c r="E335" s="800"/>
      <c r="F335" s="800"/>
    </row>
    <row r="336" spans="1:9" ht="14.25">
      <c r="A336" s="797"/>
      <c r="B336" s="798" t="s">
        <v>2626</v>
      </c>
      <c r="D336" s="1904" t="s">
        <v>1507</v>
      </c>
      <c r="E336" s="1904"/>
      <c r="F336" s="1904"/>
      <c r="I336" s="1772" t="s">
        <v>2475</v>
      </c>
    </row>
    <row r="337" spans="1:9">
      <c r="D337" s="1904"/>
      <c r="E337" s="1904"/>
      <c r="F337" s="1904"/>
      <c r="G337" s="790"/>
    </row>
    <row r="338" spans="1:9">
      <c r="D338" s="1904"/>
      <c r="E338" s="1904"/>
      <c r="F338" s="1904"/>
      <c r="G338" s="790"/>
    </row>
    <row r="339" spans="1:9">
      <c r="D339" s="1904"/>
      <c r="E339" s="1904"/>
      <c r="F339" s="1904"/>
      <c r="G339" s="790"/>
    </row>
    <row r="340" spans="1:9">
      <c r="D340" s="1904"/>
      <c r="E340" s="1904"/>
      <c r="F340" s="1904"/>
      <c r="G340" s="790"/>
    </row>
    <row r="341" spans="1:9">
      <c r="D341" s="1904"/>
      <c r="E341" s="1904"/>
      <c r="F341" s="1904"/>
      <c r="G341" s="790"/>
    </row>
    <row r="342" spans="1:9" s="1770" customFormat="1">
      <c r="A342" s="788"/>
      <c r="B342" s="788"/>
      <c r="C342" s="788"/>
      <c r="D342" s="1825"/>
      <c r="E342" s="1825"/>
      <c r="F342" s="1825"/>
      <c r="I342" s="1772"/>
    </row>
    <row r="343" spans="1:9" ht="13.5" thickBot="1">
      <c r="A343" s="1826"/>
      <c r="B343" s="1826"/>
      <c r="C343" s="1826"/>
      <c r="D343" s="1983" t="s">
        <v>1060</v>
      </c>
      <c r="E343" s="1983"/>
      <c r="F343" s="1983"/>
      <c r="G343" s="1849"/>
      <c r="H343" s="1849"/>
      <c r="I343" s="1850"/>
    </row>
    <row r="344" spans="1:9" ht="13.5" thickTop="1">
      <c r="D344" s="2001" t="s">
        <v>1312</v>
      </c>
      <c r="E344" s="2001"/>
      <c r="F344" s="2001"/>
      <c r="G344" s="790"/>
    </row>
    <row r="345" spans="1:9" s="1770" customFormat="1">
      <c r="A345" s="788"/>
      <c r="B345" s="788"/>
      <c r="C345" s="788"/>
      <c r="D345" s="1843"/>
      <c r="E345" s="1843"/>
      <c r="F345" s="1843"/>
      <c r="I345" s="1772"/>
    </row>
    <row r="346" spans="1:9">
      <c r="A346" s="814"/>
      <c r="B346" s="814"/>
      <c r="C346" s="814"/>
      <c r="D346" s="786"/>
      <c r="E346" s="786"/>
      <c r="F346" s="800"/>
      <c r="G346" s="790"/>
      <c r="I346" s="1772" t="s">
        <v>2439</v>
      </c>
    </row>
    <row r="347" spans="1:9" ht="14.25">
      <c r="A347" s="797"/>
      <c r="B347" s="798" t="s">
        <v>2626</v>
      </c>
      <c r="C347" s="829"/>
      <c r="D347" s="1906" t="s">
        <v>1321</v>
      </c>
      <c r="E347" s="1906"/>
      <c r="F347" s="1906"/>
      <c r="I347" s="2006" t="s">
        <v>2490</v>
      </c>
    </row>
    <row r="348" spans="1:9" ht="12.75" customHeight="1">
      <c r="D348" s="1896" t="s">
        <v>1455</v>
      </c>
      <c r="E348" s="1896"/>
      <c r="F348" s="1896"/>
      <c r="I348" s="2007"/>
    </row>
    <row r="349" spans="1:9">
      <c r="D349" s="1982" t="s">
        <v>1454</v>
      </c>
      <c r="E349" s="1982"/>
      <c r="F349" s="1982"/>
      <c r="I349" s="2007"/>
    </row>
    <row r="350" spans="1:9">
      <c r="D350" s="1982"/>
      <c r="E350" s="1982"/>
      <c r="F350" s="1982"/>
      <c r="I350" s="2007"/>
    </row>
    <row r="351" spans="1:9">
      <c r="D351" s="1982"/>
      <c r="E351" s="1982"/>
      <c r="F351" s="1982"/>
      <c r="I351" s="2008"/>
    </row>
    <row r="352" spans="1:9" ht="14.25">
      <c r="A352" s="797"/>
      <c r="B352" s="798" t="s">
        <v>2626</v>
      </c>
      <c r="C352" s="814"/>
      <c r="D352" s="1900" t="s">
        <v>1313</v>
      </c>
      <c r="E352" s="1900"/>
      <c r="F352" s="1900"/>
      <c r="G352" s="790"/>
      <c r="I352" s="619"/>
    </row>
    <row r="353" spans="1:9">
      <c r="A353" s="814"/>
      <c r="B353" s="814"/>
      <c r="C353" s="814"/>
      <c r="D353" s="786"/>
      <c r="E353" s="786"/>
      <c r="F353" s="800"/>
      <c r="G353" s="790"/>
    </row>
    <row r="354" spans="1:9">
      <c r="A354" s="814"/>
      <c r="B354" s="798" t="s">
        <v>2626</v>
      </c>
      <c r="C354" s="814"/>
      <c r="D354" s="1895" t="s">
        <v>1433</v>
      </c>
      <c r="E354" s="1895"/>
      <c r="F354" s="1895"/>
      <c r="G354" s="790"/>
    </row>
    <row r="355" spans="1:9">
      <c r="A355" s="814"/>
      <c r="B355" s="814"/>
      <c r="C355" s="814"/>
      <c r="D355" s="1895"/>
      <c r="E355" s="1895"/>
      <c r="F355" s="1895"/>
      <c r="G355" s="790"/>
    </row>
    <row r="356" spans="1:9">
      <c r="A356" s="814"/>
      <c r="B356" s="814"/>
      <c r="C356" s="814"/>
      <c r="D356" s="1895"/>
      <c r="E356" s="1895"/>
      <c r="F356" s="1895"/>
      <c r="G356" s="790"/>
    </row>
    <row r="357" spans="1:9">
      <c r="A357" s="814"/>
      <c r="B357" s="814"/>
      <c r="C357" s="814"/>
      <c r="D357" s="1895"/>
      <c r="E357" s="1895"/>
      <c r="F357" s="1895"/>
      <c r="G357" s="790"/>
    </row>
    <row r="358" spans="1:9">
      <c r="A358" s="814"/>
      <c r="B358" s="814"/>
      <c r="C358" s="814"/>
      <c r="D358" s="1895"/>
      <c r="E358" s="1895"/>
      <c r="F358" s="1895"/>
      <c r="G358" s="790"/>
    </row>
    <row r="359" spans="1:9">
      <c r="A359" s="814"/>
      <c r="B359" s="814"/>
      <c r="C359" s="814"/>
      <c r="D359" s="1895"/>
      <c r="E359" s="1895"/>
      <c r="F359" s="1895"/>
      <c r="G359" s="790"/>
    </row>
    <row r="360" spans="1:9">
      <c r="A360" s="814"/>
      <c r="B360" s="814"/>
      <c r="C360" s="814"/>
      <c r="D360" s="1895"/>
      <c r="E360" s="1895"/>
      <c r="F360" s="1895"/>
      <c r="G360" s="790"/>
    </row>
    <row r="361" spans="1:9">
      <c r="A361" s="814"/>
      <c r="B361" s="814"/>
      <c r="C361" s="814"/>
      <c r="D361" s="1895"/>
      <c r="E361" s="1895"/>
      <c r="F361" s="1895"/>
      <c r="G361" s="790"/>
    </row>
    <row r="362" spans="1:9">
      <c r="A362" s="814"/>
      <c r="B362" s="814"/>
      <c r="C362" s="814"/>
      <c r="D362" s="1895"/>
      <c r="E362" s="1895"/>
      <c r="F362" s="1895"/>
      <c r="G362" s="790"/>
    </row>
    <row r="363" spans="1:9">
      <c r="A363" s="814"/>
      <c r="B363" s="814"/>
      <c r="C363" s="814"/>
      <c r="D363" s="1895"/>
      <c r="E363" s="1895"/>
      <c r="F363" s="1895"/>
      <c r="G363" s="790"/>
    </row>
    <row r="364" spans="1:9">
      <c r="A364" s="814"/>
      <c r="B364" s="814"/>
      <c r="C364" s="814"/>
      <c r="D364" s="1895"/>
      <c r="E364" s="1895"/>
      <c r="F364" s="1895"/>
      <c r="G364" s="790"/>
    </row>
    <row r="365" spans="1:9">
      <c r="A365" s="814"/>
      <c r="B365" s="814"/>
      <c r="C365" s="814"/>
      <c r="D365" s="1895"/>
      <c r="E365" s="1895"/>
      <c r="F365" s="1895"/>
      <c r="G365" s="790"/>
    </row>
    <row r="366" spans="1:9" s="1770" customFormat="1">
      <c r="A366" s="1775"/>
      <c r="B366" s="1775"/>
      <c r="C366" s="1775"/>
      <c r="D366" s="1777"/>
      <c r="E366" s="1777"/>
      <c r="F366" s="1777"/>
      <c r="I366" s="1772"/>
    </row>
    <row r="367" spans="1:9" ht="12.4" customHeight="1">
      <c r="A367" s="814"/>
      <c r="B367" s="798" t="s">
        <v>2626</v>
      </c>
      <c r="C367" s="814"/>
      <c r="D367" s="2009" t="s">
        <v>1434</v>
      </c>
      <c r="E367" s="2009"/>
      <c r="F367" s="2009"/>
      <c r="G367" s="790"/>
    </row>
    <row r="368" spans="1:9">
      <c r="A368" s="814"/>
      <c r="B368" s="814"/>
      <c r="C368" s="814"/>
      <c r="D368" s="2009"/>
      <c r="E368" s="2009"/>
      <c r="F368" s="2009"/>
      <c r="G368" s="790"/>
    </row>
    <row r="369" spans="1:9">
      <c r="A369" s="814"/>
      <c r="B369" s="814"/>
      <c r="C369" s="814"/>
      <c r="D369" s="2009"/>
      <c r="E369" s="2009"/>
      <c r="F369" s="2009"/>
      <c r="G369" s="790"/>
    </row>
    <row r="370" spans="1:9">
      <c r="A370" s="814"/>
      <c r="B370" s="814"/>
      <c r="C370" s="814"/>
      <c r="D370" s="2009"/>
      <c r="E370" s="2009"/>
      <c r="F370" s="2009"/>
      <c r="G370" s="790"/>
    </row>
    <row r="371" spans="1:9" s="1770" customFormat="1">
      <c r="A371" s="1775"/>
      <c r="B371" s="1775"/>
      <c r="C371" s="1775"/>
      <c r="D371" s="1776"/>
      <c r="E371" s="1776"/>
      <c r="F371" s="1776"/>
      <c r="I371" s="1772"/>
    </row>
    <row r="372" spans="1:9" s="1770" customFormat="1">
      <c r="A372" s="1775"/>
      <c r="B372" s="1773" t="s">
        <v>2626</v>
      </c>
      <c r="C372" s="1775"/>
      <c r="D372" s="1770" t="s">
        <v>2358</v>
      </c>
      <c r="E372" s="1776"/>
      <c r="F372" s="1776"/>
      <c r="I372" s="1772"/>
    </row>
    <row r="373" spans="1:9" s="1770" customFormat="1">
      <c r="A373" s="1775"/>
      <c r="B373" s="1775"/>
      <c r="C373" s="1775"/>
      <c r="D373" s="1770" t="s">
        <v>2359</v>
      </c>
      <c r="E373" s="1776"/>
      <c r="F373" s="1776"/>
      <c r="I373" s="1772"/>
    </row>
    <row r="374" spans="1:9" s="1770" customFormat="1">
      <c r="A374" s="1775"/>
      <c r="B374" s="1775"/>
      <c r="C374" s="1775"/>
      <c r="D374" s="1770" t="s">
        <v>2360</v>
      </c>
      <c r="E374" s="1776"/>
      <c r="F374" s="1776"/>
      <c r="I374" s="1772"/>
    </row>
    <row r="375" spans="1:9" s="1770" customFormat="1">
      <c r="A375" s="1775"/>
      <c r="B375" s="1775"/>
      <c r="C375" s="1775"/>
      <c r="D375" s="1770" t="s">
        <v>2361</v>
      </c>
      <c r="E375" s="1776"/>
      <c r="F375" s="1776"/>
      <c r="I375" s="1772"/>
    </row>
    <row r="376" spans="1:9" s="1770" customFormat="1">
      <c r="A376" s="1775"/>
      <c r="B376" s="1775"/>
      <c r="C376" s="1775"/>
      <c r="D376" s="1770" t="s">
        <v>2362</v>
      </c>
      <c r="E376" s="1776"/>
      <c r="F376" s="1776"/>
      <c r="I376" s="1772"/>
    </row>
    <row r="377" spans="1:9" s="1770" customFormat="1">
      <c r="A377" s="1775"/>
      <c r="B377" s="1775"/>
      <c r="C377" s="1775"/>
      <c r="D377" s="1770" t="s">
        <v>2363</v>
      </c>
      <c r="E377" s="1776"/>
      <c r="F377" s="1776"/>
      <c r="I377" s="1772"/>
    </row>
    <row r="378" spans="1:9">
      <c r="A378" s="814"/>
      <c r="B378" s="814"/>
      <c r="C378" s="814"/>
      <c r="D378" s="790"/>
      <c r="E378" s="786"/>
      <c r="F378" s="800"/>
      <c r="G378" s="790"/>
    </row>
    <row r="379" spans="1:9" ht="14.25">
      <c r="A379" s="797"/>
      <c r="B379" s="798" t="s">
        <v>2626</v>
      </c>
      <c r="C379" s="814"/>
      <c r="D379" s="1893" t="s">
        <v>1315</v>
      </c>
      <c r="E379" s="1893"/>
      <c r="F379" s="1893"/>
      <c r="G379" s="790"/>
    </row>
    <row r="380" spans="1:9">
      <c r="A380" s="814"/>
      <c r="B380" s="814"/>
      <c r="C380" s="814"/>
      <c r="D380" s="1893"/>
      <c r="E380" s="1893"/>
      <c r="F380" s="1893"/>
      <c r="G380" s="790"/>
    </row>
    <row r="381" spans="1:9">
      <c r="A381" s="814"/>
      <c r="B381" s="814"/>
      <c r="C381" s="814"/>
      <c r="D381" s="1893"/>
      <c r="E381" s="1893"/>
      <c r="F381" s="1893"/>
      <c r="G381" s="790"/>
    </row>
    <row r="382" spans="1:9">
      <c r="A382" s="814"/>
      <c r="B382" s="814"/>
      <c r="C382" s="814"/>
      <c r="D382" s="1893"/>
      <c r="E382" s="1893"/>
      <c r="F382" s="1893"/>
      <c r="G382" s="790"/>
    </row>
    <row r="383" spans="1:9">
      <c r="A383" s="814"/>
      <c r="B383" s="814"/>
      <c r="C383" s="814"/>
      <c r="D383" s="826"/>
      <c r="E383" s="786"/>
      <c r="F383" s="800"/>
      <c r="G383" s="790"/>
    </row>
    <row r="384" spans="1:9">
      <c r="A384" s="814"/>
      <c r="B384" s="814"/>
      <c r="C384" s="814"/>
      <c r="D384" s="1893" t="s">
        <v>1316</v>
      </c>
      <c r="E384" s="1893"/>
      <c r="F384" s="1893"/>
      <c r="G384" s="790"/>
    </row>
    <row r="385" spans="1:7">
      <c r="A385" s="814"/>
      <c r="B385" s="814"/>
      <c r="C385" s="814"/>
      <c r="D385" s="1893"/>
      <c r="E385" s="1893"/>
      <c r="F385" s="1893"/>
      <c r="G385" s="790"/>
    </row>
    <row r="386" spans="1:7">
      <c r="A386" s="814"/>
      <c r="B386" s="814"/>
      <c r="C386" s="814"/>
      <c r="D386" s="1893"/>
      <c r="E386" s="1893"/>
      <c r="F386" s="1893"/>
      <c r="G386" s="790"/>
    </row>
    <row r="387" spans="1:7">
      <c r="A387" s="814"/>
      <c r="B387" s="814"/>
      <c r="C387" s="814"/>
      <c r="D387" s="1893"/>
      <c r="E387" s="1893"/>
      <c r="F387" s="1893"/>
      <c r="G387" s="790"/>
    </row>
    <row r="388" spans="1:7" ht="18" customHeight="1">
      <c r="A388" s="814"/>
      <c r="B388" s="814"/>
      <c r="C388" s="814"/>
      <c r="D388" s="1893"/>
      <c r="E388" s="1893"/>
      <c r="F388" s="1893"/>
      <c r="G388" s="790"/>
    </row>
    <row r="389" spans="1:7">
      <c r="A389" s="814"/>
      <c r="B389" s="814"/>
      <c r="C389" s="814"/>
      <c r="D389" s="1893"/>
      <c r="E389" s="1893"/>
      <c r="F389" s="1893"/>
      <c r="G389" s="790"/>
    </row>
    <row r="390" spans="1:7">
      <c r="A390" s="814"/>
      <c r="B390" s="814"/>
      <c r="C390" s="814"/>
      <c r="D390" s="1893"/>
      <c r="E390" s="1893"/>
      <c r="F390" s="1893"/>
      <c r="G390" s="790"/>
    </row>
    <row r="391" spans="1:7">
      <c r="A391" s="814"/>
      <c r="B391" s="814"/>
      <c r="C391" s="814"/>
      <c r="D391" s="1893"/>
      <c r="E391" s="1893"/>
      <c r="F391" s="1893"/>
      <c r="G391" s="790"/>
    </row>
    <row r="392" spans="1:7" ht="8.25" customHeight="1">
      <c r="A392" s="814"/>
      <c r="B392" s="814"/>
      <c r="C392" s="814"/>
      <c r="D392" s="1893"/>
      <c r="E392" s="1893"/>
      <c r="F392" s="1893"/>
      <c r="G392" s="790"/>
    </row>
    <row r="393" spans="1:7" ht="13.7" customHeight="1">
      <c r="A393" s="814"/>
      <c r="B393" s="814"/>
      <c r="C393" s="814"/>
      <c r="D393" s="1894" t="s">
        <v>1317</v>
      </c>
      <c r="E393" s="1894"/>
      <c r="F393" s="1894"/>
      <c r="G393" s="790"/>
    </row>
    <row r="394" spans="1:7">
      <c r="A394" s="814"/>
      <c r="B394" s="814"/>
      <c r="C394" s="814"/>
      <c r="D394" s="1894"/>
      <c r="E394" s="1894"/>
      <c r="F394" s="1894"/>
      <c r="G394" s="790"/>
    </row>
    <row r="395" spans="1:7">
      <c r="A395" s="814"/>
      <c r="B395" s="814"/>
      <c r="C395" s="814"/>
      <c r="D395" s="1894"/>
      <c r="E395" s="1894"/>
      <c r="F395" s="1894"/>
      <c r="G395" s="790"/>
    </row>
    <row r="396" spans="1:7">
      <c r="A396" s="814"/>
      <c r="B396" s="814"/>
      <c r="C396" s="814"/>
      <c r="D396" s="1894"/>
      <c r="E396" s="1894"/>
      <c r="F396" s="1894"/>
      <c r="G396" s="790"/>
    </row>
    <row r="397" spans="1:7">
      <c r="A397" s="814"/>
      <c r="B397" s="814"/>
      <c r="C397" s="814"/>
      <c r="D397" s="1894"/>
      <c r="E397" s="1894"/>
      <c r="F397" s="1894"/>
      <c r="G397" s="790"/>
    </row>
    <row r="398" spans="1:7">
      <c r="A398" s="814"/>
      <c r="B398" s="814"/>
      <c r="C398" s="814"/>
      <c r="D398" s="1894"/>
      <c r="E398" s="1894"/>
      <c r="F398" s="1894"/>
      <c r="G398" s="790"/>
    </row>
    <row r="399" spans="1:7">
      <c r="A399" s="814"/>
      <c r="B399" s="814"/>
      <c r="C399" s="814"/>
      <c r="D399" s="1894"/>
      <c r="E399" s="1894"/>
      <c r="F399" s="1894"/>
      <c r="G399" s="790"/>
    </row>
    <row r="400" spans="1:7">
      <c r="A400" s="814"/>
      <c r="B400" s="814"/>
      <c r="C400" s="814"/>
      <c r="D400" s="1894"/>
      <c r="E400" s="1894"/>
      <c r="F400" s="1894"/>
      <c r="G400" s="790"/>
    </row>
    <row r="401" spans="1:7">
      <c r="A401" s="814"/>
      <c r="B401" s="814"/>
      <c r="C401" s="814"/>
      <c r="D401" s="1894"/>
      <c r="E401" s="1894"/>
      <c r="F401" s="1894"/>
      <c r="G401" s="790"/>
    </row>
    <row r="402" spans="1:7">
      <c r="A402" s="814"/>
      <c r="B402" s="814"/>
      <c r="C402" s="814"/>
      <c r="D402" s="1894"/>
      <c r="E402" s="1894"/>
      <c r="F402" s="1894"/>
      <c r="G402" s="790"/>
    </row>
    <row r="403" spans="1:7">
      <c r="A403" s="814"/>
      <c r="B403" s="814"/>
      <c r="C403" s="814"/>
      <c r="D403" s="1894"/>
      <c r="E403" s="1894"/>
      <c r="F403" s="1894"/>
      <c r="G403" s="790"/>
    </row>
    <row r="404" spans="1:7">
      <c r="A404" s="814"/>
      <c r="B404" s="814"/>
      <c r="C404" s="814"/>
      <c r="D404" s="1894"/>
      <c r="E404" s="1894"/>
      <c r="F404" s="1894"/>
      <c r="G404" s="790"/>
    </row>
    <row r="405" spans="1:7">
      <c r="A405" s="814"/>
      <c r="B405" s="814"/>
      <c r="C405" s="827"/>
      <c r="D405" s="1894"/>
      <c r="E405" s="1894"/>
      <c r="F405" s="1894"/>
      <c r="G405" s="790"/>
    </row>
    <row r="406" spans="1:7">
      <c r="A406" s="814"/>
      <c r="B406" s="814"/>
      <c r="C406" s="827"/>
      <c r="D406" s="1894"/>
      <c r="E406" s="1894"/>
      <c r="F406" s="1894"/>
      <c r="G406" s="790"/>
    </row>
    <row r="407" spans="1:7">
      <c r="A407" s="814"/>
      <c r="B407" s="814"/>
      <c r="C407" s="814"/>
      <c r="D407" s="1894"/>
      <c r="E407" s="1894"/>
      <c r="F407" s="1894"/>
      <c r="G407" s="790"/>
    </row>
    <row r="408" spans="1:7">
      <c r="A408" s="814"/>
      <c r="B408" s="814"/>
      <c r="C408" s="827"/>
      <c r="D408" s="1894"/>
      <c r="E408" s="1894"/>
      <c r="F408" s="1894"/>
      <c r="G408" s="790"/>
    </row>
    <row r="409" spans="1:7">
      <c r="A409" s="814"/>
      <c r="B409" s="814"/>
      <c r="C409" s="827"/>
      <c r="D409" s="1894"/>
      <c r="E409" s="1894"/>
      <c r="F409" s="1894"/>
      <c r="G409" s="790"/>
    </row>
    <row r="410" spans="1:7">
      <c r="A410" s="814"/>
      <c r="B410" s="814"/>
      <c r="C410" s="827"/>
      <c r="D410" s="1894"/>
      <c r="E410" s="1894"/>
      <c r="F410" s="1894"/>
      <c r="G410" s="790"/>
    </row>
    <row r="411" spans="1:7">
      <c r="A411" s="814"/>
      <c r="B411" s="814"/>
      <c r="C411" s="814"/>
      <c r="D411" s="826"/>
      <c r="E411" s="786"/>
      <c r="F411" s="800"/>
      <c r="G411" s="790"/>
    </row>
    <row r="412" spans="1:7">
      <c r="A412" s="814"/>
      <c r="B412" s="798" t="s">
        <v>2626</v>
      </c>
      <c r="C412" s="814"/>
      <c r="D412" s="1894" t="s">
        <v>1318</v>
      </c>
      <c r="E412" s="1894"/>
      <c r="F412" s="1894"/>
      <c r="G412" s="790"/>
    </row>
    <row r="413" spans="1:7">
      <c r="A413" s="814"/>
      <c r="B413" s="814"/>
      <c r="C413" s="814"/>
      <c r="D413" s="1894"/>
      <c r="E413" s="1894"/>
      <c r="F413" s="1894"/>
      <c r="G413" s="790"/>
    </row>
    <row r="414" spans="1:7">
      <c r="A414" s="814"/>
      <c r="B414" s="814"/>
      <c r="C414" s="814"/>
      <c r="D414" s="903"/>
      <c r="E414" s="903"/>
      <c r="F414" s="903"/>
      <c r="G414" s="790"/>
    </row>
    <row r="415" spans="1:7" ht="14.45" customHeight="1">
      <c r="A415" s="797"/>
      <c r="B415" s="798" t="s">
        <v>2626</v>
      </c>
      <c r="D415" s="1894" t="s">
        <v>2476</v>
      </c>
      <c r="E415" s="1894"/>
      <c r="F415" s="1894"/>
    </row>
    <row r="416" spans="1:7" ht="14.45" customHeight="1">
      <c r="A416" s="797"/>
      <c r="D416" s="1894"/>
      <c r="E416" s="1894"/>
      <c r="F416" s="1894"/>
    </row>
    <row r="417" spans="1:7" ht="14.45" customHeight="1">
      <c r="A417" s="797"/>
      <c r="D417" s="1894"/>
      <c r="E417" s="1894"/>
      <c r="F417" s="1894"/>
    </row>
    <row r="418" spans="1:7" ht="14.45" customHeight="1">
      <c r="A418" s="797"/>
      <c r="D418" s="1894"/>
      <c r="E418" s="1894"/>
      <c r="F418" s="1894"/>
    </row>
    <row r="419" spans="1:7" ht="14.45" customHeight="1">
      <c r="A419" s="797"/>
      <c r="D419" s="1894"/>
      <c r="E419" s="1894"/>
      <c r="F419" s="1894"/>
    </row>
    <row r="420" spans="1:7" ht="14.45" customHeight="1">
      <c r="A420" s="797"/>
      <c r="D420" s="878"/>
      <c r="E420" s="878"/>
      <c r="F420" s="878"/>
    </row>
    <row r="421" spans="1:7" ht="13.7" customHeight="1">
      <c r="A421" s="797"/>
      <c r="B421" s="798" t="s">
        <v>2626</v>
      </c>
      <c r="C421" s="814"/>
      <c r="D421" s="1895" t="s">
        <v>1458</v>
      </c>
      <c r="E421" s="1895"/>
      <c r="F421" s="1895"/>
      <c r="G421" s="790"/>
    </row>
    <row r="422" spans="1:7" ht="14.25">
      <c r="A422" s="828"/>
      <c r="B422" s="828"/>
      <c r="C422" s="814"/>
      <c r="D422" s="1895"/>
      <c r="E422" s="1895"/>
      <c r="F422" s="1895"/>
      <c r="G422" s="790"/>
    </row>
    <row r="423" spans="1:7" ht="14.25">
      <c r="A423" s="828"/>
      <c r="B423" s="828"/>
      <c r="C423" s="814"/>
      <c r="D423" s="1895"/>
      <c r="E423" s="1895"/>
      <c r="F423" s="1895"/>
      <c r="G423" s="790"/>
    </row>
    <row r="424" spans="1:7" ht="14.25">
      <c r="A424" s="828"/>
      <c r="B424" s="828"/>
      <c r="C424" s="814"/>
      <c r="D424" s="1895"/>
      <c r="E424" s="1895"/>
      <c r="F424" s="1895"/>
      <c r="G424" s="790"/>
    </row>
    <row r="425" spans="1:7" ht="15.75" customHeight="1">
      <c r="A425" s="828"/>
      <c r="B425" s="828"/>
      <c r="C425" s="814"/>
      <c r="D425" s="2002" t="s">
        <v>1508</v>
      </c>
      <c r="E425" s="1895"/>
      <c r="F425" s="1895"/>
      <c r="G425" s="790"/>
    </row>
    <row r="426" spans="1:7">
      <c r="D426" s="800"/>
      <c r="E426" s="800"/>
      <c r="F426" s="800"/>
      <c r="G426" s="790"/>
    </row>
    <row r="427" spans="1:7" ht="14.25">
      <c r="A427" s="797"/>
      <c r="B427" s="798" t="s">
        <v>2626</v>
      </c>
      <c r="C427" s="829"/>
      <c r="D427" s="1904" t="s">
        <v>1320</v>
      </c>
      <c r="E427" s="1904"/>
      <c r="F427" s="1904"/>
      <c r="G427" s="790"/>
    </row>
    <row r="428" spans="1:7" ht="14.25">
      <c r="A428" s="797"/>
      <c r="B428" s="797"/>
      <c r="D428" s="1904"/>
      <c r="E428" s="1904"/>
      <c r="F428" s="1904"/>
      <c r="G428" s="790"/>
    </row>
    <row r="429" spans="1:7">
      <c r="D429" s="1904"/>
      <c r="E429" s="1904"/>
      <c r="F429" s="1904"/>
      <c r="G429" s="790"/>
    </row>
    <row r="430" spans="1:7">
      <c r="D430" s="1904"/>
      <c r="E430" s="1904"/>
      <c r="F430" s="1904"/>
      <c r="G430" s="790"/>
    </row>
    <row r="431" spans="1:7">
      <c r="D431" s="1904"/>
      <c r="E431" s="1904"/>
      <c r="F431" s="1904"/>
      <c r="G431" s="790"/>
    </row>
    <row r="432" spans="1:7">
      <c r="D432" s="1904"/>
      <c r="E432" s="1904"/>
      <c r="F432" s="1904"/>
      <c r="G432" s="790"/>
    </row>
    <row r="433" spans="1:7">
      <c r="D433" s="1904"/>
      <c r="E433" s="1904"/>
      <c r="F433" s="1904"/>
      <c r="G433" s="790"/>
    </row>
    <row r="434" spans="1:7">
      <c r="D434" s="1904"/>
      <c r="E434" s="1904"/>
      <c r="F434" s="1904"/>
      <c r="G434" s="790"/>
    </row>
    <row r="435" spans="1:7">
      <c r="D435" s="1904"/>
      <c r="E435" s="1904"/>
      <c r="F435" s="1904"/>
      <c r="G435" s="790"/>
    </row>
    <row r="436" spans="1:7">
      <c r="D436" s="1904"/>
      <c r="E436" s="1904"/>
      <c r="F436" s="1904"/>
      <c r="G436" s="790"/>
    </row>
    <row r="437" spans="1:7">
      <c r="D437" s="1904"/>
      <c r="E437" s="1904"/>
      <c r="F437" s="1904"/>
      <c r="G437" s="790"/>
    </row>
    <row r="438" spans="1:7">
      <c r="D438" s="1904"/>
      <c r="E438" s="1904"/>
      <c r="F438" s="1904"/>
      <c r="G438" s="790"/>
    </row>
    <row r="439" spans="1:7">
      <c r="D439" s="1904"/>
      <c r="E439" s="1904"/>
      <c r="F439" s="1904"/>
      <c r="G439" s="790"/>
    </row>
    <row r="440" spans="1:7">
      <c r="A440" s="790"/>
      <c r="B440" s="790"/>
      <c r="C440" s="790"/>
      <c r="D440" s="1904"/>
      <c r="E440" s="1904"/>
      <c r="F440" s="1904"/>
      <c r="G440" s="790"/>
    </row>
    <row r="441" spans="1:7">
      <c r="A441" s="790"/>
      <c r="B441" s="790"/>
      <c r="C441" s="790"/>
      <c r="D441" s="1904"/>
      <c r="E441" s="1904"/>
      <c r="F441" s="1904"/>
      <c r="G441" s="790"/>
    </row>
    <row r="442" spans="1:7">
      <c r="A442" s="790"/>
      <c r="B442" s="790"/>
      <c r="C442" s="790"/>
      <c r="D442" s="1904"/>
      <c r="E442" s="1904"/>
      <c r="F442" s="1904"/>
      <c r="G442" s="790"/>
    </row>
    <row r="443" spans="1:7">
      <c r="A443" s="790"/>
      <c r="B443" s="790"/>
      <c r="C443" s="790"/>
      <c r="D443" s="1904"/>
      <c r="E443" s="1904"/>
      <c r="F443" s="1904"/>
      <c r="G443" s="790"/>
    </row>
    <row r="444" spans="1:7">
      <c r="A444" s="790"/>
      <c r="B444" s="790"/>
      <c r="C444" s="790"/>
      <c r="D444" s="1904"/>
      <c r="E444" s="1904"/>
      <c r="F444" s="1904"/>
      <c r="G444" s="790"/>
    </row>
    <row r="445" spans="1:7">
      <c r="A445" s="790"/>
      <c r="B445" s="790"/>
      <c r="C445" s="790"/>
      <c r="D445" s="1904"/>
      <c r="E445" s="1904"/>
      <c r="F445" s="1904"/>
      <c r="G445" s="790"/>
    </row>
    <row r="446" spans="1:7">
      <c r="A446" s="790"/>
      <c r="B446" s="790"/>
      <c r="C446" s="790"/>
      <c r="D446" s="1904"/>
      <c r="E446" s="1904"/>
      <c r="F446" s="1904"/>
      <c r="G446" s="790"/>
    </row>
    <row r="447" spans="1:7">
      <c r="A447" s="790"/>
      <c r="B447" s="790"/>
      <c r="C447" s="790"/>
      <c r="D447" s="1904"/>
      <c r="E447" s="1904"/>
      <c r="F447" s="1904"/>
      <c r="G447" s="790"/>
    </row>
    <row r="448" spans="1:7">
      <c r="A448" s="790"/>
      <c r="B448" s="790"/>
      <c r="C448" s="790"/>
      <c r="D448" s="1904"/>
      <c r="E448" s="1904"/>
      <c r="F448" s="1904"/>
      <c r="G448" s="790"/>
    </row>
    <row r="449" spans="1:9">
      <c r="A449" s="790"/>
      <c r="B449" s="790"/>
      <c r="C449" s="790"/>
      <c r="D449" s="1904"/>
      <c r="E449" s="1904"/>
      <c r="F449" s="1904"/>
      <c r="G449" s="790"/>
    </row>
    <row r="450" spans="1:9">
      <c r="A450" s="790"/>
      <c r="B450" s="790"/>
      <c r="C450" s="790"/>
      <c r="D450" s="1904"/>
      <c r="E450" s="1904"/>
      <c r="F450" s="1904"/>
      <c r="G450" s="790"/>
    </row>
    <row r="451" spans="1:9">
      <c r="A451" s="790"/>
      <c r="B451" s="790"/>
      <c r="C451" s="790"/>
      <c r="D451" s="1904"/>
      <c r="E451" s="1904"/>
      <c r="F451" s="1904"/>
      <c r="G451" s="790"/>
    </row>
    <row r="452" spans="1:9">
      <c r="A452" s="790"/>
      <c r="B452" s="790"/>
      <c r="C452" s="790"/>
      <c r="D452" s="1904"/>
      <c r="E452" s="1904"/>
      <c r="F452" s="1904"/>
      <c r="G452" s="790"/>
    </row>
    <row r="453" spans="1:9">
      <c r="A453" s="790"/>
      <c r="B453" s="790"/>
      <c r="C453" s="790"/>
      <c r="D453" s="1904"/>
      <c r="E453" s="1904"/>
      <c r="F453" s="1904"/>
      <c r="G453" s="790"/>
    </row>
    <row r="454" spans="1:9">
      <c r="A454" s="790"/>
      <c r="B454" s="790"/>
      <c r="C454" s="790"/>
      <c r="D454" s="1904"/>
      <c r="E454" s="1904"/>
      <c r="F454" s="1904"/>
      <c r="G454" s="790"/>
    </row>
    <row r="455" spans="1:9">
      <c r="A455" s="790"/>
      <c r="B455" s="790"/>
      <c r="C455" s="790"/>
      <c r="D455" s="1904"/>
      <c r="E455" s="1904"/>
      <c r="F455" s="1904"/>
      <c r="G455" s="790"/>
    </row>
    <row r="456" spans="1:9" s="831" customFormat="1">
      <c r="A456" s="788"/>
      <c r="B456" s="788"/>
      <c r="C456" s="788"/>
      <c r="D456" s="1904"/>
      <c r="E456" s="1904"/>
      <c r="F456" s="1904"/>
      <c r="G456" s="830"/>
      <c r="I456" s="1838"/>
    </row>
    <row r="457" spans="1:9" s="831" customFormat="1" ht="40.700000000000003" customHeight="1">
      <c r="A457" s="788"/>
      <c r="B457" s="788"/>
      <c r="C457" s="788"/>
      <c r="D457" s="1904"/>
      <c r="E457" s="1904"/>
      <c r="F457" s="1904"/>
      <c r="G457" s="830"/>
      <c r="I457" s="1838"/>
    </row>
    <row r="458" spans="1:9">
      <c r="D458" s="800"/>
      <c r="E458" s="800"/>
      <c r="F458" s="800"/>
      <c r="G458" s="790"/>
    </row>
    <row r="459" spans="1:9" ht="14.25">
      <c r="A459" s="797"/>
      <c r="B459" s="798" t="s">
        <v>2626</v>
      </c>
      <c r="C459" s="829"/>
      <c r="D459" s="1904" t="s">
        <v>1323</v>
      </c>
      <c r="E459" s="1904"/>
      <c r="F459" s="1904"/>
      <c r="G459" s="790"/>
    </row>
    <row r="460" spans="1:9">
      <c r="D460" s="1904"/>
      <c r="E460" s="1904"/>
      <c r="F460" s="1904"/>
      <c r="G460" s="790"/>
    </row>
    <row r="461" spans="1:9">
      <c r="D461" s="1904"/>
      <c r="E461" s="1904"/>
      <c r="F461" s="1904"/>
      <c r="G461" s="790"/>
    </row>
    <row r="462" spans="1:9">
      <c r="D462" s="784"/>
      <c r="E462" s="784"/>
      <c r="F462" s="784"/>
      <c r="G462" s="790"/>
    </row>
    <row r="463" spans="1:9" ht="14.25">
      <c r="B463" s="798" t="s">
        <v>2626</v>
      </c>
      <c r="C463" s="797"/>
      <c r="D463" s="1982" t="s">
        <v>1402</v>
      </c>
      <c r="E463" s="1982"/>
      <c r="F463" s="1982"/>
      <c r="G463" s="790"/>
    </row>
    <row r="464" spans="1:9">
      <c r="D464" s="1982"/>
      <c r="E464" s="1982"/>
      <c r="F464" s="1982"/>
      <c r="G464" s="790"/>
    </row>
    <row r="465" spans="1:7">
      <c r="D465" s="800"/>
      <c r="E465" s="800"/>
      <c r="F465" s="800"/>
      <c r="G465" s="790"/>
    </row>
    <row r="466" spans="1:7" ht="14.25">
      <c r="B466" s="798" t="s">
        <v>2626</v>
      </c>
      <c r="C466" s="797"/>
      <c r="D466" s="1982" t="s">
        <v>1325</v>
      </c>
      <c r="E466" s="1982"/>
      <c r="F466" s="1982"/>
      <c r="G466" s="790"/>
    </row>
    <row r="467" spans="1:7">
      <c r="D467" s="1982"/>
      <c r="E467" s="1982"/>
      <c r="F467" s="1982"/>
      <c r="G467" s="790"/>
    </row>
    <row r="468" spans="1:7">
      <c r="D468" s="1982"/>
      <c r="E468" s="1982"/>
      <c r="F468" s="1982"/>
      <c r="G468" s="790"/>
    </row>
    <row r="469" spans="1:7">
      <c r="D469" s="1982"/>
      <c r="E469" s="1982"/>
      <c r="F469" s="1982"/>
      <c r="G469" s="790"/>
    </row>
    <row r="470" spans="1:7">
      <c r="B470" s="798" t="s">
        <v>2626</v>
      </c>
      <c r="D470" s="1982"/>
      <c r="E470" s="1982"/>
      <c r="F470" s="1982"/>
      <c r="G470" s="790"/>
    </row>
    <row r="471" spans="1:7">
      <c r="A471" s="790"/>
      <c r="B471" s="790"/>
      <c r="C471" s="790"/>
      <c r="D471" s="1982"/>
      <c r="E471" s="1982"/>
      <c r="F471" s="1982"/>
      <c r="G471" s="790"/>
    </row>
    <row r="472" spans="1:7">
      <c r="A472" s="790"/>
      <c r="C472" s="790"/>
      <c r="D472" s="1982"/>
      <c r="E472" s="1982"/>
      <c r="F472" s="1982"/>
      <c r="G472" s="790"/>
    </row>
    <row r="473" spans="1:7">
      <c r="A473" s="790"/>
      <c r="B473" s="798" t="s">
        <v>2626</v>
      </c>
      <c r="C473" s="790"/>
      <c r="D473" s="1982"/>
      <c r="E473" s="1982"/>
      <c r="F473" s="1982"/>
      <c r="G473" s="790"/>
    </row>
    <row r="474" spans="1:7">
      <c r="A474" s="790"/>
      <c r="B474" s="790"/>
      <c r="C474" s="790"/>
      <c r="D474" s="1982"/>
      <c r="E474" s="1982"/>
      <c r="F474" s="1982"/>
      <c r="G474" s="790"/>
    </row>
    <row r="475" spans="1:7">
      <c r="A475" s="790"/>
      <c r="C475" s="790"/>
      <c r="D475" s="1982"/>
      <c r="E475" s="1982"/>
      <c r="F475" s="1982"/>
      <c r="G475" s="790"/>
    </row>
    <row r="476" spans="1:7">
      <c r="A476" s="790"/>
      <c r="C476" s="790"/>
      <c r="D476" s="1982"/>
      <c r="E476" s="1982"/>
      <c r="F476" s="1982"/>
      <c r="G476" s="790"/>
    </row>
    <row r="477" spans="1:7">
      <c r="A477" s="790"/>
      <c r="C477" s="790"/>
      <c r="D477" s="1982"/>
      <c r="E477" s="1982"/>
      <c r="F477" s="1982"/>
      <c r="G477" s="790"/>
    </row>
    <row r="478" spans="1:7">
      <c r="A478" s="790"/>
      <c r="B478" s="798" t="s">
        <v>2626</v>
      </c>
      <c r="C478" s="790"/>
      <c r="D478" s="1982"/>
      <c r="E478" s="1982"/>
      <c r="F478" s="1982"/>
      <c r="G478" s="790"/>
    </row>
    <row r="479" spans="1:7">
      <c r="A479" s="790"/>
      <c r="C479" s="790"/>
      <c r="D479" s="1982"/>
      <c r="E479" s="1982"/>
      <c r="F479" s="1982"/>
      <c r="G479" s="790"/>
    </row>
    <row r="480" spans="1:7">
      <c r="A480" s="790"/>
      <c r="B480" s="798" t="s">
        <v>2626</v>
      </c>
      <c r="C480" s="790"/>
      <c r="D480" s="1982" t="s">
        <v>1326</v>
      </c>
      <c r="E480" s="1982"/>
      <c r="F480" s="1982"/>
      <c r="G480" s="790"/>
    </row>
    <row r="481" spans="1:9">
      <c r="A481" s="790"/>
      <c r="B481" s="790"/>
      <c r="C481" s="790"/>
      <c r="D481" s="1982"/>
      <c r="E481" s="1982"/>
      <c r="F481" s="1982"/>
      <c r="G481" s="790"/>
    </row>
    <row r="482" spans="1:9">
      <c r="A482" s="790"/>
      <c r="B482" s="790"/>
      <c r="C482" s="790"/>
      <c r="D482" s="1982"/>
      <c r="E482" s="1982"/>
      <c r="F482" s="1982"/>
      <c r="G482" s="790"/>
    </row>
    <row r="483" spans="1:9">
      <c r="A483" s="790"/>
      <c r="B483" s="790"/>
      <c r="C483" s="790"/>
      <c r="D483" s="1982"/>
      <c r="E483" s="1982"/>
      <c r="F483" s="1982"/>
      <c r="G483" s="790"/>
    </row>
    <row r="484" spans="1:9">
      <c r="D484" s="1982"/>
      <c r="E484" s="1982"/>
      <c r="F484" s="1982"/>
    </row>
    <row r="485" spans="1:9">
      <c r="D485" s="800"/>
      <c r="E485" s="800"/>
      <c r="F485" s="800"/>
    </row>
    <row r="486" spans="1:9">
      <c r="B486" s="798" t="s">
        <v>2626</v>
      </c>
      <c r="D486" s="1978" t="s">
        <v>1327</v>
      </c>
      <c r="E486" s="1978"/>
      <c r="F486" s="1978"/>
    </row>
    <row r="487" spans="1:9">
      <c r="A487" s="800"/>
      <c r="B487" s="800"/>
    </row>
    <row r="488" spans="1:9">
      <c r="A488" s="1886" t="s">
        <v>1168</v>
      </c>
      <c r="B488" s="1886"/>
      <c r="C488" s="1886"/>
      <c r="D488" s="1886"/>
      <c r="E488" s="1886"/>
      <c r="F488" s="1886"/>
      <c r="G488" s="1886"/>
      <c r="H488" s="1851"/>
      <c r="I488" s="1852"/>
    </row>
    <row r="489" spans="1:9">
      <c r="A489" s="800"/>
      <c r="B489" s="800"/>
    </row>
    <row r="490" spans="1:9">
      <c r="D490" s="1882" t="s">
        <v>948</v>
      </c>
      <c r="E490" s="1882"/>
      <c r="F490" s="1882"/>
    </row>
    <row r="491" spans="1:9" s="791" customFormat="1" ht="14.25">
      <c r="A491" s="805"/>
      <c r="B491" s="805"/>
      <c r="C491" s="801"/>
      <c r="D491" s="1883" t="s">
        <v>1328</v>
      </c>
      <c r="E491" s="1883"/>
      <c r="F491" s="1883"/>
      <c r="G491" s="802"/>
      <c r="I491" s="1835"/>
    </row>
    <row r="492" spans="1:9" s="791" customFormat="1" ht="14.25">
      <c r="A492" s="805"/>
      <c r="B492" s="805"/>
      <c r="C492" s="801"/>
      <c r="D492" s="787"/>
      <c r="E492" s="672"/>
      <c r="F492" s="672"/>
      <c r="G492" s="802"/>
      <c r="I492" s="1835"/>
    </row>
    <row r="493" spans="1:9" s="791" customFormat="1" ht="14.25">
      <c r="A493" s="797"/>
      <c r="B493" s="798" t="s">
        <v>2626</v>
      </c>
      <c r="C493" s="801"/>
      <c r="D493" s="1884" t="s">
        <v>1329</v>
      </c>
      <c r="E493" s="1884"/>
      <c r="F493" s="1884"/>
      <c r="G493" s="802"/>
      <c r="I493" s="1835" t="s">
        <v>2440</v>
      </c>
    </row>
    <row r="494" spans="1:9" s="791" customFormat="1" ht="14.25">
      <c r="A494" s="797"/>
      <c r="B494" s="797"/>
      <c r="C494" s="801"/>
      <c r="D494" s="1884"/>
      <c r="E494" s="1884"/>
      <c r="F494" s="1884"/>
      <c r="G494" s="802"/>
      <c r="I494" s="1835"/>
    </row>
    <row r="495" spans="1:9" s="791" customFormat="1" ht="14.25">
      <c r="A495" s="797"/>
      <c r="B495" s="797"/>
      <c r="C495" s="801"/>
      <c r="D495" s="785"/>
      <c r="E495" s="672"/>
      <c r="F495" s="672"/>
      <c r="G495" s="802"/>
      <c r="I495" s="1835"/>
    </row>
    <row r="496" spans="1:9" ht="12.75" customHeight="1">
      <c r="B496" s="798" t="s">
        <v>2626</v>
      </c>
      <c r="D496" s="1885" t="s">
        <v>1509</v>
      </c>
      <c r="E496" s="1885"/>
      <c r="F496" s="1885"/>
      <c r="I496" s="1772" t="s">
        <v>2441</v>
      </c>
    </row>
    <row r="497" spans="1:9" ht="14.25">
      <c r="A497" s="797"/>
      <c r="D497" s="1885"/>
      <c r="E497" s="1885"/>
      <c r="F497" s="1885"/>
    </row>
    <row r="498" spans="1:9" ht="14.25">
      <c r="A498" s="797"/>
      <c r="B498" s="797"/>
      <c r="D498" s="1885"/>
      <c r="E498" s="1885"/>
      <c r="F498" s="1885"/>
    </row>
    <row r="499" spans="1:9" ht="14.25">
      <c r="A499" s="797"/>
      <c r="B499" s="797"/>
      <c r="D499" s="1885"/>
      <c r="E499" s="1885"/>
      <c r="F499" s="1885"/>
    </row>
    <row r="500" spans="1:9" ht="14.25">
      <c r="A500" s="797"/>
      <c r="D500" s="893"/>
      <c r="E500" s="893"/>
      <c r="F500" s="893"/>
      <c r="G500" s="790"/>
    </row>
    <row r="501" spans="1:9" ht="14.25">
      <c r="A501" s="797"/>
      <c r="B501" s="798" t="s">
        <v>2626</v>
      </c>
      <c r="D501" s="1906" t="s">
        <v>1332</v>
      </c>
      <c r="E501" s="1906"/>
      <c r="F501" s="1906"/>
      <c r="G501" s="790"/>
      <c r="I501" s="1772" t="s">
        <v>2442</v>
      </c>
    </row>
    <row r="502" spans="1:9" ht="14.25">
      <c r="A502" s="797"/>
      <c r="B502" s="797"/>
      <c r="D502" s="785"/>
      <c r="E502" s="672"/>
      <c r="F502" s="672"/>
      <c r="G502" s="790"/>
    </row>
    <row r="503" spans="1:9" ht="14.25">
      <c r="A503" s="797"/>
      <c r="B503" s="798" t="s">
        <v>2626</v>
      </c>
      <c r="D503" s="1904" t="s">
        <v>1333</v>
      </c>
      <c r="E503" s="1904"/>
      <c r="F503" s="1904"/>
      <c r="G503" s="790"/>
      <c r="I503" s="1772" t="s">
        <v>2442</v>
      </c>
    </row>
    <row r="504" spans="1:9" ht="14.25">
      <c r="A504" s="797"/>
      <c r="D504" s="1904"/>
      <c r="E504" s="1904"/>
      <c r="F504" s="1904"/>
      <c r="G504" s="790"/>
    </row>
    <row r="505" spans="1:9">
      <c r="A505" s="816"/>
      <c r="B505" s="816"/>
      <c r="D505" s="733"/>
      <c r="E505" s="672"/>
      <c r="F505" s="672"/>
      <c r="G505" s="790"/>
    </row>
    <row r="506" spans="1:9">
      <c r="A506" s="816"/>
      <c r="B506" s="798" t="s">
        <v>2626</v>
      </c>
      <c r="D506" s="1906" t="s">
        <v>1334</v>
      </c>
      <c r="E506" s="1906"/>
      <c r="F506" s="1906"/>
      <c r="G506" s="790"/>
      <c r="I506" s="1772" t="s">
        <v>2497</v>
      </c>
    </row>
    <row r="507" spans="1:9" ht="14.25">
      <c r="A507" s="797"/>
      <c r="B507" s="797"/>
      <c r="D507" s="800"/>
    </row>
    <row r="508" spans="1:9">
      <c r="A508" s="1886" t="s">
        <v>1169</v>
      </c>
      <c r="B508" s="1886"/>
      <c r="C508" s="1886"/>
      <c r="D508" s="1886"/>
      <c r="E508" s="1886"/>
      <c r="F508" s="1886"/>
      <c r="G508" s="1886"/>
      <c r="H508" s="1851"/>
      <c r="I508" s="1852"/>
    </row>
    <row r="509" spans="1:9" s="722" customFormat="1" ht="12" customHeight="1">
      <c r="A509" s="797"/>
      <c r="B509" s="797"/>
      <c r="C509" s="804"/>
      <c r="D509" s="785"/>
      <c r="E509" s="672"/>
      <c r="F509" s="672"/>
      <c r="G509" s="672"/>
      <c r="I509" s="622"/>
    </row>
    <row r="510" spans="1:9" s="722" customFormat="1">
      <c r="A510" s="801"/>
      <c r="B510" s="801"/>
      <c r="C510" s="832"/>
      <c r="D510" s="2010" t="s">
        <v>851</v>
      </c>
      <c r="E510" s="2010"/>
      <c r="F510" s="2010"/>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2623</v>
      </c>
      <c r="C514" s="799"/>
      <c r="D514" s="1878" t="s">
        <v>2268</v>
      </c>
      <c r="E514" s="1878"/>
      <c r="F514" s="1878"/>
      <c r="G514" s="672"/>
      <c r="I514" s="622" t="s">
        <v>2477</v>
      </c>
    </row>
    <row r="515" spans="1:9" s="722" customFormat="1">
      <c r="A515" s="795"/>
      <c r="B515" s="795"/>
      <c r="C515" s="799"/>
      <c r="D515" s="1878"/>
      <c r="E515" s="1878"/>
      <c r="F515" s="1878"/>
      <c r="G515" s="672"/>
      <c r="I515" s="622"/>
    </row>
    <row r="516" spans="1:9" s="722" customFormat="1">
      <c r="A516" s="795"/>
      <c r="B516" s="795"/>
      <c r="C516" s="799"/>
      <c r="D516" s="1705"/>
      <c r="E516" s="1705"/>
      <c r="F516" s="1705"/>
      <c r="G516" s="672"/>
    </row>
    <row r="517" spans="1:9" s="722" customFormat="1">
      <c r="A517" s="795"/>
      <c r="B517" s="798" t="s">
        <v>2626</v>
      </c>
      <c r="C517" s="804"/>
      <c r="D517" s="1878" t="s">
        <v>1207</v>
      </c>
      <c r="E517" s="1878"/>
      <c r="F517" s="1878"/>
      <c r="G517" s="672"/>
      <c r="I517" s="622" t="s">
        <v>2443</v>
      </c>
    </row>
    <row r="518" spans="1:9" s="722" customFormat="1">
      <c r="A518" s="795"/>
      <c r="B518" s="795"/>
      <c r="C518" s="804"/>
      <c r="D518" s="1878"/>
      <c r="E518" s="1878"/>
      <c r="F518" s="1878"/>
      <c r="G518" s="672"/>
      <c r="I518" s="622"/>
    </row>
    <row r="519" spans="1:9" s="722" customFormat="1">
      <c r="A519" s="795"/>
      <c r="B519" s="795"/>
      <c r="C519" s="799"/>
      <c r="D519" s="1878"/>
      <c r="E519" s="1878"/>
      <c r="F519" s="1878"/>
      <c r="G519" s="672"/>
      <c r="I519" s="622"/>
    </row>
    <row r="520" spans="1:9" s="722" customFormat="1">
      <c r="A520" s="795"/>
      <c r="B520" s="795"/>
      <c r="C520" s="799"/>
      <c r="D520" s="833"/>
      <c r="E520" s="672"/>
      <c r="F520" s="785"/>
      <c r="G520" s="672"/>
      <c r="I520" s="622"/>
    </row>
    <row r="521" spans="1:9" s="722" customFormat="1" ht="13.15" customHeight="1">
      <c r="A521" s="795"/>
      <c r="B521" s="798" t="s">
        <v>2626</v>
      </c>
      <c r="C521" s="799"/>
      <c r="D521" s="1990" t="s">
        <v>1233</v>
      </c>
      <c r="E521" s="1990"/>
      <c r="F521" s="1990"/>
      <c r="G521" s="672"/>
      <c r="I521" s="622" t="s">
        <v>2443</v>
      </c>
    </row>
    <row r="522" spans="1:9" s="722" customFormat="1">
      <c r="A522" s="795"/>
      <c r="B522" s="795"/>
      <c r="C522" s="799"/>
      <c r="D522" s="1990"/>
      <c r="E522" s="1990"/>
      <c r="F522" s="1990"/>
      <c r="G522" s="672"/>
      <c r="I522" s="622"/>
    </row>
    <row r="523" spans="1:9" s="722" customFormat="1" ht="12" customHeight="1">
      <c r="A523" s="800"/>
      <c r="B523" s="800"/>
      <c r="C523" s="808"/>
      <c r="D523" s="800"/>
      <c r="E523" s="672"/>
      <c r="F523" s="835"/>
      <c r="G523" s="672"/>
      <c r="I523" s="622"/>
    </row>
    <row r="524" spans="1:9">
      <c r="A524" s="1886" t="s">
        <v>1170</v>
      </c>
      <c r="B524" s="1886"/>
      <c r="C524" s="1886"/>
      <c r="D524" s="1886"/>
      <c r="E524" s="1886"/>
      <c r="F524" s="1886"/>
      <c r="G524" s="1886"/>
      <c r="H524" s="1851"/>
      <c r="I524" s="1852"/>
    </row>
    <row r="525" spans="1:9">
      <c r="A525" s="800"/>
      <c r="B525" s="800"/>
      <c r="C525" s="829"/>
      <c r="F525" s="836"/>
    </row>
    <row r="526" spans="1:9">
      <c r="B526" s="1976" t="s">
        <v>470</v>
      </c>
      <c r="C526" s="1976"/>
      <c r="D526" s="1976"/>
      <c r="E526" s="1976"/>
      <c r="F526" s="1976"/>
    </row>
    <row r="527" spans="1:9">
      <c r="A527" s="800"/>
      <c r="B527" s="800"/>
      <c r="C527" s="829"/>
      <c r="D527" s="800"/>
      <c r="F527" s="800"/>
    </row>
    <row r="528" spans="1:9">
      <c r="A528" s="1936" t="s">
        <v>1171</v>
      </c>
      <c r="B528" s="1936"/>
      <c r="C528" s="1936"/>
      <c r="D528" s="1936"/>
      <c r="E528" s="1936"/>
      <c r="F528" s="1936"/>
      <c r="G528" s="1936"/>
      <c r="H528" s="1851"/>
      <c r="I528" s="1852"/>
    </row>
    <row r="529" spans="1:9">
      <c r="A529" s="800"/>
      <c r="B529" s="800"/>
      <c r="C529" s="829"/>
      <c r="D529" s="800"/>
      <c r="F529" s="800"/>
    </row>
    <row r="530" spans="1:9">
      <c r="C530" s="829"/>
      <c r="D530" s="1903" t="s">
        <v>720</v>
      </c>
      <c r="E530" s="1903"/>
      <c r="F530" s="1903"/>
    </row>
    <row r="531" spans="1:9">
      <c r="C531" s="829"/>
      <c r="D531" s="1906" t="s">
        <v>1228</v>
      </c>
      <c r="E531" s="1906"/>
      <c r="F531" s="1906"/>
    </row>
    <row r="532" spans="1:9">
      <c r="C532" s="829"/>
      <c r="D532" s="785"/>
      <c r="E532" s="785"/>
      <c r="F532" s="785"/>
    </row>
    <row r="533" spans="1:9" ht="13.7" customHeight="1">
      <c r="A533" s="797"/>
      <c r="B533" s="798" t="s">
        <v>2623</v>
      </c>
      <c r="C533" s="829"/>
      <c r="D533" s="1906" t="s">
        <v>949</v>
      </c>
      <c r="E533" s="1906"/>
      <c r="F533" s="1906"/>
      <c r="G533" s="790"/>
      <c r="I533" s="1772" t="s">
        <v>2495</v>
      </c>
    </row>
    <row r="534" spans="1:9" ht="13.7" customHeight="1">
      <c r="A534" s="829"/>
      <c r="B534" s="829"/>
      <c r="C534" s="829"/>
      <c r="D534" s="785"/>
      <c r="E534" s="618"/>
      <c r="F534" s="618"/>
      <c r="G534" s="790"/>
    </row>
    <row r="535" spans="1:9" ht="14.25">
      <c r="A535" s="797"/>
      <c r="B535" s="798" t="s">
        <v>2623</v>
      </c>
      <c r="C535" s="829"/>
      <c r="D535" s="1904" t="s">
        <v>1229</v>
      </c>
      <c r="E535" s="1904"/>
      <c r="F535" s="1904"/>
      <c r="G535" s="790"/>
      <c r="I535" s="1772" t="s">
        <v>2495</v>
      </c>
    </row>
    <row r="536" spans="1:9">
      <c r="A536" s="829"/>
      <c r="B536" s="829"/>
      <c r="C536" s="829"/>
      <c r="D536" s="1904"/>
      <c r="E536" s="1904"/>
      <c r="F536" s="1904"/>
      <c r="G536" s="790"/>
    </row>
    <row r="537" spans="1:9">
      <c r="A537" s="829"/>
      <c r="B537" s="829"/>
      <c r="C537" s="829"/>
      <c r="D537" s="800"/>
      <c r="E537" s="800"/>
      <c r="F537" s="800"/>
      <c r="G537" s="790"/>
    </row>
    <row r="538" spans="1:9" ht="14.25">
      <c r="A538" s="797"/>
      <c r="B538" s="798" t="s">
        <v>2623</v>
      </c>
      <c r="C538" s="829"/>
      <c r="D538" s="1904" t="s">
        <v>1230</v>
      </c>
      <c r="E538" s="1904"/>
      <c r="F538" s="1904"/>
      <c r="G538" s="790"/>
      <c r="I538" s="1772" t="s">
        <v>2444</v>
      </c>
    </row>
    <row r="539" spans="1:9">
      <c r="A539" s="829"/>
      <c r="B539" s="829"/>
      <c r="C539" s="829"/>
      <c r="D539" s="1904"/>
      <c r="E539" s="1904"/>
      <c r="F539" s="1904"/>
      <c r="G539" s="790"/>
    </row>
    <row r="540" spans="1:9">
      <c r="A540" s="829"/>
      <c r="B540" s="829"/>
      <c r="C540" s="829"/>
      <c r="D540" s="800"/>
      <c r="E540" s="800"/>
      <c r="F540" s="800"/>
      <c r="G540" s="790"/>
    </row>
    <row r="541" spans="1:9" ht="14.25">
      <c r="A541" s="797"/>
      <c r="B541" s="798" t="s">
        <v>2623</v>
      </c>
      <c r="C541" s="829"/>
      <c r="D541" s="1904" t="s">
        <v>1231</v>
      </c>
      <c r="E541" s="1904"/>
      <c r="F541" s="1904"/>
      <c r="G541" s="790"/>
      <c r="I541" s="1772" t="s">
        <v>2445</v>
      </c>
    </row>
    <row r="542" spans="1:9">
      <c r="A542" s="829"/>
      <c r="B542" s="829"/>
      <c r="C542" s="829"/>
      <c r="D542" s="1904"/>
      <c r="E542" s="1904"/>
      <c r="F542" s="1904"/>
      <c r="G542" s="790"/>
    </row>
    <row r="543" spans="1:9">
      <c r="A543" s="829"/>
      <c r="B543" s="829"/>
      <c r="C543" s="829"/>
      <c r="D543" s="800"/>
      <c r="E543" s="800"/>
      <c r="F543" s="800"/>
      <c r="G543" s="790"/>
    </row>
    <row r="544" spans="1:9" ht="14.25">
      <c r="A544" s="797"/>
      <c r="B544" s="798" t="s">
        <v>2623</v>
      </c>
      <c r="C544" s="829"/>
      <c r="D544" s="1904" t="s">
        <v>1232</v>
      </c>
      <c r="E544" s="1904"/>
      <c r="F544" s="1904"/>
      <c r="G544" s="790"/>
      <c r="I544" s="1772" t="s">
        <v>2496</v>
      </c>
    </row>
    <row r="545" spans="1:9">
      <c r="A545" s="829"/>
      <c r="B545" s="829"/>
      <c r="C545" s="829"/>
      <c r="D545" s="1904"/>
      <c r="E545" s="1904"/>
      <c r="F545" s="1904"/>
      <c r="G545" s="790"/>
    </row>
    <row r="546" spans="1:9">
      <c r="A546" s="829"/>
      <c r="B546" s="829"/>
      <c r="C546" s="829"/>
      <c r="D546" s="1904"/>
      <c r="E546" s="1904"/>
      <c r="F546" s="1904"/>
      <c r="G546" s="790"/>
    </row>
    <row r="547" spans="1:9">
      <c r="A547" s="829"/>
      <c r="B547" s="829"/>
      <c r="C547" s="829"/>
      <c r="D547" s="800"/>
      <c r="E547" s="800"/>
      <c r="F547" s="800"/>
    </row>
    <row r="548" spans="1:9" ht="14.25">
      <c r="A548" s="797"/>
      <c r="B548" s="798" t="s">
        <v>2626</v>
      </c>
      <c r="C548" s="829"/>
      <c r="D548" s="1990" t="s">
        <v>1350</v>
      </c>
      <c r="E548" s="1990"/>
      <c r="F548" s="1990"/>
      <c r="I548" s="1772" t="s">
        <v>2495</v>
      </c>
    </row>
    <row r="549" spans="1:9">
      <c r="A549" s="829"/>
      <c r="B549" s="829"/>
      <c r="C549" s="829"/>
      <c r="D549" s="1990"/>
      <c r="E549" s="1990"/>
      <c r="F549" s="1990"/>
    </row>
    <row r="550" spans="1:9">
      <c r="A550" s="829"/>
      <c r="B550" s="829"/>
      <c r="C550" s="829"/>
      <c r="D550" s="800"/>
      <c r="E550" s="800"/>
      <c r="F550" s="800"/>
    </row>
    <row r="551" spans="1:9" ht="14.25">
      <c r="A551" s="797"/>
      <c r="B551" s="798" t="s">
        <v>2626</v>
      </c>
      <c r="C551" s="829"/>
      <c r="D551" s="1904" t="s">
        <v>1234</v>
      </c>
      <c r="E551" s="1904"/>
      <c r="F551" s="1904"/>
      <c r="I551" s="1772" t="s">
        <v>2495</v>
      </c>
    </row>
    <row r="552" spans="1:9">
      <c r="A552" s="829"/>
      <c r="B552" s="829"/>
      <c r="C552" s="829"/>
      <c r="D552" s="1904"/>
      <c r="E552" s="1904"/>
      <c r="F552" s="1904"/>
      <c r="G552" s="819"/>
    </row>
    <row r="553" spans="1:9">
      <c r="A553" s="829"/>
      <c r="B553" s="829"/>
      <c r="C553" s="829"/>
      <c r="D553" s="800"/>
      <c r="E553" s="800"/>
      <c r="F553" s="800"/>
      <c r="G553" s="819"/>
    </row>
    <row r="554" spans="1:9" ht="14.25">
      <c r="A554" s="797"/>
      <c r="B554" s="798" t="s">
        <v>2623</v>
      </c>
      <c r="C554" s="829"/>
      <c r="D554" s="1906" t="s">
        <v>1235</v>
      </c>
      <c r="E554" s="1906"/>
      <c r="F554" s="1906"/>
      <c r="G554" s="819"/>
      <c r="I554" s="1772" t="s">
        <v>2498</v>
      </c>
    </row>
    <row r="555" spans="1:9">
      <c r="A555" s="816"/>
      <c r="B555" s="816"/>
      <c r="C555" s="829"/>
      <c r="D555" s="1906" t="s">
        <v>881</v>
      </c>
      <c r="E555" s="1906"/>
      <c r="F555" s="1906"/>
      <c r="G555" s="819"/>
    </row>
    <row r="556" spans="1:9">
      <c r="A556" s="816"/>
      <c r="B556" s="816"/>
      <c r="C556" s="829"/>
      <c r="D556" s="672"/>
      <c r="E556" s="1977" t="s">
        <v>1236</v>
      </c>
      <c r="F556" s="1977"/>
      <c r="G556" s="819"/>
    </row>
    <row r="557" spans="1:9" ht="14.25">
      <c r="A557" s="797"/>
      <c r="B557" s="797"/>
      <c r="C557" s="829"/>
      <c r="E557" s="800"/>
      <c r="F557" s="800"/>
      <c r="G557" s="819"/>
    </row>
    <row r="558" spans="1:9" ht="14.25">
      <c r="A558" s="797"/>
      <c r="B558" s="798" t="s">
        <v>2623</v>
      </c>
      <c r="C558" s="829"/>
      <c r="D558" s="2003" t="s">
        <v>1237</v>
      </c>
      <c r="E558" s="2003"/>
      <c r="F558" s="2003"/>
      <c r="G558" s="819"/>
      <c r="I558" s="1772" t="s">
        <v>2446</v>
      </c>
    </row>
    <row r="559" spans="1:9">
      <c r="C559" s="829"/>
      <c r="D559" s="1904" t="s">
        <v>1238</v>
      </c>
      <c r="E559" s="1904"/>
      <c r="F559" s="1904"/>
      <c r="G559" s="819"/>
    </row>
    <row r="560" spans="1:9">
      <c r="A560" s="829"/>
      <c r="B560" s="829"/>
      <c r="C560" s="829"/>
      <c r="D560" s="1904"/>
      <c r="E560" s="1904"/>
      <c r="F560" s="1904"/>
      <c r="G560" s="819"/>
    </row>
    <row r="561" spans="1:9">
      <c r="A561" s="829"/>
      <c r="B561" s="829"/>
      <c r="C561" s="829"/>
      <c r="D561" s="1904"/>
      <c r="E561" s="1904"/>
      <c r="F561" s="1904"/>
      <c r="G561" s="819"/>
    </row>
    <row r="562" spans="1:9">
      <c r="A562" s="829"/>
      <c r="B562" s="829"/>
      <c r="C562" s="829"/>
      <c r="D562" s="800"/>
      <c r="E562" s="800"/>
      <c r="F562" s="800"/>
      <c r="G562" s="819"/>
    </row>
    <row r="563" spans="1:9" ht="14.25">
      <c r="A563" s="797"/>
      <c r="B563" s="798" t="s">
        <v>2623</v>
      </c>
      <c r="C563" s="829"/>
      <c r="D563" s="1904" t="s">
        <v>1239</v>
      </c>
      <c r="E563" s="1904"/>
      <c r="F563" s="1904"/>
      <c r="G563" s="819"/>
      <c r="I563" s="1772" t="s">
        <v>2447</v>
      </c>
    </row>
    <row r="564" spans="1:9" ht="14.25">
      <c r="A564" s="797"/>
      <c r="B564" s="797"/>
      <c r="C564" s="829"/>
      <c r="D564" s="1904"/>
      <c r="E564" s="1904"/>
      <c r="F564" s="1904"/>
      <c r="G564" s="819"/>
    </row>
    <row r="565" spans="1:9" ht="14.25">
      <c r="A565" s="797"/>
      <c r="B565" s="797"/>
      <c r="C565" s="829"/>
      <c r="D565" s="1904"/>
      <c r="E565" s="1904"/>
      <c r="F565" s="1904"/>
      <c r="G565" s="819"/>
    </row>
    <row r="566" spans="1:9" ht="14.25">
      <c r="A566" s="797"/>
      <c r="B566" s="797"/>
      <c r="C566" s="829"/>
      <c r="D566" s="1904"/>
      <c r="E566" s="1904"/>
      <c r="F566" s="1904"/>
      <c r="G566" s="819"/>
    </row>
    <row r="567" spans="1:9" ht="14.25">
      <c r="A567" s="797"/>
      <c r="B567" s="797"/>
      <c r="C567" s="829"/>
      <c r="D567" s="800"/>
      <c r="E567" s="800"/>
      <c r="F567" s="800"/>
      <c r="G567" s="819"/>
    </row>
    <row r="568" spans="1:9">
      <c r="A568" s="1886" t="s">
        <v>1172</v>
      </c>
      <c r="B568" s="1886"/>
      <c r="C568" s="1886"/>
      <c r="D568" s="1886"/>
      <c r="E568" s="1886"/>
      <c r="F568" s="1886"/>
      <c r="G568" s="1886"/>
      <c r="H568" s="1851"/>
      <c r="I568" s="1852"/>
    </row>
    <row r="569" spans="1:9">
      <c r="A569" s="829"/>
      <c r="B569" s="829"/>
      <c r="C569" s="829"/>
      <c r="E569" s="800"/>
      <c r="F569" s="800"/>
      <c r="G569" s="819"/>
    </row>
    <row r="570" spans="1:9" ht="12.75" customHeight="1">
      <c r="C570" s="793"/>
      <c r="D570" s="1975" t="s">
        <v>216</v>
      </c>
      <c r="E570" s="1975"/>
      <c r="F570" s="1975"/>
      <c r="G570" s="819"/>
    </row>
    <row r="571" spans="1:9">
      <c r="A571" s="795"/>
      <c r="B571" s="795"/>
      <c r="C571" s="795"/>
      <c r="D571" s="1909" t="s">
        <v>1188</v>
      </c>
      <c r="E571" s="1909"/>
      <c r="F571" s="1909"/>
      <c r="G571" s="819"/>
    </row>
    <row r="572" spans="1:9">
      <c r="A572" s="790"/>
      <c r="B572" s="790"/>
      <c r="C572" s="795"/>
      <c r="D572" s="837"/>
      <c r="G572" s="819"/>
      <c r="I572" s="1772" t="s">
        <v>2448</v>
      </c>
    </row>
    <row r="573" spans="1:9">
      <c r="A573" s="795"/>
      <c r="B573" s="798" t="s">
        <v>2623</v>
      </c>
      <c r="D573" s="1909" t="s">
        <v>955</v>
      </c>
      <c r="E573" s="1909"/>
      <c r="F573" s="1909"/>
      <c r="G573" s="819"/>
    </row>
    <row r="574" spans="1:9">
      <c r="A574" s="816"/>
      <c r="B574" s="816"/>
      <c r="D574" s="814"/>
    </row>
    <row r="575" spans="1:9">
      <c r="A575" s="816"/>
      <c r="B575" s="798" t="s">
        <v>2623</v>
      </c>
      <c r="D575" s="1885" t="s">
        <v>1189</v>
      </c>
      <c r="E575" s="1885"/>
      <c r="F575" s="1885"/>
      <c r="I575" s="1772" t="s">
        <v>2450</v>
      </c>
    </row>
    <row r="576" spans="1:9">
      <c r="A576" s="816"/>
      <c r="B576" s="816"/>
      <c r="D576" s="1885"/>
      <c r="E576" s="1885"/>
      <c r="F576" s="1885"/>
      <c r="G576" s="790"/>
      <c r="I576" s="1772" t="s">
        <v>2449</v>
      </c>
    </row>
    <row r="577" spans="1:9">
      <c r="A577" s="816"/>
      <c r="B577" s="816"/>
      <c r="D577" s="1885"/>
      <c r="E577" s="1885"/>
      <c r="F577" s="1885"/>
      <c r="G577" s="790"/>
    </row>
    <row r="578" spans="1:9">
      <c r="A578" s="816"/>
      <c r="B578" s="816"/>
      <c r="D578" s="1885"/>
      <c r="E578" s="1885"/>
      <c r="F578" s="1885"/>
      <c r="G578" s="790"/>
    </row>
    <row r="579" spans="1:9">
      <c r="A579" s="816"/>
      <c r="B579" s="798" t="s">
        <v>2626</v>
      </c>
      <c r="D579" s="1885" t="s">
        <v>1190</v>
      </c>
      <c r="E579" s="1885"/>
      <c r="F579" s="1885"/>
      <c r="G579" s="790"/>
    </row>
    <row r="580" spans="1:9">
      <c r="A580" s="816"/>
      <c r="B580" s="816"/>
      <c r="D580" s="1885"/>
      <c r="E580" s="1885"/>
      <c r="F580" s="1885"/>
      <c r="G580" s="790"/>
    </row>
    <row r="581" spans="1:9">
      <c r="A581" s="816"/>
      <c r="B581" s="816"/>
      <c r="D581" s="1885"/>
      <c r="E581" s="1885"/>
      <c r="F581" s="1885"/>
      <c r="G581" s="790"/>
    </row>
    <row r="582" spans="1:9">
      <c r="A582" s="816"/>
      <c r="B582" s="816"/>
      <c r="D582" s="1885"/>
      <c r="E582" s="1885"/>
      <c r="F582" s="1885"/>
      <c r="G582" s="790"/>
    </row>
    <row r="583" spans="1:9">
      <c r="A583" s="816"/>
      <c r="B583" s="816"/>
      <c r="D583" s="783"/>
      <c r="E583" s="783"/>
      <c r="F583" s="783"/>
      <c r="G583" s="790"/>
    </row>
    <row r="584" spans="1:9">
      <c r="A584" s="816"/>
      <c r="B584" s="798" t="s">
        <v>2623</v>
      </c>
      <c r="D584" s="1885" t="s">
        <v>1191</v>
      </c>
      <c r="E584" s="1885"/>
      <c r="F584" s="1885"/>
      <c r="G584" s="790"/>
    </row>
    <row r="585" spans="1:9">
      <c r="A585" s="816"/>
      <c r="B585" s="816"/>
      <c r="D585" s="1885"/>
      <c r="E585" s="1885"/>
      <c r="F585" s="1885"/>
      <c r="G585" s="790"/>
    </row>
    <row r="586" spans="1:9">
      <c r="A586" s="816"/>
      <c r="B586" s="816"/>
      <c r="D586" s="837"/>
      <c r="G586" s="790"/>
    </row>
    <row r="587" spans="1:9">
      <c r="A587" s="816"/>
      <c r="B587" s="798" t="s">
        <v>2626</v>
      </c>
      <c r="D587" s="1909" t="s">
        <v>1192</v>
      </c>
      <c r="E587" s="1909"/>
      <c r="F587" s="1909"/>
      <c r="G587" s="790"/>
      <c r="I587" s="1772" t="s">
        <v>2499</v>
      </c>
    </row>
    <row r="588" spans="1:9">
      <c r="A588" s="816"/>
      <c r="B588" s="816"/>
      <c r="D588" s="1909"/>
      <c r="E588" s="1909"/>
      <c r="F588" s="1909"/>
      <c r="G588" s="790"/>
    </row>
    <row r="589" spans="1:9" ht="14.25">
      <c r="A589" s="797"/>
      <c r="B589" s="797"/>
      <c r="D589" s="837"/>
      <c r="G589" s="790"/>
    </row>
    <row r="590" spans="1:9">
      <c r="A590" s="1886" t="s">
        <v>1173</v>
      </c>
      <c r="B590" s="1886"/>
      <c r="C590" s="1886"/>
      <c r="D590" s="1886"/>
      <c r="E590" s="1886"/>
      <c r="F590" s="1886"/>
      <c r="G590" s="1886"/>
      <c r="H590" s="1851"/>
      <c r="I590" s="1852"/>
    </row>
    <row r="591" spans="1:9"/>
    <row r="592" spans="1:9">
      <c r="D592" s="1903" t="s">
        <v>1273</v>
      </c>
      <c r="E592" s="1903"/>
      <c r="F592" s="1903"/>
    </row>
    <row r="593" spans="1:9">
      <c r="D593" s="1942" t="s">
        <v>1274</v>
      </c>
      <c r="E593" s="1942"/>
      <c r="F593" s="1942"/>
    </row>
    <row r="594" spans="1:9">
      <c r="D594" s="780"/>
      <c r="E594" s="722"/>
      <c r="F594" s="722"/>
    </row>
    <row r="595" spans="1:9" s="791" customFormat="1" ht="14.25">
      <c r="A595" s="805"/>
      <c r="B595" s="798" t="s">
        <v>2623</v>
      </c>
      <c r="C595" s="801"/>
      <c r="D595" s="1905" t="s">
        <v>1275</v>
      </c>
      <c r="E595" s="1905"/>
      <c r="F595" s="1905"/>
      <c r="G595" s="802"/>
      <c r="I595" s="1835" t="s">
        <v>2478</v>
      </c>
    </row>
    <row r="596" spans="1:9">
      <c r="D596" s="1905"/>
      <c r="E596" s="1905"/>
      <c r="F596" s="1905"/>
    </row>
    <row r="597" spans="1:9">
      <c r="D597" s="1905"/>
      <c r="E597" s="1905"/>
      <c r="F597" s="1905"/>
    </row>
    <row r="598" spans="1:9"/>
    <row r="599" spans="1:9">
      <c r="A599" s="1886" t="s">
        <v>1174</v>
      </c>
      <c r="B599" s="1886"/>
      <c r="C599" s="1886"/>
      <c r="D599" s="1886"/>
      <c r="E599" s="1886"/>
      <c r="F599" s="1886"/>
      <c r="G599" s="1886"/>
      <c r="H599" s="1851"/>
      <c r="I599" s="1852"/>
    </row>
    <row r="600" spans="1:9">
      <c r="A600" s="800"/>
      <c r="B600" s="800"/>
      <c r="G600" s="819"/>
    </row>
    <row r="601" spans="1:9">
      <c r="A601" s="838"/>
      <c r="B601" s="838"/>
      <c r="C601" s="793"/>
      <c r="D601" s="1943" t="s">
        <v>1276</v>
      </c>
      <c r="E601" s="1943"/>
      <c r="F601" s="1943"/>
      <c r="G601" s="819"/>
    </row>
    <row r="602" spans="1:9">
      <c r="A602" s="838"/>
      <c r="B602" s="838"/>
      <c r="C602" s="793"/>
      <c r="D602" s="1943"/>
      <c r="E602" s="1943"/>
      <c r="F602" s="1943"/>
      <c r="G602" s="819"/>
    </row>
    <row r="603" spans="1:9">
      <c r="C603" s="795"/>
      <c r="D603" s="1942" t="s">
        <v>1277</v>
      </c>
      <c r="E603" s="1942"/>
      <c r="F603" s="1942"/>
      <c r="G603" s="819"/>
    </row>
    <row r="604" spans="1:9">
      <c r="C604" s="795"/>
      <c r="D604" s="780"/>
      <c r="E604" s="780"/>
      <c r="F604" s="780"/>
      <c r="G604" s="819"/>
    </row>
    <row r="605" spans="1:9" ht="12.75" customHeight="1">
      <c r="A605" s="816"/>
      <c r="B605" s="798" t="s">
        <v>2623</v>
      </c>
      <c r="D605" s="1902" t="s">
        <v>1278</v>
      </c>
      <c r="E605" s="1902"/>
      <c r="F605" s="1902"/>
      <c r="G605" s="819"/>
      <c r="I605" s="1772" t="s">
        <v>2500</v>
      </c>
    </row>
    <row r="606" spans="1:9">
      <c r="D606" s="1902"/>
      <c r="E606" s="1902"/>
      <c r="F606" s="1902"/>
      <c r="G606" s="819"/>
    </row>
    <row r="607" spans="1:9">
      <c r="D607" s="790"/>
      <c r="G607" s="819"/>
    </row>
    <row r="608" spans="1:9">
      <c r="B608" s="798" t="s">
        <v>2623</v>
      </c>
      <c r="D608" s="1902" t="s">
        <v>1279</v>
      </c>
      <c r="E608" s="1902"/>
      <c r="F608" s="1902"/>
      <c r="G608" s="819"/>
      <c r="I608" s="1772" t="s">
        <v>2451</v>
      </c>
    </row>
    <row r="609" spans="1:9">
      <c r="C609" s="839"/>
      <c r="D609" s="1902"/>
      <c r="E609" s="1902"/>
      <c r="F609" s="1902"/>
      <c r="G609" s="819"/>
    </row>
    <row r="610" spans="1:9">
      <c r="C610" s="839"/>
      <c r="G610" s="819"/>
    </row>
    <row r="611" spans="1:9">
      <c r="B611" s="798" t="s">
        <v>2626</v>
      </c>
      <c r="C611" s="839"/>
      <c r="D611" s="1902" t="s">
        <v>1280</v>
      </c>
      <c r="E611" s="1902"/>
      <c r="F611" s="1902"/>
      <c r="G611" s="819"/>
      <c r="I611" s="1772" t="s">
        <v>2501</v>
      </c>
    </row>
    <row r="612" spans="1:9">
      <c r="C612" s="839"/>
      <c r="D612" s="1902"/>
      <c r="E612" s="1902"/>
      <c r="F612" s="1902"/>
      <c r="G612" s="819"/>
      <c r="I612" s="1848" t="s">
        <v>2502</v>
      </c>
    </row>
    <row r="613" spans="1:9">
      <c r="C613" s="839"/>
      <c r="G613" s="819"/>
    </row>
    <row r="614" spans="1:9">
      <c r="A614" s="1886" t="s">
        <v>1175</v>
      </c>
      <c r="B614" s="1886"/>
      <c r="C614" s="1886"/>
      <c r="D614" s="1886"/>
      <c r="E614" s="1886"/>
      <c r="F614" s="1886"/>
      <c r="G614" s="1886"/>
      <c r="H614" s="1851"/>
      <c r="I614" s="1852"/>
    </row>
    <row r="615" spans="1:9">
      <c r="A615" s="840"/>
      <c r="B615" s="840"/>
      <c r="C615" s="840"/>
      <c r="G615" s="819"/>
    </row>
    <row r="616" spans="1:9">
      <c r="C616" s="816"/>
      <c r="D616" s="1903" t="s">
        <v>1281</v>
      </c>
      <c r="E616" s="1903"/>
      <c r="F616" s="1903"/>
      <c r="G616" s="819"/>
    </row>
    <row r="617" spans="1:9">
      <c r="A617" s="816"/>
      <c r="B617" s="816"/>
      <c r="C617" s="818"/>
      <c r="D617" s="794"/>
      <c r="G617" s="819"/>
    </row>
    <row r="618" spans="1:9" ht="14.25">
      <c r="A618" s="797"/>
      <c r="B618" s="798" t="s">
        <v>2623</v>
      </c>
      <c r="C618" s="818"/>
      <c r="D618" s="1904" t="s">
        <v>1503</v>
      </c>
      <c r="E618" s="1904"/>
      <c r="F618" s="1904"/>
      <c r="G618" s="819"/>
      <c r="I618" s="1772" t="s">
        <v>2479</v>
      </c>
    </row>
    <row r="619" spans="1:9">
      <c r="C619" s="818"/>
      <c r="D619" s="1904"/>
      <c r="E619" s="1904"/>
      <c r="F619" s="1904"/>
      <c r="G619" s="819"/>
    </row>
    <row r="620" spans="1:9">
      <c r="C620" s="818"/>
      <c r="D620" s="1904"/>
      <c r="E620" s="1904"/>
      <c r="F620" s="1904"/>
      <c r="G620" s="819"/>
    </row>
    <row r="621" spans="1:9">
      <c r="C621" s="818"/>
      <c r="D621" s="1904"/>
      <c r="E621" s="1904"/>
      <c r="F621" s="1904"/>
      <c r="G621" s="819"/>
    </row>
    <row r="622" spans="1:9">
      <c r="C622" s="818"/>
      <c r="D622" s="1904"/>
      <c r="E622" s="1904"/>
      <c r="F622" s="1904"/>
      <c r="G622" s="819"/>
    </row>
    <row r="623" spans="1:9">
      <c r="C623" s="818"/>
      <c r="D623" s="1904"/>
      <c r="E623" s="1904"/>
      <c r="F623" s="1904"/>
      <c r="G623" s="819"/>
    </row>
    <row r="624" spans="1:9">
      <c r="C624" s="818"/>
      <c r="D624" s="784"/>
      <c r="E624" s="784"/>
      <c r="F624" s="784"/>
      <c r="G624" s="819"/>
    </row>
    <row r="625" spans="1:9" ht="14.25">
      <c r="A625" s="797"/>
      <c r="B625" s="798" t="s">
        <v>2626</v>
      </c>
      <c r="C625" s="818"/>
      <c r="D625" s="1904" t="s">
        <v>1283</v>
      </c>
      <c r="E625" s="1904"/>
      <c r="F625" s="1904"/>
      <c r="G625" s="819"/>
      <c r="I625" s="1772" t="s">
        <v>2503</v>
      </c>
    </row>
    <row r="626" spans="1:9">
      <c r="A626" s="829"/>
      <c r="B626" s="829"/>
      <c r="C626" s="829"/>
      <c r="D626" s="1904"/>
      <c r="E626" s="1904"/>
      <c r="F626" s="1904"/>
      <c r="G626" s="819"/>
    </row>
    <row r="627" spans="1:9">
      <c r="A627" s="829"/>
      <c r="B627" s="829"/>
      <c r="C627" s="829"/>
      <c r="D627" s="785"/>
      <c r="E627" s="841"/>
      <c r="F627" s="841"/>
      <c r="G627" s="819"/>
    </row>
    <row r="628" spans="1:9" ht="14.25">
      <c r="A628" s="797"/>
      <c r="B628" s="798" t="s">
        <v>2626</v>
      </c>
      <c r="C628" s="829"/>
      <c r="D628" s="1905" t="s">
        <v>1440</v>
      </c>
      <c r="E628" s="1905"/>
      <c r="F628" s="1905"/>
      <c r="G628" s="819"/>
      <c r="I628" s="1772" t="s">
        <v>2452</v>
      </c>
    </row>
    <row r="629" spans="1:9" ht="14.25">
      <c r="A629" s="797"/>
      <c r="B629" s="797"/>
      <c r="C629" s="829"/>
      <c r="D629" s="1905"/>
      <c r="E629" s="1905"/>
      <c r="F629" s="1905"/>
      <c r="G629" s="819"/>
    </row>
    <row r="630" spans="1:9" ht="14.25">
      <c r="A630" s="797"/>
      <c r="B630" s="797"/>
      <c r="C630" s="829"/>
      <c r="D630" s="1905"/>
      <c r="E630" s="1905"/>
      <c r="F630" s="1905"/>
      <c r="G630" s="819"/>
    </row>
    <row r="631" spans="1:9">
      <c r="A631" s="829"/>
      <c r="B631" s="798" t="s">
        <v>2626</v>
      </c>
      <c r="C631" s="829"/>
      <c r="D631" s="1906" t="s">
        <v>1285</v>
      </c>
      <c r="E631" s="1906"/>
      <c r="F631" s="1906"/>
      <c r="G631" s="819"/>
      <c r="I631" s="1772" t="s">
        <v>2452</v>
      </c>
    </row>
    <row r="632" spans="1:9">
      <c r="A632" s="829"/>
      <c r="B632" s="829"/>
      <c r="C632" s="829"/>
      <c r="D632" s="727"/>
      <c r="E632" s="727"/>
      <c r="F632" s="727"/>
      <c r="G632" s="819"/>
    </row>
    <row r="633" spans="1:9">
      <c r="A633" s="1886" t="s">
        <v>1176</v>
      </c>
      <c r="B633" s="1886"/>
      <c r="C633" s="1886"/>
      <c r="D633" s="1886"/>
      <c r="E633" s="1886"/>
      <c r="F633" s="1886"/>
      <c r="G633" s="1886"/>
      <c r="H633" s="1851"/>
      <c r="I633" s="1852"/>
    </row>
    <row r="634" spans="1:9">
      <c r="A634" s="800"/>
      <c r="B634" s="800"/>
      <c r="C634" s="829"/>
      <c r="D634" s="841"/>
      <c r="E634" s="841"/>
      <c r="F634" s="841"/>
      <c r="G634" s="819"/>
    </row>
    <row r="635" spans="1:9">
      <c r="C635" s="840"/>
      <c r="D635" s="1980" t="s">
        <v>1335</v>
      </c>
      <c r="E635" s="1980"/>
      <c r="F635" s="1980"/>
      <c r="G635" s="819"/>
    </row>
    <row r="636" spans="1:9">
      <c r="A636" s="795"/>
      <c r="B636" s="795"/>
      <c r="C636" s="795"/>
      <c r="D636" s="1981" t="s">
        <v>1336</v>
      </c>
      <c r="E636" s="1981"/>
      <c r="F636" s="1981"/>
      <c r="G636" s="819"/>
    </row>
    <row r="637" spans="1:9">
      <c r="A637" s="795"/>
      <c r="B637" s="795"/>
      <c r="C637" s="795"/>
      <c r="D637" s="727"/>
      <c r="E637" s="727"/>
      <c r="F637" s="727"/>
      <c r="G637" s="819"/>
    </row>
    <row r="638" spans="1:9" ht="12.75" customHeight="1">
      <c r="B638" s="798" t="s">
        <v>2626</v>
      </c>
      <c r="C638" s="829"/>
      <c r="D638" s="1988" t="s">
        <v>1524</v>
      </c>
      <c r="E638" s="1988"/>
      <c r="F638" s="1988"/>
      <c r="I638" s="1772" t="s">
        <v>2506</v>
      </c>
    </row>
    <row r="639" spans="1:9">
      <c r="D639" s="1988"/>
      <c r="E639" s="1988"/>
      <c r="F639" s="1988"/>
    </row>
    <row r="640" spans="1:9">
      <c r="D640" s="1988"/>
      <c r="E640" s="1988"/>
      <c r="F640" s="1988"/>
    </row>
    <row r="641" spans="1:9">
      <c r="D641" s="1988"/>
      <c r="E641" s="1988"/>
      <c r="F641" s="1988"/>
    </row>
    <row r="642" spans="1:9" ht="14.45" customHeight="1">
      <c r="A642" s="797"/>
      <c r="B642" s="797"/>
      <c r="C642" s="829"/>
      <c r="D642" s="900"/>
      <c r="E642" s="900"/>
      <c r="F642" s="900"/>
      <c r="G642" s="819"/>
    </row>
    <row r="643" spans="1:9" ht="12.75" customHeight="1">
      <c r="A643" s="795"/>
      <c r="B643" s="798" t="s">
        <v>2626</v>
      </c>
      <c r="C643" s="829"/>
      <c r="D643" s="1988" t="s">
        <v>1527</v>
      </c>
      <c r="E643" s="1988"/>
      <c r="F643" s="1988"/>
      <c r="G643" s="819"/>
      <c r="I643" s="1772" t="s">
        <v>2506</v>
      </c>
    </row>
    <row r="644" spans="1:9" ht="14.25">
      <c r="A644" s="795"/>
      <c r="B644" s="797"/>
      <c r="C644" s="829"/>
      <c r="D644" s="1988"/>
      <c r="E644" s="1988"/>
      <c r="F644" s="1988"/>
      <c r="G644" s="819"/>
    </row>
    <row r="645" spans="1:9" ht="14.25">
      <c r="A645" s="795"/>
      <c r="B645" s="797"/>
      <c r="C645" s="829"/>
      <c r="D645" s="1988"/>
      <c r="E645" s="1988"/>
      <c r="F645" s="1988"/>
      <c r="G645" s="819"/>
    </row>
    <row r="646" spans="1:9" ht="14.25">
      <c r="A646" s="795"/>
      <c r="B646" s="797"/>
      <c r="C646" s="829"/>
      <c r="D646" s="1988"/>
      <c r="E646" s="1988"/>
      <c r="F646" s="1988"/>
      <c r="G646" s="819"/>
    </row>
    <row r="647" spans="1:9" ht="14.25">
      <c r="A647" s="795"/>
      <c r="B647" s="797"/>
      <c r="C647" s="829"/>
      <c r="D647" s="1988"/>
      <c r="E647" s="1988"/>
      <c r="F647" s="1988"/>
      <c r="G647" s="819"/>
    </row>
    <row r="648" spans="1:9" ht="14.25" customHeight="1">
      <c r="A648" s="795"/>
      <c r="B648" s="797"/>
      <c r="C648" s="829"/>
      <c r="F648" s="901"/>
      <c r="G648" s="819"/>
    </row>
    <row r="649" spans="1:9" ht="12.75" customHeight="1">
      <c r="A649" s="795"/>
      <c r="B649" s="798" t="s">
        <v>2626</v>
      </c>
      <c r="C649" s="829"/>
      <c r="D649" s="1988" t="s">
        <v>1525</v>
      </c>
      <c r="E649" s="1988"/>
      <c r="F649" s="1988"/>
      <c r="G649" s="819"/>
      <c r="I649" s="1772" t="s">
        <v>2506</v>
      </c>
    </row>
    <row r="650" spans="1:9" ht="14.25">
      <c r="A650" s="795"/>
      <c r="B650" s="797"/>
      <c r="C650" s="829"/>
      <c r="D650" s="1988"/>
      <c r="E650" s="1988"/>
      <c r="F650" s="1988"/>
      <c r="G650" s="819"/>
    </row>
    <row r="651" spans="1:9" ht="14.25">
      <c r="A651" s="797"/>
      <c r="B651" s="797"/>
      <c r="C651" s="829"/>
      <c r="D651" s="1988"/>
      <c r="E651" s="1988"/>
      <c r="F651" s="1988"/>
      <c r="G651" s="819"/>
    </row>
    <row r="652" spans="1:9" ht="14.25">
      <c r="A652" s="797"/>
      <c r="B652" s="797"/>
      <c r="C652" s="829"/>
      <c r="D652" s="1988"/>
      <c r="E652" s="1988"/>
      <c r="F652" s="1988"/>
      <c r="G652" s="819"/>
    </row>
    <row r="653" spans="1:9" ht="14.25">
      <c r="A653" s="797"/>
      <c r="B653" s="797"/>
      <c r="C653" s="829"/>
      <c r="D653" s="892"/>
      <c r="E653" s="892"/>
      <c r="F653" s="892"/>
      <c r="G653" s="819"/>
    </row>
    <row r="654" spans="1:9" ht="12.75" customHeight="1">
      <c r="A654" s="795"/>
      <c r="B654" s="798" t="s">
        <v>2626</v>
      </c>
      <c r="C654" s="829"/>
      <c r="D654" s="1988" t="s">
        <v>1526</v>
      </c>
      <c r="E654" s="1988"/>
      <c r="F654" s="1988"/>
      <c r="G654" s="819"/>
      <c r="I654" s="1772" t="s">
        <v>2506</v>
      </c>
    </row>
    <row r="655" spans="1:9" ht="12.75" customHeight="1">
      <c r="A655" s="795"/>
      <c r="B655" s="797"/>
      <c r="C655" s="829"/>
      <c r="D655" s="1988"/>
      <c r="E655" s="1988"/>
      <c r="F655" s="1988"/>
      <c r="G655" s="819"/>
    </row>
    <row r="656" spans="1:9" ht="12.75" customHeight="1">
      <c r="A656" s="795"/>
      <c r="B656" s="797"/>
      <c r="C656" s="829"/>
      <c r="D656" s="1988"/>
      <c r="E656" s="1988"/>
      <c r="F656" s="1988"/>
      <c r="G656" s="819"/>
    </row>
    <row r="657" spans="1:11" ht="12.75" customHeight="1">
      <c r="A657" s="795"/>
      <c r="B657" s="797"/>
      <c r="C657" s="829"/>
      <c r="D657" s="1988"/>
      <c r="E657" s="1988"/>
      <c r="F657" s="1988"/>
      <c r="G657" s="819"/>
    </row>
    <row r="658" spans="1:11" ht="12.75" customHeight="1">
      <c r="A658" s="795"/>
      <c r="B658" s="797"/>
      <c r="C658" s="829"/>
      <c r="D658" s="1988"/>
      <c r="E658" s="1988"/>
      <c r="F658" s="1988"/>
      <c r="G658" s="819"/>
    </row>
    <row r="659" spans="1:11" ht="12.75" customHeight="1">
      <c r="A659" s="795"/>
      <c r="B659" s="797"/>
      <c r="C659" s="829"/>
      <c r="D659" s="1988"/>
      <c r="E659" s="1988"/>
      <c r="F659" s="1988"/>
      <c r="G659" s="819"/>
    </row>
    <row r="660" spans="1:11" ht="12.75" customHeight="1">
      <c r="A660" s="795"/>
      <c r="B660" s="797"/>
      <c r="C660" s="829"/>
      <c r="D660" s="1988"/>
      <c r="E660" s="1988"/>
      <c r="F660" s="1988"/>
      <c r="G660" s="819"/>
    </row>
    <row r="661" spans="1:11" ht="12.75" customHeight="1">
      <c r="A661" s="795"/>
      <c r="B661" s="797"/>
      <c r="C661" s="829"/>
      <c r="D661" s="1988"/>
      <c r="E661" s="1988"/>
      <c r="F661" s="1988"/>
      <c r="G661" s="819"/>
    </row>
    <row r="662" spans="1:11" ht="12.75" customHeight="1">
      <c r="A662" s="795"/>
      <c r="B662" s="797"/>
      <c r="C662" s="829"/>
      <c r="D662" s="1988"/>
      <c r="E662" s="1988"/>
      <c r="F662" s="1988"/>
      <c r="G662" s="819"/>
    </row>
    <row r="663" spans="1:11">
      <c r="A663" s="829"/>
      <c r="B663" s="829"/>
      <c r="C663" s="829"/>
      <c r="D663" s="841"/>
      <c r="E663" s="841"/>
      <c r="F663" s="841"/>
      <c r="G663" s="819"/>
    </row>
    <row r="664" spans="1:11">
      <c r="A664" s="1886" t="s">
        <v>1177</v>
      </c>
      <c r="B664" s="1886"/>
      <c r="C664" s="1886"/>
      <c r="D664" s="1886"/>
      <c r="E664" s="1886"/>
      <c r="F664" s="1886"/>
      <c r="G664" s="1886"/>
      <c r="H664" s="1853"/>
      <c r="I664" s="1854"/>
      <c r="J664" s="842"/>
      <c r="K664" s="842"/>
    </row>
    <row r="665" spans="1:11">
      <c r="A665" s="735"/>
      <c r="B665" s="735"/>
      <c r="C665" s="735"/>
      <c r="D665" s="735"/>
      <c r="E665" s="735"/>
      <c r="F665" s="735"/>
      <c r="G665" s="735"/>
      <c r="H665" s="842"/>
      <c r="I665" s="1839"/>
      <c r="J665" s="842"/>
      <c r="K665" s="842"/>
    </row>
    <row r="666" spans="1:11">
      <c r="C666" s="840"/>
      <c r="D666" s="1903" t="s">
        <v>104</v>
      </c>
      <c r="E666" s="1903"/>
      <c r="F666" s="1903"/>
      <c r="G666" s="819"/>
      <c r="H666" s="842"/>
      <c r="I666" s="1839"/>
      <c r="J666" s="842"/>
      <c r="K666" s="842"/>
    </row>
    <row r="667" spans="1:11">
      <c r="A667" s="840"/>
      <c r="B667" s="840"/>
      <c r="C667" s="840"/>
      <c r="D667" s="1903" t="s">
        <v>128</v>
      </c>
      <c r="E667" s="1903"/>
      <c r="F667" s="1903"/>
      <c r="G667" s="819"/>
      <c r="H667" s="842"/>
      <c r="I667" s="1839"/>
      <c r="J667" s="842"/>
      <c r="K667" s="842"/>
    </row>
    <row r="668" spans="1:11">
      <c r="A668" s="795"/>
      <c r="B668" s="795"/>
      <c r="C668" s="795"/>
      <c r="D668" s="1906" t="s">
        <v>1213</v>
      </c>
      <c r="E668" s="1906"/>
      <c r="F668" s="1906"/>
      <c r="G668" s="819"/>
      <c r="H668" s="842"/>
      <c r="I668" s="1839"/>
      <c r="J668" s="842"/>
      <c r="K668" s="842"/>
    </row>
    <row r="669" spans="1:11">
      <c r="A669" s="795"/>
      <c r="B669" s="795"/>
      <c r="C669" s="795"/>
      <c r="G669" s="819"/>
      <c r="H669" s="842"/>
      <c r="I669" s="1839"/>
      <c r="J669" s="842"/>
      <c r="K669" s="842"/>
    </row>
    <row r="670" spans="1:11" ht="14.25">
      <c r="A670" s="797"/>
      <c r="B670" s="798" t="s">
        <v>2623</v>
      </c>
      <c r="C670" s="795"/>
      <c r="D670" s="1906" t="s">
        <v>951</v>
      </c>
      <c r="E670" s="1906"/>
      <c r="F670" s="1906"/>
      <c r="G670" s="819"/>
      <c r="H670" s="842"/>
      <c r="I670" s="1839" t="s">
        <v>2480</v>
      </c>
      <c r="J670" s="842"/>
      <c r="K670" s="842"/>
    </row>
    <row r="671" spans="1:11">
      <c r="A671" s="795"/>
      <c r="B671" s="795"/>
      <c r="C671" s="795"/>
      <c r="D671" s="1906" t="s">
        <v>962</v>
      </c>
      <c r="E671" s="1906"/>
      <c r="F671" s="1906"/>
      <c r="G671" s="819"/>
      <c r="H671" s="842"/>
      <c r="I671" s="1839"/>
      <c r="J671" s="842"/>
      <c r="K671" s="842"/>
    </row>
    <row r="672" spans="1:11">
      <c r="A672" s="795"/>
      <c r="B672" s="795"/>
      <c r="C672" s="795"/>
      <c r="D672" s="672"/>
      <c r="E672" s="1998" t="s">
        <v>1214</v>
      </c>
      <c r="F672" s="1998"/>
      <c r="G672" s="819"/>
      <c r="H672" s="842"/>
      <c r="I672" s="1839"/>
      <c r="J672" s="842"/>
      <c r="K672" s="842"/>
    </row>
    <row r="673" spans="1:11">
      <c r="A673" s="795"/>
      <c r="B673" s="795"/>
      <c r="C673" s="795"/>
      <c r="D673" s="672"/>
      <c r="E673" s="1998"/>
      <c r="F673" s="1998"/>
      <c r="G673" s="819"/>
      <c r="H673" s="842"/>
      <c r="I673" s="1839"/>
      <c r="J673" s="842"/>
      <c r="K673" s="842"/>
    </row>
    <row r="674" spans="1:11">
      <c r="A674" s="795"/>
      <c r="B674" s="795"/>
      <c r="C674" s="795"/>
      <c r="D674" s="843"/>
      <c r="E674" s="800"/>
      <c r="G674" s="819"/>
      <c r="H674" s="842"/>
      <c r="I674" s="1839"/>
      <c r="J674" s="842"/>
      <c r="K674" s="842"/>
    </row>
    <row r="675" spans="1:11" ht="14.25">
      <c r="A675" s="797"/>
      <c r="B675" s="798" t="s">
        <v>2626</v>
      </c>
      <c r="C675" s="795"/>
      <c r="D675" s="1904" t="s">
        <v>1406</v>
      </c>
      <c r="E675" s="1904"/>
      <c r="F675" s="1904"/>
      <c r="G675" s="819"/>
      <c r="H675" s="842"/>
      <c r="I675" s="1839" t="s">
        <v>2504</v>
      </c>
      <c r="J675" s="842"/>
      <c r="K675" s="842"/>
    </row>
    <row r="676" spans="1:11">
      <c r="A676" s="816"/>
      <c r="B676" s="816"/>
      <c r="C676" s="795"/>
      <c r="D676" s="1904"/>
      <c r="E676" s="1904"/>
      <c r="F676" s="1904"/>
      <c r="G676" s="819"/>
      <c r="H676" s="842"/>
      <c r="I676" s="1839"/>
      <c r="J676" s="842"/>
      <c r="K676" s="842"/>
    </row>
    <row r="677" spans="1:11">
      <c r="A677" s="795"/>
      <c r="B677" s="795"/>
      <c r="C677" s="795"/>
      <c r="D677" s="1904"/>
      <c r="E677" s="1904"/>
      <c r="F677" s="1904"/>
      <c r="G677" s="819"/>
      <c r="H677" s="842"/>
      <c r="I677" s="1839"/>
      <c r="J677" s="842"/>
      <c r="K677" s="842"/>
    </row>
    <row r="678" spans="1:11">
      <c r="A678" s="795"/>
      <c r="B678" s="795"/>
      <c r="C678" s="795"/>
      <c r="G678" s="819"/>
      <c r="H678" s="842"/>
      <c r="I678" s="1839" t="s">
        <v>2481</v>
      </c>
      <c r="J678" s="842"/>
      <c r="K678" s="842"/>
    </row>
    <row r="679" spans="1:11" ht="14.25">
      <c r="A679" s="797"/>
      <c r="B679" s="798" t="s">
        <v>2626</v>
      </c>
      <c r="C679" s="795"/>
      <c r="D679" s="1906" t="s">
        <v>991</v>
      </c>
      <c r="E679" s="1906"/>
      <c r="F679" s="1906"/>
      <c r="G679" s="819"/>
      <c r="H679" s="842"/>
      <c r="I679" s="1839"/>
      <c r="J679" s="842"/>
      <c r="K679" s="842"/>
    </row>
    <row r="680" spans="1:11" ht="14.25">
      <c r="A680" s="797"/>
      <c r="B680" s="797"/>
      <c r="C680" s="795"/>
      <c r="D680" s="1906" t="s">
        <v>962</v>
      </c>
      <c r="E680" s="1906"/>
      <c r="F680" s="1906"/>
      <c r="G680" s="819"/>
      <c r="H680" s="842"/>
      <c r="I680" s="1839"/>
      <c r="J680" s="842"/>
      <c r="K680" s="842"/>
    </row>
    <row r="681" spans="1:11">
      <c r="A681" s="795"/>
      <c r="B681" s="795"/>
      <c r="C681" s="795"/>
      <c r="D681" s="672"/>
      <c r="E681" s="1977" t="s">
        <v>1216</v>
      </c>
      <c r="F681" s="1977"/>
      <c r="G681" s="819"/>
      <c r="H681" s="842"/>
      <c r="I681" s="1839"/>
      <c r="J681" s="842"/>
      <c r="K681" s="842"/>
    </row>
    <row r="682" spans="1:11">
      <c r="A682" s="795"/>
      <c r="B682" s="795"/>
      <c r="C682" s="795"/>
      <c r="D682" s="794"/>
      <c r="G682" s="819"/>
      <c r="H682" s="842"/>
      <c r="I682" s="1839"/>
      <c r="J682" s="842"/>
      <c r="K682" s="842"/>
    </row>
    <row r="683" spans="1:11" ht="14.25">
      <c r="A683" s="797"/>
      <c r="B683" s="798" t="s">
        <v>2626</v>
      </c>
      <c r="C683" s="795"/>
      <c r="D683" s="1990" t="s">
        <v>1226</v>
      </c>
      <c r="E683" s="1990"/>
      <c r="F683" s="1990"/>
      <c r="G683" s="819"/>
      <c r="H683" s="842"/>
      <c r="I683" s="1839" t="s">
        <v>2453</v>
      </c>
      <c r="J683" s="842"/>
      <c r="K683" s="842"/>
    </row>
    <row r="684" spans="1:11">
      <c r="A684" s="795"/>
      <c r="B684" s="795"/>
      <c r="C684" s="795"/>
      <c r="D684" s="1990"/>
      <c r="E684" s="1990"/>
      <c r="F684" s="1990"/>
      <c r="G684" s="819"/>
      <c r="H684" s="842"/>
      <c r="I684" s="1839"/>
      <c r="J684" s="842"/>
      <c r="K684" s="842"/>
    </row>
    <row r="685" spans="1:11">
      <c r="A685" s="795"/>
      <c r="B685" s="795"/>
      <c r="C685" s="795"/>
      <c r="D685" s="1990"/>
      <c r="E685" s="1990"/>
      <c r="F685" s="1990"/>
      <c r="G685" s="819"/>
      <c r="H685" s="842"/>
      <c r="I685" s="1839"/>
      <c r="J685" s="842"/>
      <c r="K685" s="842"/>
    </row>
    <row r="686" spans="1:11">
      <c r="A686" s="795"/>
      <c r="B686" s="795"/>
      <c r="C686" s="795"/>
      <c r="D686" s="1990"/>
      <c r="E686" s="1990"/>
      <c r="F686" s="1990"/>
      <c r="G686" s="819"/>
      <c r="H686" s="842"/>
      <c r="I686" s="1839"/>
      <c r="J686" s="842"/>
      <c r="K686" s="842"/>
    </row>
    <row r="687" spans="1:11">
      <c r="A687" s="795"/>
      <c r="B687" s="795"/>
      <c r="C687" s="795"/>
      <c r="D687" s="1990"/>
      <c r="E687" s="1990"/>
      <c r="F687" s="1990"/>
      <c r="G687" s="819"/>
      <c r="H687" s="842"/>
      <c r="I687" s="1839"/>
      <c r="J687" s="842"/>
      <c r="K687" s="842"/>
    </row>
    <row r="688" spans="1:11" s="791" customFormat="1">
      <c r="A688" s="834"/>
      <c r="B688" s="834"/>
      <c r="C688" s="834"/>
      <c r="D688" s="1990"/>
      <c r="E688" s="1990"/>
      <c r="F688" s="1990"/>
      <c r="G688" s="844"/>
      <c r="H688" s="845"/>
      <c r="I688" s="1840"/>
      <c r="J688" s="845"/>
      <c r="K688" s="845"/>
    </row>
    <row r="689" spans="1:11" s="791" customFormat="1">
      <c r="A689" s="834"/>
      <c r="B689" s="834"/>
      <c r="C689" s="834"/>
      <c r="D689" s="846"/>
      <c r="E689" s="846"/>
      <c r="F689" s="846"/>
      <c r="G689" s="844"/>
      <c r="H689" s="845"/>
      <c r="I689" s="1840"/>
      <c r="J689" s="845"/>
      <c r="K689" s="845"/>
    </row>
    <row r="690" spans="1:11" s="791" customFormat="1">
      <c r="A690" s="834"/>
      <c r="B690" s="798" t="s">
        <v>2626</v>
      </c>
      <c r="C690" s="834"/>
      <c r="D690" s="1990" t="s">
        <v>1408</v>
      </c>
      <c r="E690" s="1990"/>
      <c r="F690" s="1990"/>
      <c r="G690" s="844"/>
      <c r="H690" s="845"/>
      <c r="I690" s="1840" t="s">
        <v>2453</v>
      </c>
      <c r="J690" s="845"/>
      <c r="K690" s="845"/>
    </row>
    <row r="691" spans="1:11" s="791" customFormat="1">
      <c r="A691" s="834"/>
      <c r="B691" s="834"/>
      <c r="C691" s="834"/>
      <c r="D691" s="1990"/>
      <c r="E691" s="1990"/>
      <c r="F691" s="1990"/>
      <c r="G691" s="844"/>
      <c r="H691" s="845"/>
      <c r="I691" s="1840"/>
      <c r="J691" s="845"/>
      <c r="K691" s="845"/>
    </row>
    <row r="692" spans="1:11" s="791" customFormat="1">
      <c r="A692" s="834"/>
      <c r="B692" s="834"/>
      <c r="C692" s="834"/>
      <c r="D692" s="846"/>
      <c r="E692" s="846"/>
      <c r="F692" s="846"/>
      <c r="G692" s="844"/>
      <c r="H692" s="845"/>
      <c r="I692" s="1840"/>
      <c r="J692" s="845"/>
      <c r="K692" s="845"/>
    </row>
    <row r="693" spans="1:11" ht="14.25">
      <c r="A693" s="797"/>
      <c r="B693" s="798" t="s">
        <v>2626</v>
      </c>
      <c r="C693" s="795"/>
      <c r="D693" s="1990" t="s">
        <v>1217</v>
      </c>
      <c r="E693" s="1990"/>
      <c r="F693" s="1990"/>
      <c r="G693" s="819"/>
      <c r="H693" s="842"/>
      <c r="I693" s="1839" t="s">
        <v>2453</v>
      </c>
      <c r="J693" s="842"/>
      <c r="K693" s="842"/>
    </row>
    <row r="694" spans="1:11">
      <c r="A694" s="795"/>
      <c r="B694" s="795"/>
      <c r="C694" s="795"/>
      <c r="D694" s="1990"/>
      <c r="E694" s="1990"/>
      <c r="F694" s="1990"/>
      <c r="G694" s="819"/>
      <c r="H694" s="842"/>
      <c r="I694" s="1839"/>
      <c r="J694" s="842"/>
      <c r="K694" s="842"/>
    </row>
    <row r="695" spans="1:11">
      <c r="A695" s="795"/>
      <c r="B695" s="795"/>
      <c r="C695" s="795"/>
      <c r="D695" s="1990"/>
      <c r="E695" s="1990"/>
      <c r="F695" s="1990"/>
      <c r="G695" s="819"/>
      <c r="H695" s="842"/>
      <c r="I695" s="1839"/>
      <c r="J695" s="842"/>
      <c r="K695" s="842"/>
    </row>
    <row r="696" spans="1:11" ht="15" customHeight="1">
      <c r="A696" s="795"/>
      <c r="B696" s="795"/>
      <c r="C696" s="795"/>
      <c r="D696" s="1990"/>
      <c r="E696" s="1990"/>
      <c r="F696" s="1990"/>
      <c r="G696" s="819"/>
      <c r="H696" s="842"/>
      <c r="I696" s="1839"/>
      <c r="J696" s="842"/>
      <c r="K696" s="842"/>
    </row>
    <row r="697" spans="1:11" ht="15" customHeight="1">
      <c r="A697" s="795"/>
      <c r="B697" s="795"/>
      <c r="C697" s="795"/>
      <c r="D697" s="1990"/>
      <c r="E697" s="1990"/>
      <c r="F697" s="1990"/>
      <c r="G697" s="819"/>
      <c r="H697" s="842"/>
      <c r="I697" s="1839"/>
      <c r="J697" s="842"/>
      <c r="K697" s="842"/>
    </row>
    <row r="698" spans="1:11">
      <c r="A698" s="795"/>
      <c r="B698" s="795"/>
      <c r="C698" s="795"/>
      <c r="D698" s="1990"/>
      <c r="E698" s="1990"/>
      <c r="F698" s="1990"/>
      <c r="G698" s="819"/>
      <c r="H698" s="842"/>
      <c r="I698" s="1839"/>
      <c r="J698" s="842"/>
      <c r="K698" s="842"/>
    </row>
    <row r="699" spans="1:11">
      <c r="A699" s="795"/>
      <c r="B699" s="795"/>
      <c r="C699" s="795"/>
      <c r="D699" s="1990"/>
      <c r="E699" s="1990"/>
      <c r="F699" s="1990"/>
      <c r="G699" s="819"/>
      <c r="H699" s="842"/>
      <c r="I699" s="1839"/>
      <c r="J699" s="842"/>
      <c r="K699" s="842"/>
    </row>
    <row r="700" spans="1:11">
      <c r="A700" s="795"/>
      <c r="B700" s="795"/>
      <c r="C700" s="795"/>
      <c r="D700" s="1990"/>
      <c r="E700" s="1990"/>
      <c r="F700" s="1990"/>
      <c r="G700" s="819"/>
      <c r="H700" s="842"/>
      <c r="I700" s="1839"/>
      <c r="J700" s="842"/>
      <c r="K700" s="842"/>
    </row>
    <row r="701" spans="1:11" ht="15" customHeight="1">
      <c r="A701" s="795"/>
      <c r="B701" s="795"/>
      <c r="C701" s="795"/>
      <c r="D701" s="1990"/>
      <c r="E701" s="1990"/>
      <c r="F701" s="1990"/>
      <c r="G701" s="819"/>
      <c r="H701" s="842"/>
      <c r="I701" s="1839"/>
      <c r="J701" s="842"/>
      <c r="K701" s="842"/>
    </row>
    <row r="702" spans="1:11">
      <c r="A702" s="795"/>
      <c r="B702" s="795"/>
      <c r="C702" s="795"/>
      <c r="D702" s="1990"/>
      <c r="E702" s="1990"/>
      <c r="F702" s="1990"/>
      <c r="G702" s="819"/>
      <c r="H702" s="842"/>
      <c r="I702" s="1839"/>
      <c r="J702" s="842"/>
      <c r="K702" s="842"/>
    </row>
    <row r="703" spans="1:11">
      <c r="A703" s="795"/>
      <c r="B703" s="795"/>
      <c r="C703" s="795"/>
      <c r="D703" s="1990"/>
      <c r="E703" s="1990"/>
      <c r="F703" s="1990"/>
      <c r="G703" s="819"/>
      <c r="H703" s="842"/>
      <c r="I703" s="1839"/>
      <c r="J703" s="842"/>
      <c r="K703" s="842"/>
    </row>
    <row r="704" spans="1:11">
      <c r="A704" s="795"/>
      <c r="B704" s="795"/>
      <c r="C704" s="795"/>
      <c r="D704" s="1990"/>
      <c r="E704" s="1990"/>
      <c r="F704" s="1990"/>
      <c r="G704" s="819"/>
      <c r="H704" s="842"/>
      <c r="I704" s="1839"/>
      <c r="J704" s="842"/>
      <c r="K704" s="842"/>
    </row>
    <row r="705" spans="1:11">
      <c r="A705" s="795"/>
      <c r="B705" s="795"/>
      <c r="C705" s="795"/>
      <c r="D705" s="1990"/>
      <c r="E705" s="1990"/>
      <c r="F705" s="1990"/>
      <c r="G705" s="819"/>
      <c r="H705" s="842"/>
      <c r="I705" s="1839"/>
      <c r="J705" s="842"/>
      <c r="K705" s="842"/>
    </row>
    <row r="706" spans="1:11">
      <c r="A706" s="795"/>
      <c r="B706" s="798" t="s">
        <v>2626</v>
      </c>
      <c r="C706" s="795"/>
      <c r="D706" s="1990" t="s">
        <v>1224</v>
      </c>
      <c r="E706" s="1990"/>
      <c r="F706" s="1990"/>
      <c r="G706" s="819"/>
      <c r="H706" s="842"/>
      <c r="I706" s="1839" t="s">
        <v>2505</v>
      </c>
      <c r="J706" s="842"/>
      <c r="K706" s="842"/>
    </row>
    <row r="707" spans="1:11">
      <c r="A707" s="795"/>
      <c r="B707" s="795"/>
      <c r="C707" s="795"/>
      <c r="D707" s="1990"/>
      <c r="E707" s="1990"/>
      <c r="F707" s="1990"/>
      <c r="G707" s="819"/>
      <c r="H707" s="842"/>
      <c r="I707" s="1839"/>
      <c r="J707" s="842"/>
      <c r="K707" s="842"/>
    </row>
    <row r="708" spans="1:11">
      <c r="A708" s="795"/>
      <c r="B708" s="795"/>
      <c r="C708" s="795"/>
      <c r="D708" s="846"/>
      <c r="E708" s="846"/>
      <c r="F708" s="846"/>
      <c r="G708" s="819"/>
      <c r="H708" s="842"/>
      <c r="I708" s="1839"/>
      <c r="J708" s="842"/>
      <c r="K708" s="842"/>
    </row>
    <row r="709" spans="1:11">
      <c r="A709" s="795"/>
      <c r="B709" s="798" t="s">
        <v>2626</v>
      </c>
      <c r="C709" s="795"/>
      <c r="D709" s="1990" t="s">
        <v>1218</v>
      </c>
      <c r="E709" s="1990"/>
      <c r="F709" s="1990"/>
      <c r="G709" s="819"/>
      <c r="H709" s="842"/>
      <c r="I709" s="1839" t="s">
        <v>2505</v>
      </c>
      <c r="J709" s="842"/>
      <c r="K709" s="842"/>
    </row>
    <row r="710" spans="1:11">
      <c r="A710" s="795"/>
      <c r="B710" s="795"/>
      <c r="C710" s="795"/>
      <c r="D710" s="1990"/>
      <c r="E710" s="1990"/>
      <c r="F710" s="1990"/>
      <c r="G710" s="819"/>
      <c r="H710" s="842"/>
      <c r="I710" s="1839"/>
      <c r="J710" s="842"/>
      <c r="K710" s="842"/>
    </row>
    <row r="711" spans="1:11">
      <c r="A711" s="795"/>
      <c r="B711" s="795"/>
      <c r="C711" s="795"/>
      <c r="D711" s="1990"/>
      <c r="E711" s="1990"/>
      <c r="F711" s="1990"/>
      <c r="G711" s="819"/>
      <c r="H711" s="842"/>
      <c r="I711" s="1839"/>
      <c r="J711" s="842"/>
      <c r="K711" s="842"/>
    </row>
    <row r="712" spans="1:11">
      <c r="A712" s="795"/>
      <c r="B712" s="795"/>
      <c r="C712" s="795"/>
      <c r="D712" s="802"/>
      <c r="G712" s="819"/>
      <c r="H712" s="842"/>
      <c r="I712" s="1839"/>
      <c r="J712" s="842"/>
      <c r="K712" s="842"/>
    </row>
    <row r="713" spans="1:11">
      <c r="A713" s="795"/>
      <c r="B713" s="798" t="s">
        <v>2626</v>
      </c>
      <c r="C713" s="795"/>
      <c r="D713" s="1990" t="s">
        <v>1219</v>
      </c>
      <c r="E713" s="1990"/>
      <c r="F713" s="1990"/>
      <c r="G713" s="819"/>
      <c r="H713" s="842"/>
      <c r="I713" s="1839" t="s">
        <v>2505</v>
      </c>
      <c r="J713" s="842"/>
      <c r="K713" s="842"/>
    </row>
    <row r="714" spans="1:11">
      <c r="A714" s="795"/>
      <c r="B714" s="795"/>
      <c r="C714" s="795"/>
      <c r="D714" s="1990"/>
      <c r="E714" s="1990"/>
      <c r="F714" s="1990"/>
      <c r="G714" s="819"/>
      <c r="H714" s="842"/>
      <c r="I714" s="1839"/>
      <c r="J714" s="842"/>
      <c r="K714" s="842"/>
    </row>
    <row r="715" spans="1:11">
      <c r="A715" s="795"/>
      <c r="B715" s="795"/>
      <c r="C715" s="795"/>
      <c r="D715" s="1990"/>
      <c r="E715" s="1990"/>
      <c r="F715" s="1990"/>
      <c r="G715" s="819"/>
      <c r="H715" s="842"/>
      <c r="I715" s="1839"/>
      <c r="J715" s="842"/>
      <c r="K715" s="842"/>
    </row>
    <row r="716" spans="1:11">
      <c r="A716" s="795"/>
      <c r="B716" s="795"/>
      <c r="C716" s="795"/>
      <c r="D716" s="790"/>
      <c r="G716" s="819"/>
      <c r="H716" s="842"/>
      <c r="I716" s="1839"/>
      <c r="J716" s="842"/>
      <c r="K716" s="842"/>
    </row>
    <row r="717" spans="1:11" ht="14.25">
      <c r="A717" s="797"/>
      <c r="B717" s="798" t="s">
        <v>2626</v>
      </c>
      <c r="C717" s="795"/>
      <c r="D717" s="1904" t="s">
        <v>1220</v>
      </c>
      <c r="E717" s="1904"/>
      <c r="F717" s="1904"/>
      <c r="G717" s="819"/>
      <c r="H717" s="842"/>
      <c r="I717" s="1839" t="s">
        <v>2454</v>
      </c>
      <c r="J717" s="842"/>
      <c r="K717" s="842"/>
    </row>
    <row r="718" spans="1:11">
      <c r="A718" s="795"/>
      <c r="B718" s="795"/>
      <c r="C718" s="795"/>
      <c r="D718" s="1904"/>
      <c r="E718" s="1904"/>
      <c r="F718" s="1904"/>
      <c r="G718" s="819"/>
      <c r="H718" s="842"/>
      <c r="I718" s="1839"/>
      <c r="J718" s="842"/>
      <c r="K718" s="842"/>
    </row>
    <row r="719" spans="1:11">
      <c r="A719" s="795"/>
      <c r="B719" s="795"/>
      <c r="C719" s="795"/>
      <c r="D719" s="1904"/>
      <c r="E719" s="1904"/>
      <c r="F719" s="1904"/>
      <c r="G719" s="819"/>
      <c r="H719" s="842"/>
      <c r="I719" s="1839"/>
      <c r="J719" s="842"/>
      <c r="K719" s="842"/>
    </row>
    <row r="720" spans="1:11">
      <c r="A720" s="795"/>
      <c r="B720" s="795"/>
      <c r="C720" s="795"/>
      <c r="D720" s="1904"/>
      <c r="E720" s="1904"/>
      <c r="F720" s="1904"/>
      <c r="G720" s="819"/>
      <c r="H720" s="842"/>
      <c r="I720" s="1839"/>
      <c r="J720" s="842"/>
      <c r="K720" s="842"/>
    </row>
    <row r="721" spans="1:11">
      <c r="A721" s="795"/>
      <c r="B721" s="795"/>
      <c r="C721" s="795"/>
      <c r="D721" s="822"/>
      <c r="G721" s="819"/>
      <c r="H721" s="842"/>
      <c r="I721" s="1839"/>
      <c r="J721" s="842"/>
      <c r="K721" s="842"/>
    </row>
    <row r="722" spans="1:11" ht="14.25">
      <c r="A722" s="797"/>
      <c r="B722" s="798" t="s">
        <v>2626</v>
      </c>
      <c r="C722" s="795"/>
      <c r="D722" s="1990" t="s">
        <v>1353</v>
      </c>
      <c r="E722" s="1990"/>
      <c r="F722" s="1990"/>
      <c r="G722" s="819"/>
      <c r="H722" s="842"/>
      <c r="I722" s="1839" t="s">
        <v>2470</v>
      </c>
      <c r="J722" s="842"/>
      <c r="K722" s="842"/>
    </row>
    <row r="723" spans="1:11">
      <c r="A723" s="795"/>
      <c r="B723" s="795"/>
      <c r="C723" s="795"/>
      <c r="D723" s="1990"/>
      <c r="E723" s="1990"/>
      <c r="F723" s="1990"/>
      <c r="G723" s="819"/>
      <c r="H723" s="842"/>
      <c r="I723" s="1839"/>
      <c r="J723" s="842"/>
      <c r="K723" s="842"/>
    </row>
    <row r="724" spans="1:11">
      <c r="A724" s="795"/>
      <c r="B724" s="795"/>
      <c r="C724" s="795"/>
      <c r="D724" s="1990"/>
      <c r="E724" s="1990"/>
      <c r="F724" s="1990"/>
      <c r="G724" s="819"/>
      <c r="H724" s="842"/>
      <c r="I724" s="1839"/>
      <c r="J724" s="842"/>
      <c r="K724" s="842"/>
    </row>
    <row r="725" spans="1:11">
      <c r="A725" s="795"/>
      <c r="B725" s="795"/>
      <c r="C725" s="795"/>
      <c r="D725" s="1990"/>
      <c r="E725" s="1990"/>
      <c r="F725" s="1990"/>
      <c r="G725" s="819"/>
      <c r="H725" s="842"/>
      <c r="I725" s="1839"/>
      <c r="J725" s="842"/>
      <c r="K725" s="842"/>
    </row>
    <row r="726" spans="1:11">
      <c r="A726" s="795"/>
      <c r="B726" s="795"/>
      <c r="C726" s="795"/>
      <c r="D726" s="1990"/>
      <c r="E726" s="1990"/>
      <c r="F726" s="1990"/>
      <c r="G726" s="819"/>
      <c r="H726" s="842"/>
      <c r="I726" s="1839"/>
      <c r="J726" s="842"/>
      <c r="K726" s="842"/>
    </row>
    <row r="727" spans="1:11">
      <c r="A727" s="795"/>
      <c r="B727" s="795"/>
      <c r="C727" s="795"/>
      <c r="D727" s="1990"/>
      <c r="E727" s="1990"/>
      <c r="F727" s="1990"/>
      <c r="G727" s="819"/>
      <c r="H727" s="842"/>
      <c r="I727" s="1839"/>
      <c r="J727" s="842"/>
      <c r="K727" s="842"/>
    </row>
    <row r="728" spans="1:11">
      <c r="A728" s="795"/>
      <c r="B728" s="795"/>
      <c r="C728" s="795"/>
      <c r="D728" s="1990"/>
      <c r="E728" s="1990"/>
      <c r="F728" s="1990"/>
      <c r="G728" s="819"/>
      <c r="H728" s="842"/>
      <c r="I728" s="1839"/>
      <c r="J728" s="842"/>
      <c r="K728" s="842"/>
    </row>
    <row r="729" spans="1:11">
      <c r="A729" s="795"/>
      <c r="B729" s="795"/>
      <c r="C729" s="795"/>
      <c r="D729" s="1934" t="s">
        <v>1221</v>
      </c>
      <c r="E729" s="1934"/>
      <c r="F729" s="1934"/>
      <c r="G729" s="819"/>
      <c r="H729" s="842"/>
      <c r="I729" s="1839"/>
      <c r="J729" s="842"/>
      <c r="K729" s="842"/>
    </row>
    <row r="730" spans="1:11">
      <c r="A730" s="795"/>
      <c r="B730" s="795"/>
      <c r="C730" s="795"/>
      <c r="D730" s="782"/>
      <c r="G730" s="819"/>
      <c r="H730" s="842"/>
      <c r="I730" s="1839"/>
      <c r="J730" s="842"/>
      <c r="K730" s="842"/>
    </row>
    <row r="731" spans="1:11">
      <c r="A731" s="1936" t="s">
        <v>1178</v>
      </c>
      <c r="B731" s="1936"/>
      <c r="C731" s="1936"/>
      <c r="D731" s="1936"/>
      <c r="E731" s="1936"/>
      <c r="F731" s="1936"/>
      <c r="G731" s="1936"/>
      <c r="H731" s="1853"/>
      <c r="I731" s="1854"/>
      <c r="J731" s="842"/>
      <c r="K731" s="842"/>
    </row>
    <row r="732" spans="1:11">
      <c r="A732" s="795"/>
      <c r="B732" s="795"/>
      <c r="C732" s="795"/>
      <c r="D732" s="822"/>
      <c r="G732" s="847"/>
      <c r="H732" s="842"/>
      <c r="I732" s="1839"/>
      <c r="J732" s="842"/>
      <c r="K732" s="842"/>
    </row>
    <row r="733" spans="1:11" ht="13.7" customHeight="1">
      <c r="C733" s="795"/>
      <c r="D733" s="1975" t="s">
        <v>1194</v>
      </c>
      <c r="E733" s="1975"/>
      <c r="F733" s="1975"/>
      <c r="G733" s="847"/>
      <c r="H733" s="842"/>
      <c r="I733" s="1839"/>
      <c r="J733" s="842"/>
      <c r="K733" s="842"/>
    </row>
    <row r="734" spans="1:11">
      <c r="A734" s="795"/>
      <c r="B734" s="795"/>
      <c r="C734" s="795"/>
      <c r="D734" s="1930" t="s">
        <v>1195</v>
      </c>
      <c r="E734" s="1930"/>
      <c r="F734" s="1930"/>
      <c r="G734" s="847"/>
      <c r="H734" s="842"/>
      <c r="I734" s="1839"/>
      <c r="J734" s="842"/>
      <c r="K734" s="842"/>
    </row>
    <row r="735" spans="1:11">
      <c r="A735" s="795"/>
      <c r="B735" s="795"/>
      <c r="C735" s="795"/>
      <c r="G735" s="847"/>
      <c r="H735" s="842"/>
      <c r="I735" s="1839"/>
      <c r="J735" s="842"/>
      <c r="K735" s="842"/>
    </row>
    <row r="736" spans="1:11" s="791" customFormat="1" ht="14.25">
      <c r="A736" s="797"/>
      <c r="B736" s="798" t="s">
        <v>2623</v>
      </c>
      <c r="C736" s="788"/>
      <c r="D736" s="1904" t="s">
        <v>1196</v>
      </c>
      <c r="E736" s="1904"/>
      <c r="F736" s="1904"/>
      <c r="G736" s="847"/>
      <c r="H736" s="845"/>
      <c r="I736" s="1840" t="s">
        <v>2455</v>
      </c>
      <c r="J736" s="845"/>
      <c r="K736" s="845"/>
    </row>
    <row r="737" spans="1:11" s="791" customFormat="1" ht="10.5" customHeight="1">
      <c r="A737" s="788"/>
      <c r="B737" s="788"/>
      <c r="C737" s="788"/>
      <c r="D737" s="1904"/>
      <c r="E737" s="1904"/>
      <c r="F737" s="1904"/>
      <c r="G737" s="847"/>
      <c r="H737" s="845"/>
      <c r="I737" s="1840"/>
      <c r="J737" s="845"/>
      <c r="K737" s="845"/>
    </row>
    <row r="738" spans="1:11" s="791" customFormat="1">
      <c r="A738" s="788"/>
      <c r="B738" s="788"/>
      <c r="C738" s="788"/>
      <c r="D738" s="1904"/>
      <c r="E738" s="1904"/>
      <c r="F738" s="1904"/>
      <c r="G738" s="847"/>
      <c r="H738" s="845"/>
      <c r="I738" s="1840"/>
      <c r="J738" s="845"/>
      <c r="K738" s="845"/>
    </row>
    <row r="739" spans="1:11">
      <c r="D739" s="1904"/>
      <c r="E739" s="1904"/>
      <c r="F739" s="1904"/>
      <c r="G739" s="847"/>
      <c r="H739" s="842"/>
      <c r="I739" s="1839"/>
      <c r="J739" s="842"/>
      <c r="K739" s="842"/>
    </row>
    <row r="740" spans="1:11">
      <c r="A740" s="801"/>
      <c r="B740" s="801"/>
      <c r="C740" s="801"/>
      <c r="D740" s="1904"/>
      <c r="E740" s="1904"/>
      <c r="F740" s="1904"/>
      <c r="G740" s="848"/>
      <c r="H740" s="842"/>
      <c r="I740" s="1839"/>
      <c r="J740" s="842"/>
      <c r="K740" s="842"/>
    </row>
    <row r="741" spans="1:11" ht="15.6" customHeight="1">
      <c r="A741" s="801"/>
      <c r="B741" s="801"/>
      <c r="C741" s="801"/>
      <c r="D741" s="1904"/>
      <c r="E741" s="1904"/>
      <c r="F741" s="1904"/>
      <c r="G741" s="848"/>
      <c r="H741" s="842"/>
      <c r="I741" s="1839"/>
      <c r="J741" s="842"/>
      <c r="K741" s="842"/>
    </row>
    <row r="742" spans="1:11">
      <c r="A742" s="801"/>
      <c r="B742" s="801"/>
      <c r="C742" s="801"/>
      <c r="D742" s="837"/>
      <c r="E742" s="849"/>
      <c r="F742" s="849"/>
      <c r="G742" s="848"/>
      <c r="H742" s="842"/>
      <c r="I742" s="1839"/>
      <c r="J742" s="842"/>
      <c r="K742" s="842"/>
    </row>
    <row r="743" spans="1:11" s="853" customFormat="1" ht="14.25">
      <c r="A743" s="850"/>
      <c r="B743" s="798" t="s">
        <v>2626</v>
      </c>
      <c r="C743" s="851"/>
      <c r="D743" s="1905" t="s">
        <v>1459</v>
      </c>
      <c r="E743" s="1905"/>
      <c r="F743" s="1905"/>
      <c r="G743" s="852"/>
      <c r="I743" s="1841" t="s">
        <v>2455</v>
      </c>
    </row>
    <row r="744" spans="1:11" s="853" customFormat="1">
      <c r="A744" s="851"/>
      <c r="B744" s="851"/>
      <c r="C744" s="851"/>
      <c r="D744" s="1905"/>
      <c r="E744" s="1905"/>
      <c r="F744" s="1905"/>
      <c r="G744" s="852"/>
      <c r="I744" s="1841"/>
    </row>
    <row r="745" spans="1:11" s="853" customFormat="1">
      <c r="A745" s="851"/>
      <c r="B745" s="851"/>
      <c r="C745" s="851"/>
      <c r="D745" s="1905"/>
      <c r="E745" s="1905"/>
      <c r="F745" s="1905"/>
      <c r="G745" s="852"/>
      <c r="I745" s="1841"/>
    </row>
    <row r="746" spans="1:11" s="853" customFormat="1">
      <c r="A746" s="851"/>
      <c r="B746" s="851"/>
      <c r="C746" s="851"/>
      <c r="D746" s="1905"/>
      <c r="E746" s="1905"/>
      <c r="F746" s="1905"/>
      <c r="G746" s="852"/>
      <c r="I746" s="1841"/>
    </row>
    <row r="747" spans="1:11" s="853" customFormat="1">
      <c r="A747" s="851"/>
      <c r="B747" s="851"/>
      <c r="C747" s="851"/>
      <c r="D747" s="837"/>
      <c r="E747" s="852"/>
      <c r="F747" s="852"/>
      <c r="G747" s="852"/>
      <c r="I747" s="1841"/>
    </row>
    <row r="748" spans="1:11" s="853" customFormat="1" ht="14.25">
      <c r="A748" s="797"/>
      <c r="B748" s="798" t="s">
        <v>2626</v>
      </c>
      <c r="C748" s="851"/>
      <c r="D748" s="1999" t="s">
        <v>1460</v>
      </c>
      <c r="E748" s="1999"/>
      <c r="F748" s="1999"/>
      <c r="G748" s="852"/>
      <c r="I748" s="1841" t="s">
        <v>2456</v>
      </c>
    </row>
    <row r="749" spans="1:11" s="853" customFormat="1">
      <c r="A749" s="851"/>
      <c r="B749" s="851"/>
      <c r="C749" s="851"/>
      <c r="D749" s="1999"/>
      <c r="E749" s="1999"/>
      <c r="F749" s="1999"/>
      <c r="G749" s="852"/>
      <c r="I749" s="1841"/>
    </row>
    <row r="750" spans="1:11" s="853" customFormat="1">
      <c r="A750" s="851"/>
      <c r="B750" s="851"/>
      <c r="C750" s="851"/>
      <c r="D750" s="1999"/>
      <c r="E750" s="1999"/>
      <c r="F750" s="1999"/>
      <c r="G750" s="852"/>
      <c r="I750" s="1841"/>
    </row>
    <row r="751" spans="1:11">
      <c r="A751" s="801"/>
      <c r="B751" s="801"/>
      <c r="C751" s="801"/>
      <c r="D751" s="837"/>
      <c r="E751" s="849"/>
      <c r="F751" s="849"/>
      <c r="G751" s="848"/>
      <c r="H751" s="842"/>
      <c r="I751" s="1839"/>
      <c r="J751" s="842"/>
      <c r="K751" s="842"/>
    </row>
    <row r="752" spans="1:11" ht="14.25">
      <c r="A752" s="797"/>
      <c r="B752" s="798" t="s">
        <v>2626</v>
      </c>
      <c r="C752" s="801"/>
      <c r="D752" s="1905" t="s">
        <v>1403</v>
      </c>
      <c r="E752" s="1905"/>
      <c r="F752" s="1905"/>
      <c r="G752" s="848"/>
      <c r="H752" s="842"/>
      <c r="I752" s="1839" t="s">
        <v>2455</v>
      </c>
      <c r="J752" s="842"/>
      <c r="K752" s="842"/>
    </row>
    <row r="753" spans="1:11">
      <c r="A753" s="801"/>
      <c r="B753" s="801"/>
      <c r="C753" s="801"/>
      <c r="D753" s="1905"/>
      <c r="E753" s="1905"/>
      <c r="F753" s="1905"/>
      <c r="G753" s="848"/>
      <c r="H753" s="842"/>
      <c r="I753" s="1839"/>
      <c r="J753" s="842"/>
      <c r="K753" s="842"/>
    </row>
    <row r="754" spans="1:11">
      <c r="A754" s="801"/>
      <c r="B754" s="801"/>
      <c r="C754" s="801"/>
      <c r="D754" s="781"/>
      <c r="E754" s="781"/>
      <c r="F754" s="781"/>
      <c r="G754" s="848"/>
      <c r="H754" s="842"/>
      <c r="I754" s="1839"/>
      <c r="J754" s="842"/>
      <c r="K754" s="842"/>
    </row>
    <row r="755" spans="1:11">
      <c r="A755" s="801"/>
      <c r="B755" s="798" t="s">
        <v>2626</v>
      </c>
      <c r="C755" s="801"/>
      <c r="D755" s="1905" t="s">
        <v>1425</v>
      </c>
      <c r="E755" s="1905"/>
      <c r="F755" s="1905"/>
      <c r="G755" s="848"/>
      <c r="H755" s="842"/>
      <c r="I755" s="1839" t="s">
        <v>2455</v>
      </c>
      <c r="J755" s="842"/>
      <c r="K755" s="842"/>
    </row>
    <row r="756" spans="1:11">
      <c r="A756" s="801"/>
      <c r="B756" s="801"/>
      <c r="C756" s="801"/>
      <c r="D756" s="1905"/>
      <c r="E756" s="1905"/>
      <c r="F756" s="1905"/>
      <c r="G756" s="848"/>
      <c r="H756" s="842"/>
      <c r="I756" s="1839"/>
      <c r="J756" s="842"/>
      <c r="K756" s="842"/>
    </row>
    <row r="757" spans="1:11">
      <c r="A757" s="801"/>
      <c r="B757" s="801"/>
      <c r="C757" s="801"/>
      <c r="D757" s="1905"/>
      <c r="E757" s="1905"/>
      <c r="F757" s="1905"/>
      <c r="G757" s="848"/>
      <c r="H757" s="842"/>
      <c r="I757" s="1839"/>
      <c r="J757" s="842"/>
      <c r="K757" s="842"/>
    </row>
    <row r="758" spans="1:11">
      <c r="A758" s="801"/>
      <c r="B758" s="801"/>
      <c r="C758" s="801"/>
      <c r="D758" s="781"/>
      <c r="E758" s="781"/>
      <c r="F758" s="781"/>
      <c r="G758" s="848"/>
      <c r="H758" s="842"/>
      <c r="I758" s="1839"/>
      <c r="J758" s="842"/>
      <c r="K758" s="842"/>
    </row>
    <row r="759" spans="1:11">
      <c r="A759" s="1996" t="s">
        <v>2324</v>
      </c>
      <c r="B759" s="1996"/>
      <c r="C759" s="1996"/>
      <c r="D759" s="1996"/>
      <c r="E759" s="1996"/>
      <c r="F759" s="1996"/>
      <c r="G759" s="1996"/>
      <c r="H759" s="1851"/>
      <c r="I759" s="1852"/>
    </row>
    <row r="760" spans="1:11">
      <c r="A760" s="93"/>
      <c r="B760" s="93"/>
      <c r="C760" s="1730"/>
      <c r="D760" s="155"/>
      <c r="E760" s="155"/>
      <c r="F760" s="155"/>
      <c r="G760" s="686"/>
    </row>
    <row r="761" spans="1:11">
      <c r="A761" s="93"/>
      <c r="B761" s="93"/>
      <c r="C761" s="1730"/>
      <c r="D761" s="1997" t="s">
        <v>2383</v>
      </c>
      <c r="E761" s="1997"/>
      <c r="F761" s="1997"/>
      <c r="G761" s="686"/>
    </row>
    <row r="762" spans="1:11">
      <c r="A762" s="93"/>
      <c r="B762" s="93"/>
      <c r="C762" s="1730"/>
      <c r="D762" s="1979" t="s">
        <v>2269</v>
      </c>
      <c r="E762" s="1979"/>
      <c r="F762" s="1979"/>
      <c r="G762" s="686"/>
    </row>
    <row r="763" spans="1:11">
      <c r="A763" s="93"/>
      <c r="B763" s="93"/>
      <c r="C763" s="1730"/>
      <c r="D763" s="733"/>
      <c r="E763" s="733"/>
      <c r="F763" s="733"/>
      <c r="G763" s="686"/>
    </row>
    <row r="764" spans="1:11">
      <c r="A764" s="93"/>
      <c r="B764" s="798" t="s">
        <v>2623</v>
      </c>
      <c r="C764" s="1730"/>
      <c r="D764" s="1926" t="s">
        <v>2270</v>
      </c>
      <c r="E764" s="1926"/>
      <c r="F764" s="1926"/>
      <c r="G764" s="686"/>
      <c r="I764" s="1839" t="s">
        <v>2507</v>
      </c>
    </row>
    <row r="765" spans="1:11">
      <c r="A765" s="93"/>
      <c r="B765" s="93"/>
      <c r="C765" s="1730"/>
      <c r="D765" s="1926"/>
      <c r="E765" s="1926"/>
      <c r="F765" s="1926"/>
      <c r="G765" s="686"/>
    </row>
    <row r="766" spans="1:11">
      <c r="A766" s="720"/>
      <c r="B766" s="720"/>
      <c r="C766" s="313"/>
      <c r="D766" s="1926"/>
      <c r="E766" s="1926"/>
      <c r="F766" s="1926"/>
      <c r="G766" s="1731"/>
    </row>
    <row r="767" spans="1:11">
      <c r="A767" s="1724"/>
      <c r="B767" s="1724"/>
      <c r="C767" s="1732"/>
      <c r="D767" s="1708"/>
      <c r="E767" s="686"/>
      <c r="F767" s="686"/>
      <c r="G767" s="686"/>
    </row>
    <row r="768" spans="1:11">
      <c r="A768" s="267"/>
      <c r="B768" s="798" t="s">
        <v>2626</v>
      </c>
      <c r="C768" s="1733"/>
      <c r="D768" s="1926" t="s">
        <v>2271</v>
      </c>
      <c r="E768" s="1926"/>
      <c r="F768" s="1926"/>
      <c r="G768" s="686"/>
      <c r="I768" s="1839" t="s">
        <v>2507</v>
      </c>
    </row>
    <row r="769" spans="1:9">
      <c r="A769" s="1734"/>
      <c r="B769" s="1734"/>
      <c r="C769" s="1735"/>
      <c r="D769" s="1926"/>
      <c r="E769" s="1926"/>
      <c r="F769" s="1926"/>
      <c r="G769" s="686"/>
    </row>
    <row r="770" spans="1:9">
      <c r="A770" s="267"/>
      <c r="B770" s="267"/>
      <c r="C770" s="1733"/>
      <c r="D770" s="1926"/>
      <c r="E770" s="1926"/>
      <c r="F770" s="1926"/>
      <c r="G770" s="686"/>
    </row>
    <row r="771" spans="1:9">
      <c r="A771" s="720"/>
      <c r="B771" s="720"/>
      <c r="C771" s="313"/>
      <c r="D771" s="6"/>
      <c r="E771" s="1736"/>
      <c r="F771" s="1736"/>
      <c r="G771" s="1737"/>
    </row>
    <row r="772" spans="1:9" ht="14.25">
      <c r="A772" s="714"/>
      <c r="B772" s="798" t="s">
        <v>2626</v>
      </c>
      <c r="C772" s="1738"/>
      <c r="D772" s="1926" t="s">
        <v>2272</v>
      </c>
      <c r="E772" s="1926"/>
      <c r="F772" s="1926"/>
      <c r="G772" s="1737"/>
      <c r="I772" s="1839" t="s">
        <v>2507</v>
      </c>
    </row>
    <row r="773" spans="1:9" ht="14.25">
      <c r="A773" s="714"/>
      <c r="B773" s="714"/>
      <c r="C773" s="1738"/>
      <c r="D773" s="1926"/>
      <c r="E773" s="1926"/>
      <c r="F773" s="1926"/>
      <c r="G773" s="1737"/>
    </row>
    <row r="774" spans="1:9" ht="14.25">
      <c r="A774" s="714"/>
      <c r="B774" s="714"/>
      <c r="C774" s="1738"/>
      <c r="D774" s="1926"/>
      <c r="E774" s="1926"/>
      <c r="F774" s="1926"/>
      <c r="G774" s="1737"/>
    </row>
    <row r="775" spans="1:9" ht="14.25">
      <c r="A775" s="714"/>
      <c r="B775" s="714"/>
      <c r="C775" s="1738"/>
      <c r="D775" s="1706"/>
      <c r="E775" s="6"/>
      <c r="F775" s="6"/>
      <c r="G775" s="1737"/>
    </row>
    <row r="776" spans="1:9" ht="14.25">
      <c r="A776" s="714"/>
      <c r="B776" s="798" t="s">
        <v>2626</v>
      </c>
      <c r="C776" s="1738"/>
      <c r="D776" s="1926" t="s">
        <v>2273</v>
      </c>
      <c r="E776" s="1926"/>
      <c r="F776" s="1926"/>
      <c r="G776" s="1737"/>
      <c r="I776" s="1839" t="s">
        <v>2507</v>
      </c>
    </row>
    <row r="777" spans="1:9" ht="14.25">
      <c r="A777" s="714"/>
      <c r="B777" s="714"/>
      <c r="C777" s="1738"/>
      <c r="D777" s="1926"/>
      <c r="E777" s="1926"/>
      <c r="F777" s="1926"/>
      <c r="G777" s="1737"/>
    </row>
    <row r="778" spans="1:9" ht="14.25">
      <c r="A778" s="714"/>
      <c r="B778" s="714"/>
      <c r="C778" s="1738"/>
      <c r="D778" s="1926"/>
      <c r="E778" s="1926"/>
      <c r="F778" s="1926"/>
      <c r="G778" s="1737"/>
    </row>
    <row r="779" spans="1:9" ht="14.25">
      <c r="A779" s="714"/>
      <c r="B779" s="714"/>
      <c r="C779" s="1738"/>
      <c r="D779" s="1926"/>
      <c r="E779" s="1926"/>
      <c r="F779" s="1926"/>
      <c r="G779" s="1737"/>
    </row>
    <row r="780" spans="1:9" ht="14.25">
      <c r="A780" s="714"/>
      <c r="B780" s="714"/>
      <c r="C780" s="1738"/>
      <c r="D780" s="1926"/>
      <c r="E780" s="1926"/>
      <c r="F780" s="1926"/>
      <c r="G780" s="1737"/>
    </row>
    <row r="781" spans="1:9" ht="14.25">
      <c r="A781" s="714"/>
      <c r="B781" s="714"/>
      <c r="C781" s="1738"/>
      <c r="D781" s="1926"/>
      <c r="E781" s="1926"/>
      <c r="F781" s="1926"/>
      <c r="G781" s="1737"/>
    </row>
    <row r="782" spans="1:9" ht="14.25">
      <c r="A782" s="714"/>
      <c r="B782" s="714"/>
      <c r="C782" s="1738"/>
      <c r="D782" s="1926" t="s">
        <v>2325</v>
      </c>
      <c r="E782" s="1926"/>
      <c r="F782" s="1926"/>
      <c r="G782" s="1737"/>
    </row>
    <row r="783" spans="1:9" ht="14.25">
      <c r="A783" s="714"/>
      <c r="B783" s="714"/>
      <c r="C783" s="1738"/>
      <c r="D783" s="1926"/>
      <c r="E783" s="1926"/>
      <c r="F783" s="1926"/>
      <c r="G783" s="1737"/>
    </row>
    <row r="784" spans="1:9" ht="14.25">
      <c r="A784" s="714"/>
      <c r="B784" s="714"/>
      <c r="C784" s="1738"/>
      <c r="D784" s="1926"/>
      <c r="E784" s="1926"/>
      <c r="F784" s="1926"/>
      <c r="G784" s="1737"/>
    </row>
    <row r="785" spans="1:9" ht="14.25">
      <c r="A785" s="714"/>
      <c r="B785" s="556"/>
      <c r="C785" s="1738"/>
      <c r="D785" s="1739"/>
      <c r="E785" s="1739"/>
      <c r="F785" s="1739"/>
      <c r="G785" s="1737"/>
    </row>
    <row r="786" spans="1:9" ht="14.25">
      <c r="A786" s="714"/>
      <c r="B786" s="798" t="s">
        <v>2626</v>
      </c>
      <c r="C786" s="1738"/>
      <c r="D786" s="1926" t="s">
        <v>2274</v>
      </c>
      <c r="E786" s="1926"/>
      <c r="F786" s="1926"/>
      <c r="G786" s="1737"/>
      <c r="I786" s="1839" t="s">
        <v>2507</v>
      </c>
    </row>
    <row r="787" spans="1:9" ht="14.25">
      <c r="A787" s="714"/>
      <c r="B787" s="714"/>
      <c r="C787" s="1738"/>
      <c r="D787" s="1926"/>
      <c r="E787" s="1926"/>
      <c r="F787" s="1926"/>
      <c r="G787" s="1737"/>
    </row>
    <row r="788" spans="1:9" ht="14.25">
      <c r="A788" s="714"/>
      <c r="B788" s="714"/>
      <c r="C788" s="1738"/>
      <c r="D788" s="1926"/>
      <c r="E788" s="1926"/>
      <c r="F788" s="1926"/>
      <c r="G788" s="1737"/>
    </row>
    <row r="789" spans="1:9" ht="14.25">
      <c r="A789" s="714"/>
      <c r="B789" s="714"/>
      <c r="C789" s="1738"/>
      <c r="D789" s="1926"/>
      <c r="E789" s="1926"/>
      <c r="F789" s="1926"/>
      <c r="G789" s="1737"/>
    </row>
    <row r="790" spans="1:9" ht="14.25">
      <c r="A790" s="714"/>
      <c r="B790" s="714"/>
      <c r="C790" s="1738"/>
      <c r="D790" s="1926"/>
      <c r="E790" s="1926"/>
      <c r="F790" s="1926"/>
      <c r="G790" s="1737"/>
    </row>
    <row r="791" spans="1:9" ht="14.25">
      <c r="A791" s="714"/>
      <c r="B791" s="714"/>
      <c r="C791" s="1738"/>
      <c r="D791" s="1926"/>
      <c r="E791" s="1926"/>
      <c r="F791" s="1926"/>
      <c r="G791" s="1737"/>
    </row>
    <row r="792" spans="1:9" ht="14.25">
      <c r="A792" s="714"/>
      <c r="B792" s="714"/>
      <c r="C792" s="1738"/>
      <c r="D792" s="1715"/>
      <c r="E792" s="1715"/>
      <c r="F792" s="1715"/>
      <c r="G792" s="1737"/>
    </row>
    <row r="793" spans="1:9" ht="14.25">
      <c r="A793" s="714"/>
      <c r="B793" s="798" t="s">
        <v>2626</v>
      </c>
      <c r="C793" s="1738"/>
      <c r="D793" s="1926" t="s">
        <v>2275</v>
      </c>
      <c r="E793" s="1926"/>
      <c r="F793" s="1926"/>
      <c r="G793" s="1737"/>
      <c r="I793" s="1839" t="s">
        <v>2507</v>
      </c>
    </row>
    <row r="794" spans="1:9" ht="14.25">
      <c r="A794" s="714"/>
      <c r="B794" s="714"/>
      <c r="C794" s="1738"/>
      <c r="D794" s="1926"/>
      <c r="E794" s="1926"/>
      <c r="F794" s="1926"/>
      <c r="G794" s="1737"/>
    </row>
    <row r="795" spans="1:9" ht="14.25">
      <c r="A795" s="714"/>
      <c r="B795" s="714"/>
      <c r="C795" s="1738"/>
      <c r="D795" s="1926"/>
      <c r="E795" s="1926"/>
      <c r="F795" s="1926"/>
      <c r="G795" s="1737"/>
    </row>
    <row r="796" spans="1:9" ht="14.25">
      <c r="A796" s="714"/>
      <c r="B796" s="714"/>
      <c r="C796" s="1738"/>
      <c r="D796" s="1926"/>
      <c r="E796" s="1926"/>
      <c r="F796" s="1926"/>
      <c r="G796" s="1737"/>
    </row>
    <row r="797" spans="1:9" ht="14.25">
      <c r="A797" s="714"/>
      <c r="B797" s="714"/>
      <c r="C797" s="1738"/>
      <c r="D797" s="1926"/>
      <c r="E797" s="1926"/>
      <c r="F797" s="1926"/>
      <c r="G797" s="1737"/>
    </row>
    <row r="798" spans="1:9" ht="14.25">
      <c r="A798" s="714"/>
      <c r="B798" s="714"/>
      <c r="C798" s="1738"/>
      <c r="D798" s="1926"/>
      <c r="E798" s="1926"/>
      <c r="F798" s="1926"/>
      <c r="G798" s="1737"/>
    </row>
    <row r="799" spans="1:9" ht="14.25">
      <c r="A799" s="714"/>
      <c r="B799" s="714"/>
      <c r="C799" s="1738"/>
      <c r="D799" s="1715"/>
      <c r="E799" s="1715"/>
      <c r="F799" s="1715"/>
      <c r="G799" s="1737"/>
    </row>
    <row r="800" spans="1:9" ht="14.25">
      <c r="A800" s="714"/>
      <c r="B800" s="798" t="s">
        <v>2626</v>
      </c>
      <c r="C800" s="1738"/>
      <c r="D800" s="1923" t="s">
        <v>2276</v>
      </c>
      <c r="E800" s="1923"/>
      <c r="F800" s="1923"/>
      <c r="G800" s="1737"/>
      <c r="I800" s="1839" t="s">
        <v>2507</v>
      </c>
    </row>
    <row r="801" spans="1:9" ht="14.25">
      <c r="A801" s="714"/>
      <c r="B801" s="714"/>
      <c r="C801" s="1738"/>
      <c r="D801" s="1923"/>
      <c r="E801" s="1923"/>
      <c r="F801" s="1923"/>
      <c r="G801" s="1737"/>
    </row>
    <row r="802" spans="1:9">
      <c r="A802" s="1723"/>
      <c r="B802" s="1723"/>
      <c r="C802" s="1738"/>
      <c r="D802" s="1923"/>
      <c r="E802" s="1923"/>
      <c r="F802" s="1923"/>
      <c r="G802" s="1737"/>
    </row>
    <row r="803" spans="1:9" ht="14.25">
      <c r="A803" s="714"/>
      <c r="B803" s="1723"/>
      <c r="C803" s="1738"/>
      <c r="D803" s="1923"/>
      <c r="E803" s="1923"/>
      <c r="F803" s="1923"/>
      <c r="G803" s="1737"/>
    </row>
    <row r="804" spans="1:9" ht="12.75" customHeight="1">
      <c r="A804" s="714"/>
      <c r="B804" s="1723"/>
      <c r="C804" s="1738"/>
      <c r="D804" s="1923"/>
      <c r="E804" s="1923"/>
      <c r="F804" s="1923"/>
      <c r="G804" s="1737"/>
    </row>
    <row r="805" spans="1:9" ht="12.75" customHeight="1">
      <c r="A805" s="714"/>
      <c r="B805" s="1723"/>
      <c r="C805" s="1738"/>
      <c r="D805" s="1923"/>
      <c r="E805" s="1923"/>
      <c r="F805" s="1923"/>
      <c r="G805" s="1737"/>
    </row>
    <row r="806" spans="1:9" ht="12.75" customHeight="1">
      <c r="A806" s="1723"/>
      <c r="B806" s="1723"/>
      <c r="C806" s="1738"/>
      <c r="D806" s="1736"/>
      <c r="E806" s="6"/>
      <c r="F806" s="6"/>
      <c r="G806" s="1737"/>
    </row>
    <row r="807" spans="1:9" ht="12.75" customHeight="1">
      <c r="A807" s="1935" t="s">
        <v>2277</v>
      </c>
      <c r="B807" s="1935"/>
      <c r="C807" s="1935"/>
      <c r="D807" s="1935"/>
      <c r="E807" s="1935"/>
      <c r="F807" s="1935"/>
      <c r="G807" s="1935"/>
      <c r="H807" s="1851"/>
      <c r="I807" s="1852"/>
    </row>
    <row r="808" spans="1:9" ht="12.75" customHeight="1">
      <c r="A808" s="1712"/>
      <c r="B808" s="1712"/>
      <c r="C808" s="1738"/>
      <c r="D808" s="1736"/>
      <c r="E808" s="1736"/>
      <c r="F808" s="1736"/>
      <c r="G808" s="1737"/>
    </row>
    <row r="809" spans="1:9" ht="12.75" customHeight="1">
      <c r="A809" s="714"/>
      <c r="B809" s="714"/>
      <c r="C809" s="556"/>
      <c r="D809" s="1915" t="s">
        <v>2326</v>
      </c>
      <c r="E809" s="1915"/>
      <c r="F809" s="1915"/>
      <c r="G809" s="678"/>
    </row>
    <row r="810" spans="1:9" ht="14.25" customHeight="1">
      <c r="A810" s="714"/>
      <c r="B810" s="714"/>
      <c r="C810" s="556"/>
      <c r="D810" s="1866" t="s">
        <v>2278</v>
      </c>
      <c r="E810" s="1866"/>
      <c r="F810" s="1866"/>
      <c r="G810" s="678"/>
    </row>
    <row r="811" spans="1:9" ht="12.75" customHeight="1">
      <c r="A811" s="714"/>
      <c r="B811" s="714"/>
      <c r="C811" s="556"/>
      <c r="D811" s="1701"/>
      <c r="E811" s="1701"/>
      <c r="F811" s="1701"/>
      <c r="G811" s="678"/>
    </row>
    <row r="812" spans="1:9" ht="12.75" customHeight="1">
      <c r="A812" s="1740"/>
      <c r="B812" s="798" t="s">
        <v>2623</v>
      </c>
      <c r="C812" s="1738"/>
      <c r="D812" s="1866" t="s">
        <v>2279</v>
      </c>
      <c r="E812" s="1866"/>
      <c r="F812" s="1866"/>
      <c r="G812" s="678"/>
      <c r="I812" s="1772" t="s">
        <v>2473</v>
      </c>
    </row>
    <row r="813" spans="1:9" ht="14.25" customHeight="1">
      <c r="A813" s="1723"/>
      <c r="B813" s="1723"/>
      <c r="C813" s="1738"/>
      <c r="D813" s="5" t="s">
        <v>2255</v>
      </c>
      <c r="E813" s="1875" t="s">
        <v>2280</v>
      </c>
      <c r="F813" s="1875"/>
      <c r="G813" s="678"/>
    </row>
    <row r="814" spans="1:9" ht="12.75" customHeight="1">
      <c r="A814" s="1723"/>
      <c r="B814" s="1723"/>
      <c r="C814" s="1738"/>
      <c r="D814" s="1741"/>
      <c r="E814" s="6"/>
      <c r="F814" s="6"/>
      <c r="G814" s="678"/>
    </row>
    <row r="815" spans="1:9" ht="14.25" hidden="1" customHeight="1">
      <c r="A815" s="1723"/>
      <c r="B815" s="798" t="s">
        <v>316</v>
      </c>
      <c r="C815" s="1738"/>
      <c r="D815" s="1973" t="s">
        <v>2281</v>
      </c>
      <c r="E815" s="1973"/>
      <c r="F815" s="1973"/>
      <c r="G815" s="678"/>
    </row>
    <row r="816" spans="1:9" ht="12.75" hidden="1" customHeight="1">
      <c r="A816" s="1723"/>
      <c r="B816" s="1723"/>
      <c r="C816" s="1738"/>
      <c r="D816" s="1973"/>
      <c r="E816" s="1973"/>
      <c r="F816" s="1973"/>
      <c r="G816" s="678"/>
    </row>
    <row r="817" spans="1:9" ht="12.75" hidden="1" customHeight="1">
      <c r="A817" s="1723"/>
      <c r="B817" s="1723"/>
      <c r="C817" s="1738"/>
      <c r="D817" s="1973"/>
      <c r="E817" s="1973"/>
      <c r="F817" s="1973"/>
      <c r="G817" s="678"/>
    </row>
    <row r="818" spans="1:9" ht="12.75" hidden="1" customHeight="1">
      <c r="A818" s="1723"/>
      <c r="B818" s="1723"/>
      <c r="C818" s="1738"/>
      <c r="D818" s="1973"/>
      <c r="E818" s="1973"/>
      <c r="F818" s="1973"/>
      <c r="G818" s="678"/>
    </row>
    <row r="819" spans="1:9" ht="12.75" hidden="1" customHeight="1">
      <c r="A819" s="1723"/>
      <c r="B819" s="1723"/>
      <c r="C819" s="1738"/>
      <c r="D819" s="1973"/>
      <c r="E819" s="1973"/>
      <c r="F819" s="1973"/>
      <c r="G819" s="678"/>
    </row>
    <row r="820" spans="1:9" ht="12.75" hidden="1" customHeight="1">
      <c r="A820" s="1723"/>
      <c r="B820" s="1723"/>
      <c r="C820" s="1738"/>
      <c r="D820" s="1973"/>
      <c r="E820" s="1973"/>
      <c r="F820" s="1973"/>
      <c r="G820" s="678"/>
    </row>
    <row r="821" spans="1:9" ht="12.75" hidden="1" customHeight="1">
      <c r="A821" s="1723"/>
      <c r="B821" s="1723"/>
      <c r="C821" s="1738"/>
      <c r="D821" s="1973"/>
      <c r="E821" s="1973"/>
      <c r="F821" s="1973"/>
      <c r="G821" s="678"/>
    </row>
    <row r="822" spans="1:9" ht="12.75" hidden="1" customHeight="1">
      <c r="A822" s="1723"/>
      <c r="B822" s="1723"/>
      <c r="C822" s="1738"/>
      <c r="D822" s="1973"/>
      <c r="E822" s="1973"/>
      <c r="F822" s="1973"/>
      <c r="G822" s="678"/>
    </row>
    <row r="823" spans="1:9" ht="12.75" hidden="1" customHeight="1">
      <c r="A823" s="1723"/>
      <c r="B823" s="1723"/>
      <c r="C823" s="1738"/>
      <c r="D823" s="1973"/>
      <c r="E823" s="1973"/>
      <c r="F823" s="1973"/>
      <c r="G823" s="678"/>
    </row>
    <row r="824" spans="1:9" ht="12.75" hidden="1" customHeight="1">
      <c r="A824" s="1723"/>
      <c r="B824" s="1723"/>
      <c r="C824" s="1738"/>
      <c r="D824" s="1973"/>
      <c r="E824" s="1973"/>
      <c r="F824" s="1973"/>
      <c r="G824" s="678"/>
    </row>
    <row r="825" spans="1:9" ht="12.75" hidden="1" customHeight="1">
      <c r="A825" s="1723"/>
      <c r="B825" s="1723"/>
      <c r="C825" s="1738"/>
      <c r="D825" s="1741"/>
      <c r="E825" s="6"/>
      <c r="F825" s="6"/>
      <c r="G825" s="678"/>
    </row>
    <row r="826" spans="1:9" ht="12.75" customHeight="1">
      <c r="A826" s="714"/>
      <c r="B826" s="798" t="s">
        <v>316</v>
      </c>
      <c r="C826" s="1738"/>
      <c r="D826" s="1866" t="s">
        <v>2282</v>
      </c>
      <c r="E826" s="1866"/>
      <c r="F826" s="1866"/>
      <c r="G826" s="678"/>
      <c r="I826" s="1772" t="s">
        <v>2493</v>
      </c>
    </row>
    <row r="827" spans="1:9" ht="12.75" customHeight="1">
      <c r="A827" s="714"/>
      <c r="B827" s="714"/>
      <c r="C827" s="1738"/>
      <c r="D827" s="1866"/>
      <c r="E827" s="1866"/>
      <c r="F827" s="1866"/>
      <c r="G827" s="678"/>
    </row>
    <row r="828" spans="1:9" ht="12.75" customHeight="1">
      <c r="A828" s="714"/>
      <c r="B828" s="714"/>
      <c r="C828" s="1738"/>
      <c r="D828" s="1866"/>
      <c r="E828" s="1866"/>
      <c r="F828" s="1866"/>
      <c r="G828" s="678"/>
    </row>
    <row r="829" spans="1:9" ht="12.75" customHeight="1">
      <c r="A829" s="403"/>
      <c r="B829" s="403"/>
      <c r="C829" s="1742"/>
      <c r="D829" s="1719"/>
      <c r="E829" s="678"/>
      <c r="F829" s="678"/>
      <c r="G829" s="678"/>
    </row>
    <row r="830" spans="1:9" ht="12.75" customHeight="1">
      <c r="A830" s="1743"/>
      <c r="B830" s="798" t="s">
        <v>316</v>
      </c>
      <c r="C830" s="1742"/>
      <c r="D830" s="1971" t="s">
        <v>2283</v>
      </c>
      <c r="E830" s="1971"/>
      <c r="F830" s="1971"/>
      <c r="G830" s="678"/>
    </row>
    <row r="831" spans="1:9" ht="12.75" customHeight="1">
      <c r="A831" s="556"/>
      <c r="B831" s="1743"/>
      <c r="C831" s="1742"/>
      <c r="D831" s="1971"/>
      <c r="E831" s="1971"/>
      <c r="F831" s="1971"/>
      <c r="G831" s="678"/>
    </row>
    <row r="832" spans="1:9" ht="12.75" customHeight="1">
      <c r="A832" s="403"/>
      <c r="B832" s="556"/>
      <c r="C832" s="1742"/>
      <c r="D832" s="1867" t="s">
        <v>2284</v>
      </c>
      <c r="E832" s="1867"/>
      <c r="F832" s="1867"/>
      <c r="G832" s="678"/>
    </row>
    <row r="833" spans="1:9" ht="12.75" customHeight="1">
      <c r="A833" s="403"/>
      <c r="B833" s="403"/>
      <c r="C833" s="1742"/>
      <c r="D833" s="1867"/>
      <c r="E833" s="1867"/>
      <c r="F833" s="1867"/>
      <c r="G833" s="678"/>
    </row>
    <row r="834" spans="1:9" ht="12.75" customHeight="1">
      <c r="A834" s="403"/>
      <c r="B834" s="403"/>
      <c r="C834" s="1742"/>
      <c r="D834" s="1867"/>
      <c r="E834" s="1867"/>
      <c r="F834" s="1867"/>
      <c r="G834" s="678"/>
    </row>
    <row r="835" spans="1:9" ht="12.75" customHeight="1">
      <c r="A835" s="403"/>
      <c r="B835" s="403"/>
      <c r="C835" s="1742"/>
      <c r="D835" s="1867"/>
      <c r="E835" s="1867"/>
      <c r="F835" s="1867"/>
      <c r="G835" s="678"/>
    </row>
    <row r="836" spans="1:9" ht="12.75" customHeight="1">
      <c r="A836" s="403"/>
      <c r="B836" s="403"/>
      <c r="C836" s="1742"/>
      <c r="D836" s="1867"/>
      <c r="E836" s="1867"/>
      <c r="F836" s="1867"/>
      <c r="G836" s="678"/>
    </row>
    <row r="837" spans="1:9" ht="12.75" customHeight="1">
      <c r="A837" s="403"/>
      <c r="B837" s="403"/>
      <c r="C837" s="1742"/>
      <c r="D837" s="1867"/>
      <c r="E837" s="1867"/>
      <c r="F837" s="1867"/>
      <c r="G837" s="678"/>
    </row>
    <row r="838" spans="1:9" ht="12.75" customHeight="1">
      <c r="A838" s="403"/>
      <c r="B838" s="403"/>
      <c r="C838" s="1742"/>
      <c r="D838" s="1719"/>
      <c r="E838" s="678"/>
      <c r="F838" s="678"/>
      <c r="G838" s="678"/>
    </row>
    <row r="839" spans="1:9" ht="12.75" customHeight="1">
      <c r="A839" s="403"/>
      <c r="B839" s="798" t="s">
        <v>2626</v>
      </c>
      <c r="C839" s="1742"/>
      <c r="D839" s="1867" t="s">
        <v>2285</v>
      </c>
      <c r="E839" s="1867"/>
      <c r="F839" s="1867"/>
      <c r="G839" s="678"/>
      <c r="I839" s="1772" t="s">
        <v>2474</v>
      </c>
    </row>
    <row r="840" spans="1:9" ht="12.75" customHeight="1">
      <c r="A840" s="403"/>
      <c r="B840" s="403"/>
      <c r="C840" s="1742"/>
      <c r="D840" s="1867" t="s">
        <v>2286</v>
      </c>
      <c r="E840" s="1867"/>
      <c r="F840" s="1867"/>
      <c r="G840" s="678"/>
    </row>
    <row r="841" spans="1:9" ht="12.75" customHeight="1">
      <c r="A841" s="403"/>
      <c r="B841" s="403"/>
      <c r="C841" s="1742"/>
      <c r="D841" s="183" t="s">
        <v>2252</v>
      </c>
      <c r="E841" s="1965" t="s">
        <v>2287</v>
      </c>
      <c r="F841" s="1965"/>
      <c r="G841" s="678"/>
    </row>
    <row r="842" spans="1:9" ht="12.75" customHeight="1">
      <c r="A842" s="403"/>
      <c r="B842" s="403"/>
      <c r="C842" s="1742"/>
      <c r="D842" s="1719"/>
      <c r="E842" s="678"/>
      <c r="F842" s="678"/>
      <c r="G842" s="678"/>
    </row>
    <row r="843" spans="1:9" ht="12.75" customHeight="1">
      <c r="A843" s="403"/>
      <c r="B843" s="798" t="s">
        <v>2626</v>
      </c>
      <c r="C843" s="1742"/>
      <c r="D843" s="1867" t="s">
        <v>2288</v>
      </c>
      <c r="E843" s="1867"/>
      <c r="F843" s="1867"/>
      <c r="G843" s="678"/>
      <c r="I843" s="1772" t="s">
        <v>2494</v>
      </c>
    </row>
    <row r="844" spans="1:9" ht="12.75" customHeight="1">
      <c r="A844" s="403"/>
      <c r="B844" s="403"/>
      <c r="C844" s="1742"/>
      <c r="D844" s="1867"/>
      <c r="E844" s="1867"/>
      <c r="F844" s="1867"/>
      <c r="G844" s="678"/>
    </row>
    <row r="845" spans="1:9" ht="12.75" customHeight="1">
      <c r="A845" s="403"/>
      <c r="B845" s="403"/>
      <c r="C845" s="1742"/>
      <c r="D845" s="1867"/>
      <c r="E845" s="1867"/>
      <c r="F845" s="1867"/>
      <c r="G845" s="678"/>
    </row>
    <row r="846" spans="1:9" ht="12.75" customHeight="1">
      <c r="A846" s="403"/>
      <c r="B846" s="403"/>
      <c r="C846" s="1742"/>
      <c r="D846" s="1867"/>
      <c r="E846" s="1867"/>
      <c r="F846" s="1867"/>
      <c r="G846" s="678"/>
    </row>
    <row r="847" spans="1:9" ht="12.75" customHeight="1">
      <c r="A847" s="1712"/>
      <c r="B847" s="1712"/>
      <c r="C847" s="1744"/>
      <c r="D847" s="1706"/>
      <c r="E847" s="6"/>
      <c r="F847" s="6"/>
      <c r="G847" s="678"/>
    </row>
    <row r="848" spans="1:9" ht="12.75" customHeight="1">
      <c r="A848" s="1718" t="s">
        <v>2289</v>
      </c>
      <c r="B848" s="1718"/>
      <c r="C848" s="1745"/>
      <c r="D848" s="1745"/>
      <c r="E848" s="1745"/>
      <c r="F848" s="1745"/>
      <c r="G848" s="1746"/>
      <c r="H848" s="1851"/>
      <c r="I848" s="1852"/>
    </row>
    <row r="849" spans="1:9" ht="12.75" customHeight="1">
      <c r="A849" s="1712"/>
      <c r="B849" s="1712"/>
      <c r="C849" s="1744"/>
      <c r="D849" s="1747"/>
      <c r="E849" s="6"/>
      <c r="F849" s="6"/>
      <c r="G849" s="678"/>
    </row>
    <row r="850" spans="1:9" ht="12.75" customHeight="1">
      <c r="A850" s="1740"/>
      <c r="B850" s="1740"/>
      <c r="C850" s="313"/>
      <c r="D850" s="1889" t="s">
        <v>2327</v>
      </c>
      <c r="E850" s="1889"/>
      <c r="F850" s="1889"/>
      <c r="G850" s="1737"/>
    </row>
    <row r="851" spans="1:9" ht="12.75" customHeight="1">
      <c r="A851" s="1740"/>
      <c r="B851" s="1740"/>
      <c r="C851" s="313"/>
      <c r="D851" s="1972" t="s">
        <v>2290</v>
      </c>
      <c r="E851" s="1972"/>
      <c r="F851" s="1972"/>
      <c r="G851" s="1737"/>
    </row>
    <row r="852" spans="1:9" ht="12.75" customHeight="1">
      <c r="A852" s="1740"/>
      <c r="B852" s="1740"/>
      <c r="C852" s="313"/>
      <c r="D852" s="1748"/>
      <c r="E852" s="1748"/>
      <c r="F852" s="1748"/>
      <c r="G852" s="1737"/>
    </row>
    <row r="853" spans="1:9" ht="12.75" customHeight="1">
      <c r="A853" s="714"/>
      <c r="B853" s="798" t="s">
        <v>2623</v>
      </c>
      <c r="C853" s="556"/>
      <c r="D853" s="1879" t="s">
        <v>2291</v>
      </c>
      <c r="E853" s="1879"/>
      <c r="F853" s="1879"/>
      <c r="G853" s="1737"/>
      <c r="I853" s="1772" t="s">
        <v>2474</v>
      </c>
    </row>
    <row r="854" spans="1:9" ht="12.75" customHeight="1">
      <c r="A854" s="1740"/>
      <c r="B854" s="1740"/>
      <c r="C854" s="556"/>
      <c r="D854" s="5" t="s">
        <v>2252</v>
      </c>
      <c r="E854" s="1967" t="s">
        <v>2287</v>
      </c>
      <c r="F854" s="1967"/>
      <c r="G854" s="1737"/>
    </row>
    <row r="855" spans="1:9" ht="12.75" customHeight="1">
      <c r="A855" s="1740"/>
      <c r="B855" s="1740"/>
      <c r="C855" s="556"/>
      <c r="D855" s="1706"/>
      <c r="E855" s="1736"/>
      <c r="F855" s="1736"/>
      <c r="G855" s="1737"/>
    </row>
    <row r="856" spans="1:9" ht="12.75" customHeight="1">
      <c r="A856" s="714"/>
      <c r="B856" s="798" t="s">
        <v>2623</v>
      </c>
      <c r="C856" s="556"/>
      <c r="D856" s="1866" t="s">
        <v>2292</v>
      </c>
      <c r="E856" s="1890"/>
      <c r="F856" s="1890"/>
      <c r="G856" s="678"/>
      <c r="I856" s="1772" t="s">
        <v>2494</v>
      </c>
    </row>
    <row r="857" spans="1:9" ht="12.75" customHeight="1">
      <c r="A857" s="1740"/>
      <c r="B857" s="1740"/>
      <c r="C857" s="556"/>
      <c r="D857" s="1890"/>
      <c r="E857" s="1890"/>
      <c r="F857" s="1890"/>
      <c r="G857" s="678"/>
    </row>
    <row r="858" spans="1:9" ht="12.75" customHeight="1">
      <c r="A858" s="1740"/>
      <c r="B858" s="1740"/>
      <c r="C858" s="556"/>
      <c r="D858" s="1706"/>
      <c r="E858" s="6"/>
      <c r="F858" s="6"/>
      <c r="G858" s="678"/>
    </row>
    <row r="859" spans="1:9" ht="12.75" customHeight="1">
      <c r="A859" s="556"/>
      <c r="B859" s="798" t="s">
        <v>2626</v>
      </c>
      <c r="C859" s="557"/>
      <c r="D859" s="1968" t="s">
        <v>2293</v>
      </c>
      <c r="E859" s="1968"/>
      <c r="F859" s="1968"/>
      <c r="G859" s="1737"/>
    </row>
    <row r="860" spans="1:9" ht="12.75" customHeight="1">
      <c r="A860" s="556"/>
      <c r="B860" s="1749"/>
      <c r="C860" s="557"/>
      <c r="D860" s="1968"/>
      <c r="E860" s="1968"/>
      <c r="F860" s="1968"/>
      <c r="G860" s="1737"/>
    </row>
    <row r="861" spans="1:9" ht="12.75" customHeight="1">
      <c r="A861" s="714"/>
      <c r="B861" s="677"/>
      <c r="C861" s="556"/>
      <c r="D861" s="1867" t="s">
        <v>2284</v>
      </c>
      <c r="E861" s="1867"/>
      <c r="F861" s="1867"/>
      <c r="G861" s="1737"/>
    </row>
    <row r="862" spans="1:9" ht="12.75" customHeight="1">
      <c r="A862" s="714"/>
      <c r="B862" s="714"/>
      <c r="C862" s="556"/>
      <c r="D862" s="1867"/>
      <c r="E862" s="1867"/>
      <c r="F862" s="1867"/>
      <c r="G862" s="1737"/>
    </row>
    <row r="863" spans="1:9" ht="12.75" customHeight="1">
      <c r="A863" s="714"/>
      <c r="B863" s="714"/>
      <c r="C863" s="556"/>
      <c r="D863" s="1867"/>
      <c r="E863" s="1867"/>
      <c r="F863" s="1867"/>
      <c r="G863" s="1737"/>
    </row>
    <row r="864" spans="1:9" ht="12.75" customHeight="1">
      <c r="A864" s="714"/>
      <c r="B864" s="714"/>
      <c r="C864" s="556"/>
      <c r="D864" s="1867"/>
      <c r="E864" s="1867"/>
      <c r="F864" s="1867"/>
      <c r="G864" s="1737"/>
    </row>
    <row r="865" spans="1:9" ht="12.75" customHeight="1">
      <c r="A865" s="714"/>
      <c r="B865" s="714"/>
      <c r="C865" s="556"/>
      <c r="D865" s="1867"/>
      <c r="E865" s="1867"/>
      <c r="F865" s="1867"/>
      <c r="G865" s="1737"/>
    </row>
    <row r="866" spans="1:9" ht="12.75" customHeight="1">
      <c r="A866" s="714"/>
      <c r="B866" s="714"/>
      <c r="C866" s="556"/>
      <c r="D866" s="1867"/>
      <c r="E866" s="1867"/>
      <c r="F866" s="1867"/>
      <c r="G866" s="1737"/>
    </row>
    <row r="867" spans="1:9" ht="12.75" customHeight="1">
      <c r="A867" s="714"/>
      <c r="B867" s="714"/>
      <c r="C867" s="556"/>
      <c r="D867" s="1706"/>
      <c r="E867" s="1736"/>
      <c r="F867" s="1736"/>
      <c r="G867" s="1737"/>
    </row>
    <row r="868" spans="1:9" ht="12.75" customHeight="1">
      <c r="A868" s="714"/>
      <c r="B868" s="798" t="s">
        <v>2626</v>
      </c>
      <c r="C868" s="556"/>
      <c r="D868" s="1932" t="s">
        <v>2285</v>
      </c>
      <c r="E868" s="1932"/>
      <c r="F868" s="1932"/>
      <c r="G868" s="1737"/>
      <c r="I868" s="1772" t="s">
        <v>2474</v>
      </c>
    </row>
    <row r="869" spans="1:9" ht="12.75" customHeight="1">
      <c r="A869" s="714"/>
      <c r="B869" s="714"/>
      <c r="C869" s="556"/>
      <c r="D869" s="1932" t="s">
        <v>2286</v>
      </c>
      <c r="E869" s="1932"/>
      <c r="F869" s="1932"/>
      <c r="G869" s="1737"/>
    </row>
    <row r="870" spans="1:9" ht="12.75" customHeight="1">
      <c r="A870" s="714"/>
      <c r="B870" s="714"/>
      <c r="C870" s="556"/>
      <c r="D870" s="5" t="s">
        <v>1504</v>
      </c>
      <c r="E870" s="1969" t="s">
        <v>2287</v>
      </c>
      <c r="F870" s="1969"/>
      <c r="G870" s="1737"/>
    </row>
    <row r="871" spans="1:9" ht="12.75" customHeight="1">
      <c r="A871" s="714"/>
      <c r="B871" s="714"/>
      <c r="C871" s="556"/>
      <c r="D871" s="1706"/>
      <c r="E871" s="1736"/>
      <c r="F871" s="1736"/>
      <c r="G871" s="1737"/>
    </row>
    <row r="872" spans="1:9" ht="12.75" customHeight="1">
      <c r="A872" s="714"/>
      <c r="B872" s="798" t="s">
        <v>2626</v>
      </c>
      <c r="C872" s="556"/>
      <c r="D872" s="1866" t="s">
        <v>2288</v>
      </c>
      <c r="E872" s="1866"/>
      <c r="F872" s="1866"/>
      <c r="G872" s="1737"/>
      <c r="I872" s="1772" t="s">
        <v>2494</v>
      </c>
    </row>
    <row r="873" spans="1:9" ht="12.75" customHeight="1">
      <c r="A873" s="714"/>
      <c r="B873" s="714"/>
      <c r="C873" s="556"/>
      <c r="D873" s="1866"/>
      <c r="E873" s="1866"/>
      <c r="F873" s="1866"/>
      <c r="G873" s="1737"/>
    </row>
    <row r="874" spans="1:9" ht="12.75" customHeight="1">
      <c r="A874" s="714"/>
      <c r="B874" s="714"/>
      <c r="C874" s="556"/>
      <c r="D874" s="1866"/>
      <c r="E874" s="1866"/>
      <c r="F874" s="1866"/>
      <c r="G874" s="1737"/>
    </row>
    <row r="875" spans="1:9" ht="12.75" customHeight="1">
      <c r="A875" s="714"/>
      <c r="B875" s="714"/>
      <c r="C875" s="556"/>
      <c r="D875" s="1866"/>
      <c r="E875" s="1866"/>
      <c r="F875" s="1866"/>
      <c r="G875" s="1737"/>
    </row>
    <row r="876" spans="1:9" ht="12.75" customHeight="1">
      <c r="A876" s="1707"/>
      <c r="B876" s="1707"/>
      <c r="C876" s="1738"/>
      <c r="D876" s="1736"/>
      <c r="E876" s="1736"/>
      <c r="F876" s="1736"/>
      <c r="G876" s="1737"/>
    </row>
    <row r="877" spans="1:9" ht="12.75" customHeight="1">
      <c r="A877" s="1935" t="s">
        <v>2328</v>
      </c>
      <c r="B877" s="1935"/>
      <c r="C877" s="1935"/>
      <c r="D877" s="1935"/>
      <c r="E877" s="1935"/>
      <c r="F877" s="1935"/>
      <c r="G877" s="1935"/>
      <c r="H877" s="1851"/>
      <c r="I877" s="1852"/>
    </row>
    <row r="878" spans="1:9" s="1770" customFormat="1" ht="12.75" customHeight="1">
      <c r="A878" s="93"/>
      <c r="B878" s="93"/>
      <c r="C878" s="93"/>
      <c r="D878" s="93"/>
      <c r="E878" s="93"/>
      <c r="F878" s="93"/>
      <c r="G878" s="93"/>
      <c r="I878" s="1772"/>
    </row>
    <row r="879" spans="1:9" s="1770" customFormat="1" ht="12.75" customHeight="1">
      <c r="A879" s="93"/>
      <c r="B879" s="93"/>
      <c r="C879" s="93"/>
      <c r="D879" s="1925" t="s">
        <v>2334</v>
      </c>
      <c r="E879" s="1925"/>
      <c r="F879" s="1925"/>
      <c r="G879" s="93"/>
      <c r="I879" s="1772"/>
    </row>
    <row r="880" spans="1:9" s="1770" customFormat="1" ht="12.75" customHeight="1">
      <c r="A880" s="93"/>
      <c r="B880" s="93"/>
      <c r="C880" s="93"/>
      <c r="D880" s="1714"/>
      <c r="E880" s="1714"/>
      <c r="F880" s="1714"/>
      <c r="G880" s="93"/>
      <c r="I880" s="1772"/>
    </row>
    <row r="881" spans="1:9" s="1770" customFormat="1" ht="12.75" customHeight="1">
      <c r="A881" s="93"/>
      <c r="B881" s="1773" t="s">
        <v>2623</v>
      </c>
      <c r="C881" s="93"/>
      <c r="D881" s="1720" t="s">
        <v>2335</v>
      </c>
      <c r="E881" s="1714"/>
      <c r="F881" s="1714"/>
      <c r="G881" s="93"/>
      <c r="I881" s="1772" t="s">
        <v>2508</v>
      </c>
    </row>
    <row r="882" spans="1:9" s="1770" customFormat="1" ht="12.75" customHeight="1">
      <c r="A882" s="93"/>
      <c r="B882" s="93"/>
      <c r="C882" s="93"/>
      <c r="D882" s="1714"/>
      <c r="E882" s="1714"/>
      <c r="F882" s="1714"/>
      <c r="G882" s="93"/>
      <c r="I882" s="1772"/>
    </row>
    <row r="883" spans="1:9" ht="12.75" customHeight="1">
      <c r="A883" s="1740"/>
      <c r="B883" s="1740"/>
      <c r="C883" s="1738"/>
      <c r="D883" s="1925" t="s">
        <v>2329</v>
      </c>
      <c r="E883" s="1925"/>
      <c r="F883" s="1925"/>
      <c r="G883" s="1737"/>
    </row>
    <row r="884" spans="1:9" ht="12.75" customHeight="1">
      <c r="A884" s="1712"/>
      <c r="B884" s="1712"/>
      <c r="C884" s="1744"/>
      <c r="D884" s="1879" t="s">
        <v>2294</v>
      </c>
      <c r="E884" s="1879"/>
      <c r="F884" s="1879"/>
      <c r="G884" s="1737"/>
    </row>
    <row r="885" spans="1:9" ht="12.75" customHeight="1">
      <c r="A885" s="1754"/>
      <c r="B885" s="1754"/>
      <c r="C885" s="1738"/>
      <c r="D885" s="5"/>
      <c r="E885" s="1736"/>
      <c r="F885" s="1736"/>
      <c r="G885" s="1737"/>
    </row>
    <row r="886" spans="1:9" ht="12.75" customHeight="1">
      <c r="A886" s="714"/>
      <c r="B886" s="798" t="s">
        <v>2623</v>
      </c>
      <c r="C886" s="556"/>
      <c r="D886" s="1866" t="s">
        <v>2298</v>
      </c>
      <c r="E886" s="1866"/>
      <c r="F886" s="1866"/>
      <c r="G886" s="678"/>
      <c r="I886" s="1772" t="s">
        <v>2458</v>
      </c>
    </row>
    <row r="887" spans="1:9" ht="12.75" customHeight="1">
      <c r="A887" s="1740"/>
      <c r="B887" s="1740"/>
      <c r="C887" s="556"/>
      <c r="D887" s="1866"/>
      <c r="E887" s="1866"/>
      <c r="F887" s="1866"/>
      <c r="G887" s="678"/>
    </row>
    <row r="888" spans="1:9" s="1770" customFormat="1" ht="12.75" customHeight="1">
      <c r="A888" s="1844"/>
      <c r="B888" s="1844"/>
      <c r="C888" s="1744"/>
      <c r="D888" s="1866" t="s">
        <v>2297</v>
      </c>
      <c r="E888" s="1866"/>
      <c r="F888" s="1866"/>
      <c r="G888" s="1737"/>
      <c r="I888" s="1772"/>
    </row>
    <row r="889" spans="1:9" s="1770" customFormat="1" ht="12.75" customHeight="1">
      <c r="A889" s="1844"/>
      <c r="B889" s="1844"/>
      <c r="C889" s="1744"/>
      <c r="D889" s="1866"/>
      <c r="E889" s="1866"/>
      <c r="F889" s="1866"/>
      <c r="G889" s="1737"/>
      <c r="I889" s="1772"/>
    </row>
    <row r="890" spans="1:9" ht="12.75" customHeight="1">
      <c r="A890" s="1712"/>
      <c r="B890" s="1712"/>
      <c r="C890" s="1744"/>
      <c r="D890" s="6"/>
      <c r="E890" s="6"/>
      <c r="F890" s="1736"/>
      <c r="G890" s="1737"/>
    </row>
    <row r="891" spans="1:9" ht="12.75" customHeight="1">
      <c r="A891" s="403"/>
      <c r="B891" s="798" t="s">
        <v>2623</v>
      </c>
      <c r="C891" s="486"/>
      <c r="D891" s="1965" t="s">
        <v>2295</v>
      </c>
      <c r="E891" s="1965"/>
      <c r="F891" s="1965"/>
      <c r="G891" s="1737"/>
      <c r="I891" s="1772" t="s">
        <v>2457</v>
      </c>
    </row>
    <row r="892" spans="1:9" ht="12.75" customHeight="1">
      <c r="A892" s="403"/>
      <c r="B892" s="403"/>
      <c r="C892" s="486"/>
      <c r="D892" s="1965"/>
      <c r="E892" s="1965"/>
      <c r="F892" s="1965"/>
      <c r="G892" s="1737"/>
    </row>
    <row r="893" spans="1:9" ht="12.75" customHeight="1">
      <c r="A893" s="403"/>
      <c r="B893" s="403"/>
      <c r="C893" s="486"/>
      <c r="D893" s="1965"/>
      <c r="E893" s="1965"/>
      <c r="F893" s="1965"/>
      <c r="G893" s="1737"/>
    </row>
    <row r="894" spans="1:9" s="1770" customFormat="1" ht="12.75" customHeight="1">
      <c r="A894" s="403"/>
      <c r="B894" s="403"/>
      <c r="C894" s="486"/>
      <c r="D894" s="1965"/>
      <c r="E894" s="1965"/>
      <c r="F894" s="1965"/>
      <c r="G894" s="1737"/>
      <c r="I894" s="1772"/>
    </row>
    <row r="895" spans="1:9" ht="12.75" customHeight="1">
      <c r="A895" s="403"/>
      <c r="B895" s="403"/>
      <c r="C895" s="486"/>
      <c r="D895" s="1965"/>
      <c r="E895" s="1965"/>
      <c r="F895" s="1965"/>
      <c r="G895" s="1737"/>
    </row>
    <row r="896" spans="1:9" ht="12.75" customHeight="1">
      <c r="A896" s="487"/>
      <c r="B896" s="487"/>
      <c r="C896" s="486"/>
      <c r="D896" s="1965"/>
      <c r="E896" s="1965"/>
      <c r="F896" s="1965"/>
      <c r="G896" s="1737"/>
    </row>
    <row r="897" spans="1:9" ht="12.75" customHeight="1">
      <c r="A897" s="487"/>
      <c r="B897" s="487"/>
      <c r="C897" s="486"/>
      <c r="D897" s="1965"/>
      <c r="E897" s="1965"/>
      <c r="F897" s="1965"/>
      <c r="G897" s="1737"/>
    </row>
    <row r="898" spans="1:9" ht="12.75" customHeight="1">
      <c r="A898" s="487"/>
      <c r="B898" s="487"/>
      <c r="C898" s="486"/>
      <c r="D898" s="1965"/>
      <c r="E898" s="1965"/>
      <c r="F898" s="1965"/>
      <c r="G898" s="1737"/>
    </row>
    <row r="899" spans="1:9" s="1770" customFormat="1" ht="12.75" customHeight="1">
      <c r="A899" s="487"/>
      <c r="B899" s="487"/>
      <c r="C899" s="486"/>
      <c r="D899" s="1845"/>
      <c r="E899" s="1845"/>
      <c r="F899" s="1845"/>
      <c r="G899" s="1737"/>
      <c r="I899" s="1772"/>
    </row>
    <row r="900" spans="1:9" ht="12.75" customHeight="1">
      <c r="A900" s="1754"/>
      <c r="B900" s="798" t="s">
        <v>2626</v>
      </c>
      <c r="C900" s="1738"/>
      <c r="D900" s="1866" t="s">
        <v>2299</v>
      </c>
      <c r="E900" s="1866"/>
      <c r="F900" s="1866"/>
      <c r="G900" s="1737"/>
    </row>
    <row r="901" spans="1:9" ht="12.75" customHeight="1">
      <c r="A901" s="1754"/>
      <c r="B901" s="1754"/>
      <c r="C901" s="1738"/>
      <c r="D901" s="1866"/>
      <c r="E901" s="1866"/>
      <c r="F901" s="1866"/>
      <c r="G901" s="1737"/>
    </row>
    <row r="902" spans="1:9" ht="12.75" customHeight="1">
      <c r="A902" s="1754"/>
      <c r="B902" s="1754"/>
      <c r="C902" s="1738"/>
      <c r="D902" s="1736"/>
      <c r="E902" s="1736"/>
      <c r="F902" s="1736"/>
      <c r="G902" s="1737"/>
    </row>
    <row r="903" spans="1:9" ht="12.75" customHeight="1">
      <c r="A903" s="1754"/>
      <c r="B903" s="798" t="s">
        <v>2626</v>
      </c>
      <c r="C903" s="1738"/>
      <c r="D903" s="1923" t="s">
        <v>2300</v>
      </c>
      <c r="E903" s="1923"/>
      <c r="F903" s="1923"/>
      <c r="G903" s="1737"/>
    </row>
    <row r="904" spans="1:9" ht="12.75" customHeight="1">
      <c r="A904" s="1754"/>
      <c r="B904" s="1754"/>
      <c r="C904" s="1738"/>
      <c r="D904" s="1923"/>
      <c r="E904" s="1923"/>
      <c r="F904" s="1923"/>
      <c r="G904" s="1737"/>
    </row>
    <row r="905" spans="1:9" ht="12.75" customHeight="1">
      <c r="A905" s="1754"/>
      <c r="B905" s="1754"/>
      <c r="C905" s="1738"/>
      <c r="D905" s="1923"/>
      <c r="E905" s="1923"/>
      <c r="F905" s="1923"/>
      <c r="G905" s="1737"/>
    </row>
    <row r="906" spans="1:9" ht="12.75" customHeight="1">
      <c r="A906" s="1754"/>
      <c r="B906" s="1754"/>
      <c r="C906" s="1738"/>
      <c r="D906" s="1923"/>
      <c r="E906" s="1923"/>
      <c r="F906" s="1923"/>
      <c r="G906" s="1737"/>
    </row>
    <row r="907" spans="1:9" ht="12.75" customHeight="1">
      <c r="A907" s="1754"/>
      <c r="B907" s="1754"/>
      <c r="C907" s="1738"/>
      <c r="D907" s="1706"/>
      <c r="E907" s="1736"/>
      <c r="F907" s="1736"/>
      <c r="G907" s="1737"/>
    </row>
    <row r="908" spans="1:9" ht="12.75" customHeight="1">
      <c r="A908" s="1754"/>
      <c r="B908" s="798" t="s">
        <v>2626</v>
      </c>
      <c r="C908" s="1738"/>
      <c r="D908" s="1879" t="s">
        <v>2301</v>
      </c>
      <c r="E908" s="1879"/>
      <c r="F908" s="1879"/>
      <c r="G908" s="1737"/>
    </row>
    <row r="909" spans="1:9" ht="12.75" customHeight="1">
      <c r="A909" s="1754"/>
      <c r="B909" s="1754"/>
      <c r="C909" s="1738"/>
      <c r="D909" s="1706"/>
      <c r="E909" s="1736"/>
      <c r="F909" s="1736"/>
      <c r="G909" s="1737"/>
    </row>
    <row r="910" spans="1:9" ht="12.75" customHeight="1">
      <c r="A910" s="1754"/>
      <c r="B910" s="798" t="s">
        <v>2626</v>
      </c>
      <c r="C910" s="1738"/>
      <c r="D910" s="1879" t="s">
        <v>2302</v>
      </c>
      <c r="E910" s="1879"/>
      <c r="F910" s="1879"/>
      <c r="G910" s="1737"/>
    </row>
    <row r="911" spans="1:9" ht="12.75" customHeight="1">
      <c r="A911" s="487"/>
      <c r="B911" s="487"/>
      <c r="C911" s="486"/>
      <c r="D911" s="183"/>
      <c r="E911" s="678"/>
      <c r="F911" s="1737"/>
      <c r="G911" s="1737"/>
    </row>
    <row r="912" spans="1:9" ht="12.75" customHeight="1">
      <c r="A912" s="1750"/>
      <c r="B912" s="798" t="s">
        <v>2626</v>
      </c>
      <c r="C912" s="1751"/>
      <c r="D912" s="1965" t="s">
        <v>2296</v>
      </c>
      <c r="E912" s="1965"/>
      <c r="F912" s="1965"/>
      <c r="G912" s="1752"/>
      <c r="I912" s="1772" t="s">
        <v>2509</v>
      </c>
    </row>
    <row r="913" spans="1:9" ht="12.75" customHeight="1">
      <c r="A913" s="1750"/>
      <c r="B913" s="1750"/>
      <c r="C913" s="1751"/>
      <c r="D913" s="1965"/>
      <c r="E913" s="1965"/>
      <c r="F913" s="1965"/>
      <c r="G913" s="1752"/>
    </row>
    <row r="914" spans="1:9" ht="12.75" customHeight="1">
      <c r="A914" s="1750"/>
      <c r="B914" s="1750"/>
      <c r="C914" s="1751"/>
      <c r="D914" s="1965"/>
      <c r="E914" s="1965"/>
      <c r="F914" s="1965"/>
      <c r="G914" s="1752"/>
    </row>
    <row r="915" spans="1:9" ht="12.75" customHeight="1">
      <c r="A915" s="1750"/>
      <c r="B915" s="1750"/>
      <c r="C915" s="1751"/>
      <c r="D915" s="1965"/>
      <c r="E915" s="1965"/>
      <c r="F915" s="1965"/>
      <c r="G915" s="1752"/>
    </row>
    <row r="916" spans="1:9" ht="12.75" customHeight="1">
      <c r="A916" s="1750"/>
      <c r="B916" s="1750"/>
      <c r="C916" s="1751"/>
      <c r="D916" s="1965"/>
      <c r="E916" s="1965"/>
      <c r="F916" s="1965"/>
      <c r="G916" s="1752"/>
    </row>
    <row r="917" spans="1:9" ht="12.75" customHeight="1">
      <c r="A917" s="1750"/>
      <c r="B917" s="1750"/>
      <c r="C917" s="1751"/>
      <c r="D917" s="1965"/>
      <c r="E917" s="1965"/>
      <c r="F917" s="1965"/>
      <c r="G917" s="1752"/>
    </row>
    <row r="918" spans="1:9" ht="12.75" customHeight="1">
      <c r="A918" s="1750"/>
      <c r="B918" s="1750"/>
      <c r="C918" s="1751"/>
      <c r="D918" s="1965"/>
      <c r="E918" s="1965"/>
      <c r="F918" s="1965"/>
      <c r="G918" s="1752"/>
    </row>
    <row r="919" spans="1:9" ht="12.75" customHeight="1">
      <c r="A919" s="1750"/>
      <c r="B919" s="1750"/>
      <c r="C919" s="1751"/>
      <c r="D919" s="1965"/>
      <c r="E919" s="1965"/>
      <c r="F919" s="1965"/>
      <c r="G919" s="1752"/>
    </row>
    <row r="920" spans="1:9" ht="12.75" customHeight="1">
      <c r="A920" s="1750"/>
      <c r="B920" s="1750"/>
      <c r="C920" s="1751"/>
      <c r="D920" s="1965"/>
      <c r="E920" s="1965"/>
      <c r="F920" s="1965"/>
      <c r="G920" s="1752"/>
    </row>
    <row r="921" spans="1:9" ht="12.75" customHeight="1">
      <c r="A921" s="487"/>
      <c r="B921" s="487"/>
      <c r="C921" s="486"/>
      <c r="D921" s="183"/>
      <c r="E921" s="678"/>
      <c r="F921" s="1737"/>
      <c r="G921" s="1737"/>
    </row>
    <row r="922" spans="1:9" ht="12.75" customHeight="1">
      <c r="A922" s="403"/>
      <c r="B922" s="798" t="s">
        <v>2623</v>
      </c>
      <c r="C922" s="486"/>
      <c r="D922" s="1966" t="s">
        <v>2512</v>
      </c>
      <c r="E922" s="1966"/>
      <c r="F922" s="1966"/>
      <c r="G922" s="1737"/>
      <c r="I922" s="1772" t="s">
        <v>2509</v>
      </c>
    </row>
    <row r="923" spans="1:9" ht="12.75" customHeight="1">
      <c r="A923" s="403"/>
      <c r="B923" s="403"/>
      <c r="C923" s="486"/>
      <c r="D923" s="1966"/>
      <c r="E923" s="1966"/>
      <c r="F923" s="1966"/>
      <c r="G923" s="1737"/>
    </row>
    <row r="924" spans="1:9" ht="12.75" customHeight="1">
      <c r="A924" s="403"/>
      <c r="B924" s="403"/>
      <c r="C924" s="486"/>
      <c r="D924" s="1966"/>
      <c r="E924" s="1966"/>
      <c r="F924" s="1966"/>
      <c r="G924" s="1737"/>
    </row>
    <row r="925" spans="1:9" ht="12.75" customHeight="1">
      <c r="A925" s="403"/>
      <c r="B925" s="403"/>
      <c r="C925" s="486"/>
      <c r="D925" s="1966"/>
      <c r="E925" s="1966"/>
      <c r="F925" s="1966"/>
      <c r="G925" s="1737"/>
    </row>
    <row r="926" spans="1:9" ht="12.75" customHeight="1">
      <c r="A926" s="403"/>
      <c r="B926" s="403"/>
      <c r="C926" s="486"/>
      <c r="D926" s="1966"/>
      <c r="E926" s="1966"/>
      <c r="F926" s="1966"/>
      <c r="G926" s="1737"/>
    </row>
    <row r="927" spans="1:9" ht="12.75" customHeight="1">
      <c r="A927" s="403"/>
      <c r="B927" s="403"/>
      <c r="C927" s="486"/>
      <c r="D927" s="1966"/>
      <c r="E927" s="1966"/>
      <c r="F927" s="1966"/>
      <c r="G927" s="1737"/>
    </row>
    <row r="928" spans="1:9" ht="12.75" customHeight="1">
      <c r="A928" s="403"/>
      <c r="B928" s="403"/>
      <c r="C928" s="486"/>
      <c r="D928" s="1966"/>
      <c r="E928" s="1966"/>
      <c r="F928" s="1966"/>
      <c r="G928" s="1737"/>
    </row>
    <row r="929" spans="1:9" s="1770" customFormat="1" ht="12.75" customHeight="1">
      <c r="A929" s="403"/>
      <c r="B929" s="403"/>
      <c r="C929" s="486"/>
      <c r="D929" s="1846"/>
      <c r="E929" s="1846"/>
      <c r="F929" s="1846"/>
      <c r="G929" s="1737"/>
      <c r="I929" s="1772"/>
    </row>
    <row r="930" spans="1:9" s="1770" customFormat="1" ht="12.75" customHeight="1">
      <c r="A930" s="403"/>
      <c r="B930" s="1773" t="s">
        <v>2626</v>
      </c>
      <c r="C930" s="486"/>
      <c r="D930" s="1878" t="s">
        <v>2510</v>
      </c>
      <c r="E930" s="1878"/>
      <c r="F930" s="1878"/>
      <c r="G930" s="1737"/>
      <c r="I930" s="1772"/>
    </row>
    <row r="931" spans="1:9" s="1770" customFormat="1" ht="12.75" customHeight="1">
      <c r="A931" s="403"/>
      <c r="B931" s="403"/>
      <c r="C931" s="486"/>
      <c r="D931" s="1878"/>
      <c r="E931" s="1878"/>
      <c r="F931" s="1878"/>
      <c r="G931" s="1737"/>
      <c r="I931" s="1772"/>
    </row>
    <row r="932" spans="1:9" s="1770" customFormat="1" ht="12.75" customHeight="1">
      <c r="A932" s="403"/>
      <c r="B932" s="403"/>
      <c r="C932" s="486"/>
      <c r="D932" s="1878"/>
      <c r="E932" s="1878"/>
      <c r="F932" s="1878"/>
      <c r="G932" s="1737"/>
      <c r="I932" s="1772"/>
    </row>
    <row r="933" spans="1:9" s="1770" customFormat="1" ht="12.75" customHeight="1">
      <c r="A933" s="403"/>
      <c r="B933" s="403"/>
      <c r="C933" s="486"/>
      <c r="D933" s="1878"/>
      <c r="E933" s="1878"/>
      <c r="F933" s="1878"/>
      <c r="G933" s="1737"/>
      <c r="I933" s="1772"/>
    </row>
    <row r="934" spans="1:9" s="1770" customFormat="1" ht="12.75" customHeight="1">
      <c r="A934" s="403"/>
      <c r="B934" s="403"/>
      <c r="C934" s="486"/>
      <c r="D934" s="1878"/>
      <c r="E934" s="1878"/>
      <c r="F934" s="1878"/>
      <c r="G934" s="1737"/>
      <c r="I934" s="1772"/>
    </row>
    <row r="935" spans="1:9" s="1770" customFormat="1" ht="12.75" customHeight="1">
      <c r="A935" s="403"/>
      <c r="B935" s="403"/>
      <c r="C935" s="486"/>
      <c r="D935" s="1878"/>
      <c r="E935" s="1878"/>
      <c r="F935" s="1878"/>
      <c r="G935" s="1737"/>
      <c r="I935" s="1772"/>
    </row>
    <row r="936" spans="1:9" s="1770" customFormat="1" ht="12.75" customHeight="1">
      <c r="A936" s="403"/>
      <c r="B936" s="403"/>
      <c r="C936" s="486"/>
      <c r="D936" s="1846"/>
      <c r="E936" s="1846"/>
      <c r="F936" s="1846"/>
      <c r="G936" s="1737"/>
      <c r="I936" s="1772"/>
    </row>
    <row r="937" spans="1:9" ht="12.75" customHeight="1">
      <c r="A937" s="1754"/>
      <c r="B937" s="798" t="s">
        <v>2626</v>
      </c>
      <c r="C937" s="1738"/>
      <c r="D937" s="1970" t="s">
        <v>2303</v>
      </c>
      <c r="E937" s="1970"/>
      <c r="F937" s="1970"/>
      <c r="G937" s="1737"/>
    </row>
    <row r="938" spans="1:9" ht="12.75" customHeight="1">
      <c r="A938" s="1754"/>
      <c r="B938" s="1754"/>
      <c r="C938" s="1738"/>
      <c r="D938" s="1970"/>
      <c r="E938" s="1970"/>
      <c r="F938" s="1970"/>
      <c r="G938" s="1737"/>
    </row>
    <row r="939" spans="1:9" ht="12.75" customHeight="1">
      <c r="A939" s="1754"/>
      <c r="B939" s="1754"/>
      <c r="C939" s="1738"/>
      <c r="D939" s="1970"/>
      <c r="E939" s="1970"/>
      <c r="F939" s="1970"/>
      <c r="G939" s="1737"/>
    </row>
    <row r="940" spans="1:9" s="1770" customFormat="1" ht="12.75" customHeight="1">
      <c r="A940" s="403"/>
      <c r="B940" s="403"/>
      <c r="C940" s="486"/>
      <c r="D940" s="1846"/>
      <c r="E940" s="1846"/>
      <c r="F940" s="1846"/>
      <c r="G940" s="1737"/>
      <c r="I940" s="1772"/>
    </row>
    <row r="941" spans="1:9" ht="12.75" customHeight="1">
      <c r="A941" s="403"/>
      <c r="B941" s="403"/>
      <c r="C941" s="486"/>
      <c r="D941" s="1753"/>
      <c r="E941" s="678"/>
      <c r="F941" s="1737"/>
      <c r="G941" s="1737"/>
    </row>
    <row r="942" spans="1:9" ht="12.75" customHeight="1">
      <c r="A942" s="403"/>
      <c r="B942" s="798" t="s">
        <v>2626</v>
      </c>
      <c r="C942" s="486"/>
      <c r="D942" s="1965" t="s">
        <v>2511</v>
      </c>
      <c r="E942" s="1965"/>
      <c r="F942" s="1965"/>
      <c r="G942" s="1737"/>
      <c r="I942" s="1772" t="s">
        <v>2509</v>
      </c>
    </row>
    <row r="943" spans="1:9" ht="12.75" customHeight="1">
      <c r="A943" s="403"/>
      <c r="B943" s="403"/>
      <c r="C943" s="486"/>
      <c r="D943" s="1965"/>
      <c r="E943" s="1965"/>
      <c r="F943" s="1965"/>
      <c r="G943" s="1737"/>
    </row>
    <row r="944" spans="1:9" ht="12.75" customHeight="1">
      <c r="A944" s="403"/>
      <c r="B944" s="403"/>
      <c r="C944" s="486"/>
      <c r="D944" s="1965"/>
      <c r="E944" s="1965"/>
      <c r="F944" s="1965"/>
      <c r="G944" s="1737"/>
    </row>
    <row r="945" spans="1:9" ht="12.75" customHeight="1">
      <c r="A945" s="403"/>
      <c r="B945" s="403"/>
      <c r="C945" s="486"/>
      <c r="D945" s="1965"/>
      <c r="E945" s="1965"/>
      <c r="F945" s="1965"/>
      <c r="G945" s="1737"/>
    </row>
    <row r="946" spans="1:9" ht="12.75" customHeight="1">
      <c r="A946" s="1756"/>
      <c r="B946" s="1756"/>
      <c r="C946" s="1742"/>
      <c r="D946" s="1703"/>
      <c r="E946" s="1703"/>
      <c r="F946" s="1703"/>
      <c r="G946" s="1703"/>
    </row>
    <row r="947" spans="1:9" ht="12.75" customHeight="1">
      <c r="A947" s="1740"/>
      <c r="B947" s="1740"/>
      <c r="C947" s="556"/>
      <c r="D947" s="1889" t="s">
        <v>2304</v>
      </c>
      <c r="E947" s="1889"/>
      <c r="F947" s="1889"/>
      <c r="G947" s="678"/>
    </row>
    <row r="948" spans="1:9" ht="12.75" customHeight="1">
      <c r="A948" s="714"/>
      <c r="B948" s="798" t="s">
        <v>2626</v>
      </c>
      <c r="C948" s="556"/>
      <c r="D948" s="1879" t="s">
        <v>2330</v>
      </c>
      <c r="E948" s="1879"/>
      <c r="F948" s="1879"/>
      <c r="G948" s="678"/>
      <c r="I948" s="1772" t="s">
        <v>2509</v>
      </c>
    </row>
    <row r="949" spans="1:9" ht="12.75" customHeight="1">
      <c r="A949" s="1740"/>
      <c r="B949" s="1740"/>
      <c r="C949" s="556"/>
      <c r="D949" s="6"/>
      <c r="E949" s="6"/>
      <c r="F949" s="6"/>
      <c r="G949" s="678"/>
    </row>
    <row r="950" spans="1:9" ht="12.75" customHeight="1">
      <c r="A950" s="1740"/>
      <c r="B950" s="1740"/>
      <c r="C950" s="556"/>
      <c r="D950" s="1889" t="s">
        <v>2305</v>
      </c>
      <c r="E950" s="1889"/>
      <c r="F950" s="1889"/>
      <c r="G950" s="677"/>
    </row>
    <row r="951" spans="1:9" ht="12.75" customHeight="1">
      <c r="A951" s="714"/>
      <c r="B951" s="798" t="s">
        <v>316</v>
      </c>
      <c r="C951" s="556"/>
      <c r="D951" s="1866" t="s">
        <v>2306</v>
      </c>
      <c r="E951" s="1866"/>
      <c r="F951" s="1866"/>
      <c r="G951" s="677"/>
      <c r="I951" s="1772" t="s">
        <v>2509</v>
      </c>
    </row>
    <row r="952" spans="1:9" ht="12.75" customHeight="1">
      <c r="A952" s="714"/>
      <c r="B952" s="714"/>
      <c r="C952" s="556"/>
      <c r="D952" s="1866"/>
      <c r="E952" s="1866"/>
      <c r="F952" s="1866"/>
      <c r="G952" s="677"/>
    </row>
    <row r="953" spans="1:9" ht="12.75" customHeight="1">
      <c r="A953" s="714"/>
      <c r="B953" s="714"/>
      <c r="C953" s="556"/>
      <c r="D953" s="1866"/>
      <c r="E953" s="1866"/>
      <c r="F953" s="1866"/>
      <c r="G953" s="677"/>
    </row>
    <row r="954" spans="1:9" ht="12.75" customHeight="1">
      <c r="A954" s="714"/>
      <c r="B954" s="714"/>
      <c r="C954" s="556"/>
      <c r="D954" s="1866"/>
      <c r="E954" s="1866"/>
      <c r="F954" s="1866"/>
      <c r="G954" s="677"/>
    </row>
    <row r="955" spans="1:9" ht="12.75" customHeight="1">
      <c r="A955" s="714"/>
      <c r="B955" s="714"/>
      <c r="C955" s="556"/>
      <c r="D955" s="1866"/>
      <c r="E955" s="1866"/>
      <c r="F955" s="1866"/>
      <c r="G955" s="677"/>
    </row>
    <row r="956" spans="1:9" ht="12.75" customHeight="1">
      <c r="A956" s="714"/>
      <c r="B956" s="714"/>
      <c r="C956" s="556"/>
      <c r="D956" s="1866"/>
      <c r="E956" s="1866"/>
      <c r="F956" s="1866"/>
      <c r="G956" s="677"/>
    </row>
    <row r="957" spans="1:9" ht="12.75" customHeight="1">
      <c r="A957" s="714"/>
      <c r="B957" s="714"/>
      <c r="C957" s="556"/>
      <c r="D957" s="1866"/>
      <c r="E957" s="1866"/>
      <c r="F957" s="1866"/>
      <c r="G957" s="677"/>
    </row>
    <row r="958" spans="1:9" ht="12.75" customHeight="1">
      <c r="A958" s="714"/>
      <c r="B958" s="714"/>
      <c r="C958" s="556"/>
      <c r="D958" s="1866"/>
      <c r="E958" s="1866"/>
      <c r="F958" s="1866"/>
      <c r="G958" s="677"/>
    </row>
    <row r="959" spans="1:9" ht="12.75" customHeight="1">
      <c r="A959" s="714"/>
      <c r="B959" s="714"/>
      <c r="C959" s="556"/>
      <c r="D959" s="1866"/>
      <c r="E959" s="1866"/>
      <c r="F959" s="1866"/>
      <c r="G959" s="677"/>
    </row>
    <row r="960" spans="1:9" ht="12.75" customHeight="1">
      <c r="A960" s="714"/>
      <c r="B960" s="714"/>
      <c r="C960" s="556"/>
      <c r="D960" s="1866"/>
      <c r="E960" s="1866"/>
      <c r="F960" s="1866"/>
      <c r="G960" s="677"/>
    </row>
    <row r="961" spans="1:9" ht="12.75" customHeight="1">
      <c r="A961" s="714"/>
      <c r="B961" s="714"/>
      <c r="C961" s="556"/>
      <c r="D961" s="1866"/>
      <c r="E961" s="1866"/>
      <c r="F961" s="1866"/>
      <c r="G961" s="677"/>
    </row>
    <row r="962" spans="1:9" ht="12.75" customHeight="1">
      <c r="A962" s="714"/>
      <c r="B962" s="714"/>
      <c r="C962" s="556"/>
      <c r="D962" s="1866"/>
      <c r="E962" s="1866"/>
      <c r="F962" s="1866"/>
      <c r="G962" s="677"/>
    </row>
    <row r="963" spans="1:9" s="1770" customFormat="1" ht="12.75" customHeight="1">
      <c r="A963" s="714"/>
      <c r="B963" s="714"/>
      <c r="C963" s="556"/>
      <c r="D963" s="1866"/>
      <c r="E963" s="1866"/>
      <c r="F963" s="1866"/>
      <c r="G963" s="677"/>
      <c r="I963" s="1772"/>
    </row>
    <row r="964" spans="1:9" ht="12.75" customHeight="1">
      <c r="A964" s="714"/>
      <c r="B964" s="714"/>
      <c r="C964" s="556"/>
      <c r="D964" s="1866"/>
      <c r="E964" s="1866"/>
      <c r="F964" s="1866"/>
      <c r="G964" s="677"/>
    </row>
    <row r="965" spans="1:9" ht="12.75" customHeight="1">
      <c r="A965" s="714"/>
      <c r="B965" s="714"/>
      <c r="C965" s="556"/>
      <c r="D965" s="1866"/>
      <c r="E965" s="1866"/>
      <c r="F965" s="1866"/>
      <c r="G965" s="678"/>
    </row>
    <row r="966" spans="1:9" ht="12.75" customHeight="1">
      <c r="A966" s="1740"/>
      <c r="B966" s="1740"/>
      <c r="C966" s="556"/>
      <c r="D966" s="6"/>
      <c r="E966" s="6"/>
      <c r="F966" s="6"/>
      <c r="G966" s="678"/>
    </row>
    <row r="967" spans="1:9" ht="12.75" customHeight="1">
      <c r="A967" s="1935" t="s">
        <v>2307</v>
      </c>
      <c r="B967" s="1935"/>
      <c r="C967" s="1935"/>
      <c r="D967" s="1935"/>
      <c r="E967" s="1935"/>
      <c r="F967" s="1935"/>
      <c r="G967" s="1935"/>
      <c r="H967" s="1851"/>
      <c r="I967" s="1852"/>
    </row>
    <row r="968" spans="1:9" ht="12.75" customHeight="1">
      <c r="A968" s="1707"/>
      <c r="B968" s="1707"/>
      <c r="C968" s="556"/>
      <c r="D968" s="6"/>
      <c r="E968" s="6"/>
      <c r="F968" s="6"/>
      <c r="G968" s="678"/>
    </row>
    <row r="969" spans="1:9" ht="12.75" customHeight="1">
      <c r="A969" s="1740"/>
      <c r="B969" s="1740"/>
      <c r="C969" s="1738"/>
      <c r="D969" s="1889" t="s">
        <v>2331</v>
      </c>
      <c r="E969" s="1889"/>
      <c r="F969" s="1889"/>
      <c r="G969" s="678"/>
    </row>
    <row r="970" spans="1:9" ht="12.75" customHeight="1">
      <c r="A970" s="1712"/>
      <c r="B970" s="1712"/>
      <c r="C970" s="1744"/>
      <c r="D970" s="1879" t="s">
        <v>2308</v>
      </c>
      <c r="E970" s="1879"/>
      <c r="F970" s="1879"/>
      <c r="G970" s="678"/>
    </row>
    <row r="971" spans="1:9" ht="12.75" customHeight="1">
      <c r="A971" s="1712"/>
      <c r="B971" s="1712"/>
      <c r="C971" s="1744"/>
      <c r="D971" s="6"/>
      <c r="E971" s="6"/>
      <c r="F971" s="1736"/>
      <c r="G971" s="677"/>
    </row>
    <row r="972" spans="1:9" ht="12.75" customHeight="1">
      <c r="A972" s="1740"/>
      <c r="B972" s="798" t="s">
        <v>2623</v>
      </c>
      <c r="C972" s="556"/>
      <c r="D972" s="1875" t="s">
        <v>2309</v>
      </c>
      <c r="E972" s="1875"/>
      <c r="F972" s="1875"/>
      <c r="G972" s="677"/>
      <c r="I972" s="1772" t="s">
        <v>2487</v>
      </c>
    </row>
    <row r="973" spans="1:9" ht="12.75" customHeight="1">
      <c r="A973" s="1740"/>
      <c r="B973" s="1740"/>
      <c r="C973" s="556"/>
      <c r="D973" s="1875"/>
      <c r="E973" s="1875"/>
      <c r="F973" s="1875"/>
      <c r="G973" s="677"/>
    </row>
    <row r="974" spans="1:9" ht="12.75" customHeight="1">
      <c r="A974" s="1740"/>
      <c r="B974" s="1740"/>
      <c r="C974" s="556"/>
      <c r="D974" s="1875"/>
      <c r="E974" s="1875"/>
      <c r="F974" s="1875"/>
      <c r="G974" s="677"/>
    </row>
    <row r="975" spans="1:9" ht="12.75" customHeight="1">
      <c r="A975" s="1740"/>
      <c r="B975" s="1740"/>
      <c r="C975" s="556"/>
      <c r="D975" s="1875"/>
      <c r="E975" s="1875"/>
      <c r="F975" s="1875"/>
      <c r="G975" s="677"/>
    </row>
    <row r="976" spans="1:9" ht="12.75" customHeight="1">
      <c r="A976" s="1724"/>
      <c r="B976" s="1724"/>
      <c r="C976" s="557"/>
      <c r="D976" s="1875"/>
      <c r="E976" s="1875"/>
      <c r="F976" s="1875"/>
      <c r="G976" s="677"/>
    </row>
    <row r="977" spans="1:7" ht="12.75" customHeight="1">
      <c r="A977" s="1724"/>
      <c r="B977" s="1724"/>
      <c r="C977" s="557"/>
      <c r="D977" s="1875"/>
      <c r="E977" s="1875"/>
      <c r="F977" s="1875"/>
      <c r="G977" s="677"/>
    </row>
    <row r="978" spans="1:7" ht="12.75" customHeight="1">
      <c r="A978" s="720"/>
      <c r="B978" s="720"/>
      <c r="C978" s="313"/>
      <c r="D978" s="1875"/>
      <c r="E978" s="1875"/>
      <c r="F978" s="1875"/>
      <c r="G978" s="677"/>
    </row>
    <row r="979" spans="1:7" ht="12.75" customHeight="1">
      <c r="A979" s="720"/>
      <c r="B979" s="720"/>
      <c r="C979" s="313"/>
      <c r="D979" s="1875"/>
      <c r="E979" s="1875"/>
      <c r="F979" s="1875"/>
      <c r="G979" s="677"/>
    </row>
    <row r="980" spans="1:7" ht="12.75" customHeight="1">
      <c r="A980" s="720"/>
      <c r="B980" s="720"/>
      <c r="C980" s="313"/>
      <c r="D980" s="1704"/>
      <c r="E980" s="1704"/>
      <c r="F980" s="1704"/>
      <c r="G980" s="677"/>
    </row>
    <row r="981" spans="1:7" ht="12.75" customHeight="1">
      <c r="A981" s="720"/>
      <c r="B981" s="798" t="s">
        <v>2626</v>
      </c>
      <c r="C981" s="313"/>
      <c r="D981" s="1867" t="s">
        <v>2310</v>
      </c>
      <c r="E981" s="1867"/>
      <c r="F981" s="1867"/>
      <c r="G981" s="677"/>
    </row>
    <row r="982" spans="1:7" ht="12.75" customHeight="1">
      <c r="A982" s="720"/>
      <c r="B982" s="720"/>
      <c r="C982" s="313"/>
      <c r="D982" s="1867"/>
      <c r="E982" s="1867"/>
      <c r="F982" s="1867"/>
      <c r="G982" s="677"/>
    </row>
    <row r="983" spans="1:7" ht="12.75" customHeight="1">
      <c r="A983" s="720"/>
      <c r="B983" s="720"/>
      <c r="C983" s="313"/>
      <c r="D983" s="1867"/>
      <c r="E983" s="1867"/>
      <c r="F983" s="1867"/>
      <c r="G983" s="677"/>
    </row>
    <row r="984" spans="1:7" ht="12.75" customHeight="1">
      <c r="A984" s="720"/>
      <c r="B984" s="720"/>
      <c r="C984" s="313"/>
      <c r="D984" s="1867"/>
      <c r="E984" s="1867"/>
      <c r="F984" s="1867"/>
      <c r="G984" s="677"/>
    </row>
    <row r="985" spans="1:7" ht="12.75" customHeight="1">
      <c r="A985" s="720"/>
      <c r="B985" s="720"/>
      <c r="C985" s="313"/>
      <c r="D985" s="1702"/>
      <c r="E985" s="1702"/>
      <c r="F985" s="1702"/>
      <c r="G985" s="677"/>
    </row>
    <row r="986" spans="1:7" ht="12.75" customHeight="1">
      <c r="A986" s="720"/>
      <c r="B986" s="798" t="s">
        <v>2626</v>
      </c>
      <c r="C986" s="313"/>
      <c r="D986" s="1867" t="s">
        <v>2311</v>
      </c>
      <c r="E986" s="1867"/>
      <c r="F986" s="1867"/>
      <c r="G986" s="677"/>
    </row>
    <row r="987" spans="1:7" ht="12.75" customHeight="1">
      <c r="A987" s="720"/>
      <c r="B987" s="720"/>
      <c r="C987" s="313"/>
      <c r="D987" s="1867"/>
      <c r="E987" s="1867"/>
      <c r="F987" s="1867"/>
      <c r="G987" s="677"/>
    </row>
    <row r="988" spans="1:7" ht="12.75" customHeight="1">
      <c r="A988" s="720"/>
      <c r="B988" s="720"/>
      <c r="C988" s="313"/>
      <c r="D988" s="1702"/>
      <c r="E988" s="1702"/>
      <c r="F988" s="1702"/>
      <c r="G988" s="677"/>
    </row>
    <row r="989" spans="1:7" ht="12.75" customHeight="1">
      <c r="A989" s="714"/>
      <c r="B989" s="798" t="s">
        <v>2626</v>
      </c>
      <c r="C989" s="556"/>
      <c r="D989" s="1879" t="s">
        <v>2312</v>
      </c>
      <c r="E989" s="1879"/>
      <c r="F989" s="1879"/>
      <c r="G989" s="677"/>
    </row>
    <row r="990" spans="1:7" ht="12.75" customHeight="1">
      <c r="A990" s="1740"/>
      <c r="B990" s="1740"/>
      <c r="C990" s="556"/>
      <c r="D990" s="6"/>
      <c r="E990" s="6"/>
      <c r="F990" s="6"/>
      <c r="G990" s="677"/>
    </row>
    <row r="991" spans="1:7" ht="12.75" customHeight="1">
      <c r="A991" s="714"/>
      <c r="B991" s="798" t="s">
        <v>2626</v>
      </c>
      <c r="C991" s="556"/>
      <c r="D991" s="1879" t="s">
        <v>2313</v>
      </c>
      <c r="E991" s="1879"/>
      <c r="F991" s="1879"/>
      <c r="G991" s="677"/>
    </row>
    <row r="992" spans="1:7" ht="12.75" customHeight="1">
      <c r="A992" s="1740"/>
      <c r="B992" s="1740"/>
      <c r="C992" s="556"/>
      <c r="D992" s="1706"/>
      <c r="E992" s="6"/>
      <c r="F992" s="6"/>
      <c r="G992" s="677"/>
    </row>
    <row r="993" spans="1:9" ht="12.75" customHeight="1">
      <c r="A993" s="714"/>
      <c r="B993" s="798" t="s">
        <v>2623</v>
      </c>
      <c r="C993" s="556"/>
      <c r="D993" s="1879" t="s">
        <v>2314</v>
      </c>
      <c r="E993" s="1879"/>
      <c r="F993" s="1879"/>
      <c r="G993" s="677"/>
    </row>
    <row r="994" spans="1:9" ht="12.75" customHeight="1">
      <c r="A994" s="1740"/>
      <c r="B994" s="1740"/>
      <c r="C994" s="556"/>
      <c r="D994" s="1706"/>
      <c r="E994" s="6"/>
      <c r="F994" s="6"/>
      <c r="G994" s="677"/>
    </row>
    <row r="995" spans="1:9" ht="12.75" customHeight="1">
      <c r="A995" s="714"/>
      <c r="B995" s="798" t="s">
        <v>2626</v>
      </c>
      <c r="C995" s="556"/>
      <c r="D995" s="1866" t="s">
        <v>2315</v>
      </c>
      <c r="E995" s="1866"/>
      <c r="F995" s="1866"/>
      <c r="G995" s="677"/>
    </row>
    <row r="996" spans="1:9" ht="12.75" customHeight="1">
      <c r="A996" s="714"/>
      <c r="B996" s="714"/>
      <c r="C996" s="556"/>
      <c r="D996" s="1866"/>
      <c r="E996" s="1866"/>
      <c r="F996" s="1866"/>
      <c r="G996" s="677"/>
    </row>
    <row r="997" spans="1:9" ht="12.75" customHeight="1">
      <c r="A997" s="714"/>
      <c r="B997" s="714"/>
      <c r="C997" s="556"/>
      <c r="D997" s="1706"/>
      <c r="E997" s="6"/>
      <c r="F997" s="6"/>
      <c r="G997" s="678"/>
    </row>
    <row r="998" spans="1:9" ht="12.75" customHeight="1">
      <c r="A998" s="407"/>
      <c r="B998" s="798" t="s">
        <v>2626</v>
      </c>
      <c r="C998" s="1757"/>
      <c r="D998" s="1933" t="s">
        <v>2316</v>
      </c>
      <c r="E998" s="1933"/>
      <c r="F998" s="1933"/>
      <c r="G998" s="1758"/>
    </row>
    <row r="999" spans="1:9" ht="12.75" customHeight="1">
      <c r="A999" s="1757"/>
      <c r="B999" s="1757"/>
      <c r="C999" s="1757"/>
      <c r="D999" s="1933"/>
      <c r="E999" s="1933"/>
      <c r="F999" s="1933"/>
      <c r="G999" s="1758"/>
    </row>
    <row r="1000" spans="1:9" ht="12.75" customHeight="1">
      <c r="A1000" s="1757"/>
      <c r="B1000" s="1757"/>
      <c r="C1000" s="1757"/>
      <c r="D1000" s="1759"/>
      <c r="E1000" s="1760"/>
      <c r="F1000" s="1760"/>
      <c r="G1000" s="1758"/>
    </row>
    <row r="1001" spans="1:9" ht="12.75" customHeight="1">
      <c r="A1001" s="407"/>
      <c r="B1001" s="798" t="s">
        <v>2623</v>
      </c>
      <c r="C1001" s="1757"/>
      <c r="D1001" s="1964" t="s">
        <v>2317</v>
      </c>
      <c r="E1001" s="1964"/>
      <c r="F1001" s="1964"/>
      <c r="G1001" s="1758"/>
    </row>
    <row r="1002" spans="1:9" ht="12.75" customHeight="1">
      <c r="A1002" s="1757"/>
      <c r="B1002" s="1757"/>
      <c r="C1002" s="1757"/>
      <c r="D1002" s="1759"/>
      <c r="E1002" s="1760"/>
      <c r="F1002" s="1760"/>
      <c r="G1002" s="1758"/>
    </row>
    <row r="1003" spans="1:9" ht="12.75" customHeight="1">
      <c r="A1003" s="714"/>
      <c r="B1003" s="798" t="s">
        <v>2626</v>
      </c>
      <c r="C1003" s="556"/>
      <c r="D1003" s="1879" t="s">
        <v>2318</v>
      </c>
      <c r="E1003" s="1879"/>
      <c r="F1003" s="1879"/>
      <c r="G1003" s="678"/>
    </row>
    <row r="1004" spans="1:9" ht="12.75" customHeight="1">
      <c r="A1004" s="714"/>
      <c r="B1004" s="714"/>
      <c r="C1004" s="556"/>
      <c r="D1004" s="1706"/>
      <c r="E1004" s="6"/>
      <c r="F1004" s="6"/>
      <c r="G1004" s="678"/>
    </row>
    <row r="1005" spans="1:9" ht="12.75" customHeight="1">
      <c r="A1005" s="714"/>
      <c r="B1005" s="798" t="s">
        <v>2626</v>
      </c>
      <c r="C1005" s="556"/>
      <c r="D1005" s="1866" t="s">
        <v>2319</v>
      </c>
      <c r="E1005" s="1866"/>
      <c r="F1005" s="1866"/>
      <c r="G1005" s="678"/>
    </row>
    <row r="1006" spans="1:9" ht="12.75" customHeight="1">
      <c r="A1006" s="714"/>
      <c r="B1006" s="714"/>
      <c r="C1006" s="556"/>
      <c r="D1006" s="1866"/>
      <c r="E1006" s="1866"/>
      <c r="F1006" s="1866"/>
      <c r="G1006" s="678"/>
    </row>
    <row r="1007" spans="1:9" ht="12.75" customHeight="1">
      <c r="A1007" s="1740"/>
      <c r="B1007" s="1740"/>
      <c r="C1007" s="556"/>
      <c r="D1007" s="6"/>
      <c r="E1007" s="6"/>
      <c r="F1007" s="6"/>
      <c r="G1007" s="678"/>
    </row>
    <row r="1008" spans="1:9" ht="12.75" customHeight="1">
      <c r="A1008" s="1935" t="s">
        <v>2320</v>
      </c>
      <c r="B1008" s="1935"/>
      <c r="C1008" s="1935"/>
      <c r="D1008" s="1935"/>
      <c r="E1008" s="1935"/>
      <c r="F1008" s="1935"/>
      <c r="G1008" s="1935"/>
      <c r="H1008" s="1851"/>
      <c r="I1008" s="1852"/>
    </row>
    <row r="1009" spans="1:9" ht="12.75" customHeight="1">
      <c r="A1009" s="1740"/>
      <c r="B1009" s="1740"/>
      <c r="C1009" s="556"/>
      <c r="D1009" s="6"/>
      <c r="E1009" s="6"/>
      <c r="F1009" s="6"/>
      <c r="G1009" s="678"/>
    </row>
    <row r="1010" spans="1:9" ht="12.75" customHeight="1">
      <c r="A1010" s="1724"/>
      <c r="B1010" s="1724"/>
      <c r="C1010" s="557"/>
      <c r="D1010" s="1925" t="s">
        <v>2321</v>
      </c>
      <c r="E1010" s="1925"/>
      <c r="F1010" s="1925"/>
      <c r="G1010" s="678"/>
    </row>
    <row r="1011" spans="1:9" ht="12.75" customHeight="1">
      <c r="A1011" s="1724"/>
      <c r="B1011" s="1724"/>
      <c r="C1011" s="557"/>
      <c r="D1011" s="1963" t="s">
        <v>2322</v>
      </c>
      <c r="E1011" s="1963"/>
      <c r="F1011" s="1963"/>
      <c r="G1011" s="678"/>
    </row>
    <row r="1012" spans="1:9" ht="12.75" customHeight="1">
      <c r="A1012" s="674"/>
      <c r="B1012" s="674"/>
      <c r="C1012" s="1713"/>
      <c r="D1012" s="678"/>
      <c r="E1012" s="678"/>
      <c r="F1012" s="678"/>
      <c r="G1012" s="678"/>
    </row>
    <row r="1013" spans="1:9" ht="12.75" customHeight="1">
      <c r="A1013" s="714"/>
      <c r="B1013" s="714"/>
      <c r="C1013" s="313"/>
      <c r="D1013" s="1925" t="s">
        <v>2336</v>
      </c>
      <c r="E1013" s="1925"/>
      <c r="F1013" s="1925"/>
      <c r="G1013" s="678"/>
      <c r="I1013" s="1772" t="s">
        <v>2459</v>
      </c>
    </row>
    <row r="1014" spans="1:9" ht="12.75" customHeight="1">
      <c r="A1014" s="1740"/>
      <c r="B1014" s="798" t="s">
        <v>2623</v>
      </c>
      <c r="C1014" s="556"/>
      <c r="D1014" s="1963" t="s">
        <v>1505</v>
      </c>
      <c r="E1014" s="1963"/>
      <c r="F1014" s="1963"/>
      <c r="G1014" s="678"/>
    </row>
    <row r="1015" spans="1:9" s="1770" customFormat="1" ht="12.75" customHeight="1">
      <c r="A1015" s="1740"/>
      <c r="B1015" s="714"/>
      <c r="C1015" s="556"/>
      <c r="D1015" s="1960" t="s">
        <v>2323</v>
      </c>
      <c r="E1015" s="1960"/>
      <c r="F1015" s="1960"/>
      <c r="G1015" s="678"/>
      <c r="I1015" s="1772"/>
    </row>
    <row r="1016" spans="1:9" ht="12.75" customHeight="1">
      <c r="A1016" s="1740"/>
      <c r="B1016" s="1740"/>
      <c r="C1016" s="556"/>
      <c r="D1016" s="1963"/>
      <c r="E1016" s="1963"/>
      <c r="F1016" s="1963"/>
      <c r="G1016" s="678"/>
    </row>
    <row r="1017" spans="1:9" ht="12.75" customHeight="1">
      <c r="A1017" s="1955" t="s">
        <v>2332</v>
      </c>
      <c r="B1017" s="1955"/>
      <c r="C1017" s="1955"/>
      <c r="D1017" s="1955"/>
      <c r="E1017" s="1955"/>
      <c r="F1017" s="1955"/>
      <c r="G1017" s="1955"/>
      <c r="H1017" s="1851"/>
      <c r="I1017" s="1852"/>
    </row>
    <row r="1018" spans="1:9" ht="12.75" customHeight="1">
      <c r="A1018" s="254"/>
      <c r="B1018" s="254"/>
      <c r="C1018" s="1732"/>
      <c r="D1018" s="686"/>
      <c r="E1018" s="686"/>
      <c r="F1018" s="686"/>
      <c r="G1018" s="686"/>
    </row>
    <row r="1019" spans="1:9" ht="12.75" customHeight="1">
      <c r="A1019" s="254"/>
      <c r="B1019" s="1767"/>
      <c r="C1019" s="1774"/>
      <c r="D1019" s="1939" t="s">
        <v>1506</v>
      </c>
      <c r="E1019" s="1939"/>
      <c r="F1019" s="1939"/>
      <c r="G1019" s="686"/>
    </row>
    <row r="1020" spans="1:9" ht="12.75" customHeight="1">
      <c r="A1020" s="254"/>
      <c r="B1020" s="1773" t="s">
        <v>2626</v>
      </c>
      <c r="C1020" s="1774"/>
      <c r="D1020" s="1942" t="s">
        <v>1505</v>
      </c>
      <c r="E1020" s="1942"/>
      <c r="F1020" s="1942"/>
      <c r="G1020" s="686"/>
    </row>
    <row r="1021" spans="1:9" ht="12.75" customHeight="1">
      <c r="A1021" s="254"/>
      <c r="B1021" s="1770"/>
      <c r="C1021" s="1774"/>
      <c r="D1021" s="1942" t="s">
        <v>2333</v>
      </c>
      <c r="E1021" s="1942"/>
      <c r="F1021" s="1942"/>
      <c r="G1021" s="686"/>
    </row>
    <row r="1022" spans="1:9" s="1770" customFormat="1" ht="12.75" customHeight="1">
      <c r="A1022" s="254"/>
      <c r="C1022" s="1774"/>
      <c r="D1022" s="1768"/>
      <c r="E1022" s="1768"/>
      <c r="F1022" s="1768"/>
      <c r="G1022" s="686"/>
      <c r="I1022" s="1772"/>
    </row>
    <row r="1023" spans="1:9" ht="12.75" customHeight="1">
      <c r="A1023" s="254"/>
      <c r="B1023" s="254"/>
      <c r="C1023" s="1732"/>
      <c r="D1023" s="1961" t="s">
        <v>1185</v>
      </c>
      <c r="E1023" s="1961"/>
      <c r="F1023" s="1961"/>
      <c r="G1023" s="686"/>
      <c r="I1023" s="1772" t="s">
        <v>2488</v>
      </c>
    </row>
    <row r="1024" spans="1:9" ht="12.75" customHeight="1">
      <c r="A1024" s="503"/>
      <c r="B1024" s="503"/>
      <c r="C1024" s="502"/>
      <c r="D1024" s="1962" t="s">
        <v>1202</v>
      </c>
      <c r="E1024" s="1962"/>
      <c r="F1024" s="1962"/>
      <c r="G1024" s="1761"/>
    </row>
    <row r="1025" spans="1:9" ht="12.75" customHeight="1">
      <c r="A1025" s="714"/>
      <c r="B1025" s="1773" t="s">
        <v>2626</v>
      </c>
      <c r="C1025" s="557"/>
      <c r="D1025" s="1932" t="s">
        <v>1070</v>
      </c>
      <c r="E1025" s="1932"/>
      <c r="F1025" s="1932"/>
      <c r="G1025" s="678"/>
    </row>
    <row r="1026" spans="1:9" ht="12.75" customHeight="1">
      <c r="A1026" s="1724"/>
      <c r="B1026" s="1724"/>
      <c r="C1026" s="557"/>
      <c r="D1026" s="6"/>
      <c r="E1026" s="1957" t="s">
        <v>1186</v>
      </c>
      <c r="F1026" s="1957"/>
      <c r="G1026" s="678"/>
    </row>
    <row r="1027" spans="1:9">
      <c r="A1027" s="790"/>
      <c r="B1027" s="790"/>
      <c r="C1027" s="790"/>
      <c r="D1027" s="790"/>
      <c r="E1027" s="790"/>
      <c r="F1027" s="790"/>
      <c r="G1027" s="790"/>
    </row>
    <row r="1028" spans="1:9">
      <c r="A1028" s="1955" t="s">
        <v>2353</v>
      </c>
      <c r="B1028" s="1955"/>
      <c r="C1028" s="1955"/>
      <c r="D1028" s="1955"/>
      <c r="E1028" s="1955"/>
      <c r="F1028" s="1955"/>
      <c r="G1028" s="1955"/>
      <c r="H1028" s="1851"/>
      <c r="I1028" s="1852"/>
    </row>
    <row r="1029" spans="1:9">
      <c r="A1029" s="790"/>
      <c r="B1029" s="790"/>
      <c r="C1029" s="790"/>
      <c r="D1029" s="790"/>
      <c r="E1029" s="790"/>
      <c r="F1029" s="790"/>
      <c r="G1029" s="790"/>
    </row>
    <row r="1030" spans="1:9">
      <c r="A1030" s="790"/>
      <c r="B1030" s="790"/>
      <c r="C1030" s="790"/>
      <c r="D1030" s="1772" t="s">
        <v>2339</v>
      </c>
      <c r="E1030" s="790"/>
      <c r="F1030" s="790"/>
      <c r="G1030" s="790"/>
    </row>
    <row r="1031" spans="1:9" s="1770" customFormat="1">
      <c r="D1031" s="1769" t="s">
        <v>2338</v>
      </c>
      <c r="I1031" s="1772"/>
    </row>
    <row r="1032" spans="1:9" s="1770" customFormat="1">
      <c r="D1032" s="1772"/>
      <c r="I1032" s="1772"/>
    </row>
    <row r="1033" spans="1:9">
      <c r="A1033" s="790"/>
      <c r="B1033" s="1773" t="s">
        <v>2626</v>
      </c>
      <c r="C1033" s="790"/>
      <c r="D1033" s="1958" t="s">
        <v>2337</v>
      </c>
      <c r="E1033" s="1958"/>
      <c r="F1033" s="1958"/>
      <c r="G1033" s="790"/>
      <c r="I1033" s="1772" t="s">
        <v>2460</v>
      </c>
    </row>
    <row r="1034" spans="1:9">
      <c r="A1034" s="790"/>
      <c r="B1034" s="790"/>
      <c r="C1034" s="790"/>
      <c r="D1034" s="1958"/>
      <c r="E1034" s="1958"/>
      <c r="F1034" s="1958"/>
      <c r="G1034" s="790"/>
    </row>
    <row r="1035" spans="1:9">
      <c r="A1035" s="790"/>
      <c r="B1035" s="790"/>
      <c r="C1035" s="790"/>
      <c r="D1035" s="1958"/>
      <c r="E1035" s="1958"/>
      <c r="F1035" s="1958"/>
      <c r="G1035" s="790"/>
    </row>
    <row r="1036" spans="1:9">
      <c r="A1036" s="790"/>
      <c r="B1036" s="790"/>
      <c r="C1036" s="790"/>
      <c r="D1036" s="1958"/>
      <c r="E1036" s="1958"/>
      <c r="F1036" s="1958"/>
      <c r="G1036" s="790"/>
    </row>
    <row r="1037" spans="1:9">
      <c r="A1037" s="790"/>
      <c r="B1037" s="790"/>
      <c r="C1037" s="790"/>
      <c r="D1037" s="790"/>
      <c r="E1037" s="790"/>
      <c r="F1037" s="790"/>
      <c r="G1037" s="790"/>
    </row>
    <row r="1038" spans="1:9">
      <c r="A1038" s="790"/>
      <c r="B1038" s="1770"/>
      <c r="C1038" s="790"/>
      <c r="D1038" s="1772" t="s">
        <v>1584</v>
      </c>
      <c r="E1038" s="790"/>
      <c r="F1038" s="790"/>
      <c r="G1038" s="790"/>
    </row>
    <row r="1039" spans="1:9">
      <c r="A1039" s="790"/>
      <c r="B1039" s="790"/>
      <c r="C1039" s="790"/>
      <c r="D1039" s="1770" t="s">
        <v>2340</v>
      </c>
      <c r="E1039" s="790"/>
      <c r="F1039" s="790"/>
      <c r="G1039" s="790"/>
    </row>
    <row r="1040" spans="1:9">
      <c r="A1040" s="790"/>
      <c r="B1040" s="790"/>
      <c r="C1040" s="790"/>
      <c r="D1040" s="790"/>
      <c r="E1040" s="790"/>
      <c r="F1040" s="790"/>
      <c r="G1040" s="790"/>
    </row>
    <row r="1041" spans="1:9">
      <c r="A1041" s="790"/>
      <c r="B1041" s="1773" t="s">
        <v>2623</v>
      </c>
      <c r="C1041" s="790"/>
      <c r="D1041" s="1770" t="s">
        <v>2335</v>
      </c>
      <c r="E1041" s="790"/>
      <c r="F1041" s="790"/>
      <c r="G1041" s="790"/>
      <c r="I1041" s="1772" t="s">
        <v>2461</v>
      </c>
    </row>
    <row r="1042" spans="1:9">
      <c r="A1042" s="790"/>
      <c r="B1042" s="790"/>
      <c r="C1042" s="790"/>
      <c r="D1042" s="790"/>
      <c r="E1042" s="790"/>
      <c r="F1042" s="790"/>
      <c r="G1042" s="790"/>
    </row>
    <row r="1043" spans="1:9">
      <c r="A1043" s="790"/>
      <c r="B1043" s="1773" t="s">
        <v>2626</v>
      </c>
      <c r="C1043" s="790"/>
      <c r="D1043" s="1958" t="s">
        <v>2341</v>
      </c>
      <c r="E1043" s="1958"/>
      <c r="F1043" s="1958"/>
      <c r="G1043" s="790"/>
      <c r="I1043" s="1772" t="s">
        <v>2462</v>
      </c>
    </row>
    <row r="1044" spans="1:9">
      <c r="A1044" s="790"/>
      <c r="B1044" s="790"/>
      <c r="C1044" s="790"/>
      <c r="D1044" s="1958"/>
      <c r="E1044" s="1958"/>
      <c r="F1044" s="1958"/>
      <c r="G1044" s="790"/>
    </row>
    <row r="1045" spans="1:9">
      <c r="A1045" s="790"/>
      <c r="B1045" s="790"/>
      <c r="C1045" s="790"/>
      <c r="D1045" s="1958"/>
      <c r="E1045" s="1958"/>
      <c r="F1045" s="1958"/>
      <c r="G1045" s="790"/>
    </row>
    <row r="1046" spans="1:9">
      <c r="A1046" s="790"/>
      <c r="B1046" s="790"/>
      <c r="C1046" s="790"/>
      <c r="D1046" s="1958"/>
      <c r="E1046" s="1958"/>
      <c r="F1046" s="1958"/>
      <c r="G1046" s="790"/>
    </row>
    <row r="1047" spans="1:9">
      <c r="A1047" s="790"/>
      <c r="B1047" s="790"/>
      <c r="C1047" s="790"/>
      <c r="D1047" s="1958"/>
      <c r="E1047" s="1958"/>
      <c r="F1047" s="1958"/>
      <c r="G1047" s="790"/>
    </row>
    <row r="1048" spans="1:9">
      <c r="A1048" s="790"/>
      <c r="B1048" s="790"/>
      <c r="C1048" s="790"/>
      <c r="D1048" s="790"/>
      <c r="E1048" s="790"/>
      <c r="F1048" s="790"/>
      <c r="G1048" s="790"/>
    </row>
    <row r="1049" spans="1:9">
      <c r="A1049" s="1955" t="s">
        <v>2342</v>
      </c>
      <c r="B1049" s="1955"/>
      <c r="C1049" s="1955"/>
      <c r="D1049" s="1955"/>
      <c r="E1049" s="1955"/>
      <c r="F1049" s="1955"/>
      <c r="G1049" s="1955"/>
      <c r="H1049" s="1851"/>
      <c r="I1049" s="1852"/>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3" t="s">
        <v>2623</v>
      </c>
      <c r="C1052" s="790"/>
      <c r="D1052" s="1765" t="s">
        <v>2345</v>
      </c>
      <c r="E1052" s="1769"/>
      <c r="F1052" s="790"/>
      <c r="G1052" s="790"/>
      <c r="I1052" s="1772" t="s">
        <v>2463</v>
      </c>
    </row>
    <row r="1053" spans="1:9">
      <c r="A1053" s="790"/>
      <c r="B1053" s="790"/>
      <c r="C1053" s="790"/>
      <c r="D1053" s="1765" t="s">
        <v>2347</v>
      </c>
      <c r="E1053" s="1769"/>
      <c r="F1053" s="790"/>
      <c r="G1053" s="790"/>
    </row>
    <row r="1054" spans="1:9" s="1770" customFormat="1">
      <c r="D1054" s="1765"/>
      <c r="E1054" s="1769"/>
      <c r="I1054" s="1772"/>
    </row>
    <row r="1055" spans="1:9">
      <c r="A1055" s="790"/>
      <c r="B1055" s="1773" t="s">
        <v>2623</v>
      </c>
      <c r="C1055" s="790"/>
      <c r="D1055" s="1765" t="s">
        <v>2348</v>
      </c>
      <c r="E1055" s="1769"/>
      <c r="F1055" s="790"/>
      <c r="G1055" s="790"/>
      <c r="I1055" s="1772" t="s">
        <v>2464</v>
      </c>
    </row>
    <row r="1056" spans="1:9" s="1770" customFormat="1">
      <c r="D1056" s="1765" t="s">
        <v>2346</v>
      </c>
      <c r="E1056" s="1769"/>
      <c r="I1056" s="1772"/>
    </row>
    <row r="1057" spans="1:9" s="1770" customFormat="1">
      <c r="D1057" s="1765"/>
      <c r="E1057" s="1769"/>
      <c r="I1057" s="1772"/>
    </row>
    <row r="1058" spans="1:9">
      <c r="A1058" s="790"/>
      <c r="B1058" s="1773" t="s">
        <v>2626</v>
      </c>
      <c r="C1058" s="790"/>
      <c r="D1058" s="1764" t="s">
        <v>2351</v>
      </c>
      <c r="E1058" s="1769"/>
      <c r="F1058" s="790"/>
      <c r="G1058" s="790"/>
      <c r="I1058" s="1772" t="s">
        <v>2465</v>
      </c>
    </row>
    <row r="1059" spans="1:9" s="1770" customFormat="1">
      <c r="D1059" s="1959" t="s">
        <v>2352</v>
      </c>
      <c r="E1059" s="1959"/>
      <c r="F1059" s="1959"/>
      <c r="I1059" s="1772"/>
    </row>
    <row r="1060" spans="1:9" s="1770" customFormat="1">
      <c r="D1060" s="1959"/>
      <c r="E1060" s="1959"/>
      <c r="F1060" s="1959"/>
      <c r="I1060" s="1772"/>
    </row>
    <row r="1061" spans="1:9" s="1770" customFormat="1">
      <c r="D1061" s="1959"/>
      <c r="E1061" s="1959"/>
      <c r="F1061" s="1959"/>
      <c r="I1061" s="1772"/>
    </row>
    <row r="1062" spans="1:9" s="1770" customFormat="1">
      <c r="D1062" s="1959"/>
      <c r="E1062" s="1959"/>
      <c r="F1062" s="1959"/>
      <c r="I1062" s="1772"/>
    </row>
    <row r="1063" spans="1:9" s="1770" customFormat="1">
      <c r="D1063" s="1764" t="s">
        <v>2350</v>
      </c>
      <c r="E1063" s="1769"/>
      <c r="I1063" s="1772"/>
    </row>
    <row r="1064" spans="1:9" s="1770" customFormat="1">
      <c r="D1064" s="1764"/>
      <c r="E1064" s="1769"/>
      <c r="I1064" s="1772"/>
    </row>
    <row r="1065" spans="1:9">
      <c r="A1065" s="790"/>
      <c r="B1065" s="790"/>
      <c r="C1065" s="790"/>
      <c r="D1065" s="1765" t="s">
        <v>2343</v>
      </c>
      <c r="E1065" s="1769"/>
      <c r="F1065" s="790"/>
      <c r="G1065" s="790"/>
      <c r="I1065" s="1772" t="s">
        <v>2466</v>
      </c>
    </row>
    <row r="1066" spans="1:9">
      <c r="A1066" s="790"/>
      <c r="B1066" s="1773" t="s">
        <v>2626</v>
      </c>
      <c r="C1066" s="790"/>
      <c r="D1066" s="1954" t="s">
        <v>2344</v>
      </c>
      <c r="E1066" s="1954"/>
      <c r="F1066" s="1954"/>
      <c r="G1066" s="790"/>
    </row>
    <row r="1067" spans="1:9" s="1770" customFormat="1">
      <c r="D1067" s="1954"/>
      <c r="E1067" s="1954"/>
      <c r="F1067" s="1954"/>
      <c r="I1067" s="1772"/>
    </row>
    <row r="1068" spans="1:9" s="1770" customFormat="1">
      <c r="D1068" s="1954"/>
      <c r="E1068" s="1954"/>
      <c r="F1068" s="1954"/>
      <c r="I1068" s="1772"/>
    </row>
    <row r="1069" spans="1:9" s="1770" customFormat="1">
      <c r="D1069" s="1954"/>
      <c r="E1069" s="1954"/>
      <c r="F1069" s="1954"/>
      <c r="I1069" s="1772"/>
    </row>
    <row r="1070" spans="1:9">
      <c r="A1070" s="790"/>
      <c r="B1070" s="790"/>
      <c r="C1070" s="790"/>
      <c r="D1070" s="1954"/>
      <c r="E1070" s="1954"/>
      <c r="F1070" s="1954"/>
      <c r="G1070" s="790"/>
    </row>
    <row r="1071" spans="1:9">
      <c r="A1071" s="790"/>
      <c r="B1071" s="790"/>
      <c r="C1071" s="790"/>
      <c r="D1071" s="1765" t="s">
        <v>2349</v>
      </c>
      <c r="E1071" s="790"/>
      <c r="F1071" s="790"/>
      <c r="G1071" s="790"/>
    </row>
    <row r="1072" spans="1:9">
      <c r="A1072" s="790"/>
      <c r="B1072" s="790"/>
      <c r="C1072" s="790"/>
      <c r="D1072" s="790"/>
      <c r="E1072" s="790"/>
      <c r="F1072" s="790"/>
      <c r="G1072" s="790"/>
    </row>
    <row r="1073" spans="1:9">
      <c r="A1073" s="1955" t="s">
        <v>2354</v>
      </c>
      <c r="B1073" s="1955"/>
      <c r="C1073" s="1955"/>
      <c r="D1073" s="1955"/>
      <c r="E1073" s="1955"/>
      <c r="F1073" s="1955"/>
      <c r="G1073" s="1955"/>
      <c r="H1073" s="1851"/>
      <c r="I1073" s="1852"/>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3" t="s">
        <v>2626</v>
      </c>
      <c r="C1076" s="790"/>
      <c r="D1076" s="1954" t="s">
        <v>2355</v>
      </c>
      <c r="E1076" s="1954"/>
      <c r="F1076" s="1954"/>
      <c r="G1076" s="790"/>
      <c r="I1076" s="1772" t="s">
        <v>2467</v>
      </c>
    </row>
    <row r="1077" spans="1:9" s="1770" customFormat="1">
      <c r="D1077" s="1954"/>
      <c r="E1077" s="1954"/>
      <c r="F1077" s="1954"/>
      <c r="I1077" s="1772"/>
    </row>
    <row r="1078" spans="1:9" s="1770" customFormat="1">
      <c r="D1078" s="1954"/>
      <c r="E1078" s="1954"/>
      <c r="F1078" s="1954"/>
      <c r="I1078" s="1772"/>
    </row>
    <row r="1079" spans="1:9" s="1770" customFormat="1">
      <c r="D1079" s="1765"/>
      <c r="I1079" s="1772"/>
    </row>
    <row r="1080" spans="1:9">
      <c r="A1080" s="790"/>
      <c r="B1080" s="1773" t="s">
        <v>2626</v>
      </c>
      <c r="C1080" s="790"/>
      <c r="D1080" s="1954" t="s">
        <v>2356</v>
      </c>
      <c r="E1080" s="1954"/>
      <c r="F1080" s="1954"/>
      <c r="G1080" s="790"/>
      <c r="I1080" s="1772" t="s">
        <v>2468</v>
      </c>
    </row>
    <row r="1081" spans="1:9" s="1770" customFormat="1">
      <c r="D1081" s="1954"/>
      <c r="E1081" s="1954"/>
      <c r="F1081" s="1954"/>
      <c r="I1081" s="1772"/>
    </row>
    <row r="1082" spans="1:9" s="1770" customFormat="1">
      <c r="D1082" s="1765"/>
      <c r="I1082" s="1772"/>
    </row>
    <row r="1083" spans="1:9">
      <c r="A1083" s="790"/>
      <c r="B1083" s="1773" t="s">
        <v>2626</v>
      </c>
      <c r="C1083" s="790"/>
      <c r="D1083" s="1954" t="s">
        <v>2515</v>
      </c>
      <c r="E1083" s="1954"/>
      <c r="F1083" s="1954"/>
      <c r="G1083" s="790"/>
      <c r="I1083" s="1772" t="s">
        <v>2513</v>
      </c>
    </row>
    <row r="1084" spans="1:9" s="1770" customFormat="1">
      <c r="D1084" s="1954"/>
      <c r="E1084" s="1954"/>
      <c r="F1084" s="1954"/>
      <c r="I1084" s="1772"/>
    </row>
    <row r="1085" spans="1:9" s="1770" customFormat="1">
      <c r="D1085" s="1954"/>
      <c r="E1085" s="1954"/>
      <c r="F1085" s="1954"/>
      <c r="I1085" s="1772"/>
    </row>
    <row r="1086" spans="1:9" s="1770" customFormat="1">
      <c r="D1086" s="1954"/>
      <c r="E1086" s="1954"/>
      <c r="F1086" s="1954"/>
      <c r="I1086" s="1772"/>
    </row>
    <row r="1087" spans="1:9" s="1770" customFormat="1">
      <c r="D1087" s="1954"/>
      <c r="E1087" s="1954"/>
      <c r="F1087" s="1954"/>
      <c r="I1087" s="1772"/>
    </row>
    <row r="1088" spans="1:9" s="1770" customFormat="1">
      <c r="D1088" s="1954"/>
      <c r="E1088" s="1954"/>
      <c r="F1088" s="1954"/>
      <c r="I1088" s="1772"/>
    </row>
    <row r="1089" spans="1:9" s="1771" customFormat="1">
      <c r="B1089" s="1770"/>
      <c r="D1089" s="1765" t="s">
        <v>2514</v>
      </c>
    </row>
    <row r="1090" spans="1:9">
      <c r="A1090" s="790"/>
      <c r="B1090" s="1773" t="s">
        <v>2626</v>
      </c>
      <c r="C1090" s="790"/>
      <c r="D1090" s="1954" t="s">
        <v>2357</v>
      </c>
      <c r="E1090" s="1954"/>
      <c r="F1090" s="1954"/>
      <c r="G1090" s="790"/>
      <c r="I1090" s="1835" t="s">
        <v>2469</v>
      </c>
    </row>
    <row r="1091" spans="1:9" s="1770" customFormat="1">
      <c r="D1091" s="1954"/>
      <c r="E1091" s="1954"/>
      <c r="F1091" s="1954"/>
      <c r="I1091" s="1772"/>
    </row>
    <row r="1092" spans="1:9" s="1770" customFormat="1">
      <c r="D1092" s="1954"/>
      <c r="E1092" s="1954"/>
      <c r="F1092" s="1954"/>
      <c r="I1092" s="1772"/>
    </row>
    <row r="1093" spans="1:9" s="1770" customFormat="1">
      <c r="D1093" s="1765"/>
      <c r="I1093" s="1772"/>
    </row>
    <row r="1094" spans="1:9">
      <c r="A1094" s="790"/>
      <c r="B1094" s="1773" t="s">
        <v>2626</v>
      </c>
      <c r="C1094" s="790"/>
      <c r="D1094" s="1956" t="s">
        <v>2516</v>
      </c>
      <c r="E1094" s="1956"/>
      <c r="F1094" s="1956"/>
      <c r="G1094" s="790"/>
      <c r="I1094" s="1772" t="s">
        <v>2470</v>
      </c>
    </row>
    <row r="1095" spans="1:9">
      <c r="A1095" s="790"/>
      <c r="B1095" s="790"/>
      <c r="C1095" s="790"/>
      <c r="D1095" s="1956"/>
      <c r="E1095" s="1956"/>
      <c r="F1095" s="1956"/>
      <c r="G1095" s="790"/>
    </row>
    <row r="1096" spans="1:9">
      <c r="A1096" s="790"/>
      <c r="B1096" s="790"/>
      <c r="C1096" s="790"/>
      <c r="D1096" s="1956"/>
      <c r="E1096" s="1956"/>
      <c r="F1096" s="1956"/>
      <c r="G1096" s="790"/>
    </row>
    <row r="1097" spans="1:9" s="1770" customFormat="1">
      <c r="D1097" s="1847"/>
      <c r="E1097" s="1847"/>
      <c r="F1097" s="1847"/>
      <c r="I1097" s="1772"/>
    </row>
    <row r="1098" spans="1:9" s="1770" customFormat="1" ht="15.75" customHeight="1">
      <c r="B1098" s="1773" t="s">
        <v>2626</v>
      </c>
      <c r="D1098" s="1867" t="s">
        <v>2518</v>
      </c>
      <c r="E1098" s="1867"/>
      <c r="F1098" s="1867"/>
      <c r="I1098" s="1772" t="s">
        <v>2517</v>
      </c>
    </row>
    <row r="1099" spans="1:9" s="1770" customFormat="1">
      <c r="D1099" s="1867"/>
      <c r="E1099" s="1867"/>
      <c r="F1099" s="1867"/>
      <c r="I1099" s="1772"/>
    </row>
    <row r="1100" spans="1:9" s="1770" customFormat="1">
      <c r="D1100" s="1867"/>
      <c r="E1100" s="1867"/>
      <c r="F1100" s="1867"/>
      <c r="I1100" s="1772"/>
    </row>
    <row r="1101" spans="1:9" s="1770" customFormat="1">
      <c r="D1101" s="1867"/>
      <c r="E1101" s="1867"/>
      <c r="F1101" s="1867"/>
      <c r="I1101" s="1772"/>
    </row>
    <row r="1102" spans="1:9" s="1770" customFormat="1">
      <c r="D1102" s="1847"/>
      <c r="E1102" s="1847"/>
      <c r="F1102" s="1847"/>
      <c r="I1102" s="1772"/>
    </row>
    <row r="1103" spans="1:9" ht="38.25">
      <c r="A1103" s="790"/>
      <c r="B1103" s="790"/>
      <c r="C1103" s="790"/>
      <c r="D1103" s="790"/>
      <c r="E1103" s="790"/>
      <c r="F1103" s="790"/>
      <c r="G1103" s="790"/>
      <c r="I1103" s="1842"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3"/>
      <c r="H1516" s="1903"/>
      <c r="I1516" s="1903"/>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92"/>
  <sheetViews>
    <sheetView showGridLines="0" showZeros="0" topLeftCell="A517" zoomScale="145" zoomScaleNormal="145" zoomScaleSheetLayoutView="80" workbookViewId="0">
      <selection activeCell="J385" sqref="J385:U385"/>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289" t="s">
        <v>105</v>
      </c>
      <c r="B8" s="2289"/>
      <c r="C8" s="2289"/>
      <c r="D8" s="2289"/>
      <c r="E8" s="2289"/>
      <c r="F8" s="2289"/>
      <c r="G8" s="2289"/>
      <c r="H8" s="2289"/>
      <c r="I8" s="2289"/>
      <c r="J8" s="2289"/>
      <c r="K8" s="2289"/>
      <c r="L8" s="2289"/>
      <c r="M8" s="2289"/>
      <c r="N8" s="2289"/>
      <c r="O8" s="2289"/>
      <c r="P8" s="2289"/>
      <c r="Q8" s="2289"/>
      <c r="R8" s="2289"/>
      <c r="S8" s="2289"/>
      <c r="T8" s="2289"/>
      <c r="U8" s="2289"/>
      <c r="V8" s="2289"/>
      <c r="W8" s="2289"/>
      <c r="X8" s="2289"/>
      <c r="Y8" s="2289"/>
      <c r="Z8" s="2289"/>
      <c r="AA8" s="2289"/>
      <c r="AB8" s="2289"/>
      <c r="AC8" s="2289"/>
      <c r="AD8" s="2289"/>
      <c r="AE8" s="2289"/>
      <c r="AF8" s="2289"/>
      <c r="AG8" s="2289"/>
      <c r="AH8" s="2289"/>
      <c r="AI8" s="2289"/>
      <c r="AJ8" s="2289"/>
      <c r="AK8" s="2289"/>
      <c r="AL8" s="2289"/>
      <c r="AM8" s="1569"/>
      <c r="AN8" s="1569"/>
      <c r="AO8" s="1569"/>
      <c r="AP8" s="1569"/>
      <c r="AQ8" s="1569"/>
      <c r="AR8" s="1569"/>
      <c r="AS8" s="1569"/>
      <c r="AT8" s="1569"/>
      <c r="AU8" s="1569"/>
      <c r="AV8" s="1569"/>
      <c r="AW8" s="1569"/>
      <c r="AX8" s="1569"/>
      <c r="AY8" s="1569"/>
    </row>
    <row r="9" spans="1:96" s="719" customFormat="1" ht="12.75">
      <c r="A9" s="2438" t="s">
        <v>1991</v>
      </c>
      <c r="B9" s="2438"/>
      <c r="C9" s="2438"/>
      <c r="D9" s="2438"/>
      <c r="E9" s="2438"/>
      <c r="F9" s="2438"/>
      <c r="G9" s="2438"/>
      <c r="H9" s="2438"/>
      <c r="I9" s="2438"/>
      <c r="J9" s="2438"/>
      <c r="K9" s="2438"/>
      <c r="L9" s="2438"/>
      <c r="M9" s="2438"/>
      <c r="N9" s="2438"/>
      <c r="O9" s="2438"/>
      <c r="P9" s="2438"/>
      <c r="Q9" s="2438"/>
      <c r="R9" s="2438"/>
      <c r="S9" s="2438"/>
      <c r="T9" s="2438"/>
      <c r="U9" s="2438"/>
      <c r="V9" s="2438"/>
      <c r="W9" s="2438"/>
      <c r="X9" s="2438"/>
      <c r="Y9" s="2438"/>
      <c r="Z9" s="2438"/>
      <c r="AA9" s="2438"/>
      <c r="AB9" s="2438"/>
      <c r="AC9" s="2438"/>
      <c r="AD9" s="2438"/>
      <c r="AE9" s="2438"/>
      <c r="AF9" s="2438"/>
      <c r="AG9" s="2438"/>
      <c r="AH9" s="2438"/>
      <c r="AI9" s="2438"/>
      <c r="AJ9" s="2438"/>
      <c r="AK9" s="2438"/>
      <c r="AL9" s="2438"/>
      <c r="AM9" s="1508"/>
      <c r="AN9" s="1508"/>
      <c r="AO9" s="1508"/>
      <c r="AP9" s="1508"/>
      <c r="AQ9" s="1508"/>
      <c r="AR9" s="1508"/>
      <c r="AS9" s="1508"/>
      <c r="AT9" s="1508"/>
      <c r="AU9" s="1508"/>
      <c r="AV9" s="1508"/>
      <c r="AW9" s="1508"/>
      <c r="AX9" s="1508"/>
      <c r="AY9" s="1508"/>
      <c r="CR9" s="25"/>
    </row>
    <row r="10" spans="1:96" ht="15" customHeight="1">
      <c r="A10" s="2086" t="s">
        <v>1992</v>
      </c>
      <c r="B10" s="2086"/>
      <c r="C10" s="2086"/>
      <c r="D10" s="2086"/>
      <c r="E10" s="2086"/>
      <c r="F10" s="2086"/>
      <c r="G10" s="2086"/>
      <c r="H10" s="2086"/>
      <c r="I10" s="2086"/>
      <c r="J10" s="2086"/>
      <c r="K10" s="2086"/>
      <c r="L10" s="2086"/>
      <c r="M10" s="2086"/>
      <c r="N10" s="2086"/>
      <c r="O10" s="2086"/>
      <c r="P10" s="2086"/>
      <c r="Q10" s="2086"/>
      <c r="R10" s="2086"/>
      <c r="S10" s="2086"/>
      <c r="T10" s="2086"/>
      <c r="U10" s="2086"/>
      <c r="V10" s="2086"/>
      <c r="W10" s="2086"/>
      <c r="X10" s="2086"/>
      <c r="Y10" s="2086"/>
      <c r="Z10" s="2086"/>
      <c r="AA10" s="2086"/>
      <c r="AB10" s="2086"/>
      <c r="AC10" s="2086"/>
      <c r="AD10" s="2086"/>
      <c r="AE10" s="2086"/>
      <c r="AF10" s="2086"/>
      <c r="AG10" s="2086"/>
      <c r="AH10" s="2086"/>
      <c r="AI10" s="2086"/>
      <c r="AJ10" s="2086"/>
      <c r="AK10" s="2086"/>
      <c r="AL10" s="2086"/>
      <c r="AM10" s="20"/>
      <c r="AN10" s="20"/>
      <c r="AO10" s="20"/>
      <c r="AP10" s="20"/>
      <c r="AQ10" s="20"/>
      <c r="AR10" s="20"/>
      <c r="AS10" s="20"/>
      <c r="AT10" s="20"/>
      <c r="AU10" s="20"/>
      <c r="AV10" s="20"/>
      <c r="AW10" s="20"/>
      <c r="AX10" s="20"/>
      <c r="AY10" s="20"/>
    </row>
    <row r="11" spans="1:96" ht="15" customHeight="1">
      <c r="A11" s="2438" t="s">
        <v>2012</v>
      </c>
      <c r="B11" s="2438"/>
      <c r="C11" s="2438"/>
      <c r="D11" s="2438"/>
      <c r="E11" s="2438"/>
      <c r="F11" s="2438"/>
      <c r="G11" s="2438"/>
      <c r="H11" s="2438"/>
      <c r="I11" s="2438"/>
      <c r="J11" s="2438"/>
      <c r="K11" s="2438"/>
      <c r="L11" s="2438"/>
      <c r="M11" s="2438"/>
      <c r="N11" s="2438"/>
      <c r="O11" s="2438"/>
      <c r="P11" s="2438"/>
      <c r="Q11" s="2438"/>
      <c r="R11" s="2438"/>
      <c r="S11" s="2438"/>
      <c r="T11" s="2438"/>
      <c r="U11" s="2438"/>
      <c r="V11" s="2438"/>
      <c r="W11" s="2438"/>
      <c r="X11" s="2438"/>
      <c r="Y11" s="2438"/>
      <c r="Z11" s="2438"/>
      <c r="AA11" s="2438"/>
      <c r="AB11" s="2438"/>
      <c r="AC11" s="2438"/>
      <c r="AD11" s="2438"/>
      <c r="AE11" s="2438"/>
      <c r="AF11" s="2438"/>
      <c r="AG11" s="2438"/>
      <c r="AH11" s="2438"/>
      <c r="AI11" s="2438"/>
      <c r="AJ11" s="2438"/>
      <c r="AK11" s="2438"/>
      <c r="AL11" s="2438"/>
      <c r="AM11" s="1508"/>
      <c r="AN11" s="1508"/>
      <c r="AO11" s="1508"/>
      <c r="AP11" s="1508"/>
      <c r="AQ11" s="1508"/>
      <c r="AR11" s="1508"/>
      <c r="AS11" s="1508"/>
      <c r="AT11" s="1508"/>
      <c r="AU11" s="1508"/>
      <c r="AV11" s="1508"/>
      <c r="AW11" s="1508"/>
      <c r="AX11" s="1508"/>
      <c r="AY11" s="1508"/>
    </row>
    <row r="12" spans="1:96" ht="12.75">
      <c r="A12" s="2457" t="s">
        <v>2520</v>
      </c>
      <c r="B12" s="2458"/>
      <c r="C12" s="2458"/>
      <c r="D12" s="2458"/>
      <c r="E12" s="2458"/>
      <c r="F12" s="2458"/>
      <c r="G12" s="2458"/>
      <c r="H12" s="2458"/>
      <c r="I12" s="2458"/>
      <c r="J12" s="2458"/>
      <c r="K12" s="2458"/>
      <c r="L12" s="2458"/>
      <c r="M12" s="2458"/>
      <c r="N12" s="2458"/>
      <c r="O12" s="2458"/>
      <c r="P12" s="2458"/>
      <c r="Q12" s="2458"/>
      <c r="R12" s="2458"/>
      <c r="S12" s="2458"/>
      <c r="T12" s="2458"/>
      <c r="U12" s="2458"/>
      <c r="V12" s="2458"/>
      <c r="W12" s="2458"/>
      <c r="X12" s="2458"/>
      <c r="Y12" s="2458"/>
      <c r="Z12" s="2458"/>
      <c r="AA12" s="2458"/>
      <c r="AB12" s="2458"/>
      <c r="AC12" s="2458"/>
      <c r="AD12" s="2458"/>
      <c r="AE12" s="2458"/>
      <c r="AF12" s="2458"/>
      <c r="AG12" s="2458"/>
      <c r="AH12" s="2458"/>
      <c r="AI12" s="2458"/>
      <c r="AJ12" s="2458"/>
      <c r="AK12" s="2458"/>
      <c r="AL12" s="2458"/>
      <c r="AM12" s="1514"/>
      <c r="AN12" s="1514"/>
      <c r="AO12" s="1514"/>
      <c r="AP12" s="1514"/>
      <c r="AQ12" s="1514"/>
      <c r="AR12" s="1514"/>
      <c r="AS12" s="1514"/>
      <c r="AT12" s="1514"/>
      <c r="AU12" s="1514"/>
      <c r="AV12" s="1514"/>
      <c r="AW12" s="1514"/>
      <c r="AX12" s="1514"/>
      <c r="AY12" s="1514"/>
    </row>
    <row r="13" spans="1:96" ht="12.75">
      <c r="A13" s="1862" t="s">
        <v>1386</v>
      </c>
      <c r="B13" s="1862"/>
      <c r="C13" s="1862"/>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1862"/>
      <c r="AM13" s="1570"/>
      <c r="AN13" s="1570"/>
      <c r="AO13" s="1570"/>
      <c r="AP13" s="1570"/>
      <c r="AQ13" s="1570"/>
      <c r="AR13" s="1570"/>
      <c r="AS13" s="1570"/>
      <c r="AT13" s="1570"/>
      <c r="AU13" s="1570"/>
      <c r="AV13" s="1570"/>
      <c r="AW13" s="1570"/>
      <c r="AX13" s="1570"/>
      <c r="AY13" s="1570"/>
    </row>
    <row r="14" spans="1:96" ht="12.75" customHeight="1" thickBot="1">
      <c r="A14" s="1863"/>
      <c r="B14" s="1863"/>
      <c r="C14" s="1863"/>
      <c r="D14" s="1863"/>
      <c r="E14" s="1863"/>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1863"/>
      <c r="AM14" s="1570"/>
      <c r="AN14" s="1570"/>
      <c r="AO14" s="1570"/>
      <c r="AP14" s="1570"/>
      <c r="AQ14" s="1570"/>
      <c r="AR14" s="1570"/>
      <c r="AS14" s="1570"/>
      <c r="AT14" s="1570"/>
      <c r="AU14" s="1570"/>
      <c r="AV14" s="1570"/>
      <c r="AW14" s="1570"/>
      <c r="AX14" s="1570"/>
      <c r="AY14" s="1570"/>
    </row>
    <row r="15" spans="1:96" ht="12.75" customHeight="1" thickTop="1">
      <c r="A15" s="145"/>
      <c r="B15" s="145"/>
      <c r="C15" s="145"/>
      <c r="D15" s="145"/>
      <c r="E15" s="145"/>
      <c r="F15" s="145"/>
      <c r="G15" s="145"/>
      <c r="AC15" s="145"/>
      <c r="AD15" s="145"/>
      <c r="AE15" s="145"/>
      <c r="AF15" s="145"/>
      <c r="AG15" s="145"/>
      <c r="AH15" s="145"/>
      <c r="AI15" s="145"/>
      <c r="AJ15" s="145"/>
      <c r="AK15" s="145"/>
      <c r="AL15" s="145"/>
      <c r="AM15" s="1571"/>
      <c r="AN15" s="1571"/>
      <c r="AO15" s="1571"/>
      <c r="AP15" s="1571"/>
      <c r="AQ15" s="1571"/>
      <c r="AR15" s="1571"/>
      <c r="AS15" s="1571"/>
      <c r="AT15" s="1571"/>
      <c r="AU15" s="1571"/>
      <c r="AV15" s="1571"/>
      <c r="AW15" s="1571"/>
      <c r="AX15" s="1571"/>
      <c r="AY15" s="1571"/>
    </row>
    <row r="16" spans="1:96" ht="12.75" customHeight="1">
      <c r="A16" s="134" t="s">
        <v>1374</v>
      </c>
      <c r="C16" s="7"/>
      <c r="D16" s="7"/>
      <c r="E16" s="7"/>
      <c r="F16" s="7"/>
      <c r="G16" s="7"/>
      <c r="H16" s="2432" t="s">
        <v>2527</v>
      </c>
      <c r="I16" s="2433"/>
      <c r="J16" s="2433"/>
      <c r="K16" s="2433"/>
      <c r="L16" s="2433"/>
      <c r="M16" s="2433"/>
      <c r="N16" s="2433"/>
      <c r="O16" s="2433"/>
      <c r="P16" s="2433"/>
      <c r="Q16" s="2433"/>
      <c r="R16" s="2433"/>
      <c r="S16" s="2433"/>
      <c r="T16" s="2433"/>
      <c r="U16" s="2433"/>
      <c r="V16" s="2433"/>
      <c r="W16" s="2433"/>
      <c r="X16" s="2433"/>
      <c r="Y16" s="2433"/>
      <c r="Z16" s="2433"/>
      <c r="AA16" s="2433"/>
      <c r="AB16" s="2433"/>
      <c r="AC16" s="2433"/>
      <c r="AD16" s="2433"/>
      <c r="AE16" s="2433"/>
      <c r="AF16" s="2433"/>
      <c r="AG16" s="2433"/>
      <c r="AH16" s="2433"/>
      <c r="AI16" s="2433"/>
      <c r="AJ16" s="2433"/>
    </row>
    <row r="17" spans="1:96" ht="12.75" customHeight="1"/>
    <row r="18" spans="1:96" ht="12.75" customHeight="1">
      <c r="A18" s="134" t="s">
        <v>106</v>
      </c>
      <c r="C18" s="7"/>
      <c r="D18" s="7"/>
      <c r="E18" s="7"/>
      <c r="F18" s="7"/>
      <c r="G18" s="7"/>
      <c r="H18" s="2296" t="s">
        <v>2528</v>
      </c>
      <c r="I18" s="2349"/>
      <c r="J18" s="2349"/>
      <c r="K18" s="2349"/>
      <c r="L18" s="2349"/>
      <c r="M18" s="2349"/>
      <c r="N18" s="2349"/>
      <c r="O18" s="2349"/>
      <c r="P18" s="2349"/>
      <c r="Q18" s="2349"/>
      <c r="R18" s="2349"/>
      <c r="S18" s="2349"/>
      <c r="T18" s="2349"/>
      <c r="U18" s="2349"/>
      <c r="V18" s="2349"/>
      <c r="W18" s="2349"/>
      <c r="X18" s="2349"/>
      <c r="Y18" s="2349"/>
      <c r="Z18" s="2349"/>
      <c r="AA18" s="2349"/>
      <c r="AB18" s="2349"/>
      <c r="AC18" s="2349"/>
      <c r="AD18" s="2349"/>
      <c r="AE18" s="2349"/>
      <c r="AF18" s="2349"/>
      <c r="AG18" s="2349"/>
      <c r="AH18" s="2349"/>
      <c r="AI18" s="2349"/>
      <c r="AJ18" s="2349"/>
    </row>
    <row r="19" spans="1:96" ht="12.75" customHeight="1"/>
    <row r="20" spans="1:96" ht="14.25" customHeight="1">
      <c r="A20" s="2430" t="s">
        <v>936</v>
      </c>
      <c r="B20" s="2430"/>
      <c r="C20" s="2430"/>
      <c r="D20" s="2430"/>
      <c r="E20" s="2430"/>
      <c r="F20" s="2430"/>
      <c r="G20" s="2430"/>
      <c r="H20" s="2430"/>
      <c r="I20" s="2430"/>
      <c r="J20" s="2430"/>
      <c r="K20" s="2430"/>
      <c r="L20" s="2430"/>
      <c r="M20" s="2430"/>
      <c r="N20" s="2430"/>
      <c r="O20" s="2430"/>
      <c r="P20" s="2430"/>
      <c r="Q20" s="2430"/>
      <c r="R20" s="2430"/>
      <c r="S20" s="2430"/>
      <c r="T20" s="2430"/>
      <c r="U20" s="2430"/>
      <c r="V20" s="2430"/>
      <c r="W20" s="2430"/>
      <c r="X20" s="2430"/>
      <c r="Y20" s="2430"/>
      <c r="Z20" s="2430"/>
      <c r="AA20" s="2430"/>
      <c r="AB20" s="2430"/>
      <c r="AC20" s="2430"/>
      <c r="AD20" s="2430"/>
      <c r="AE20" s="2430"/>
      <c r="AF20" s="2430"/>
      <c r="AG20" s="2430"/>
      <c r="AH20" s="2430"/>
      <c r="AI20" s="2430"/>
      <c r="AJ20" s="2430"/>
      <c r="AK20" s="2430"/>
      <c r="AL20" s="2430"/>
      <c r="AM20" s="1572"/>
      <c r="AN20" s="1572"/>
      <c r="AO20" s="1572"/>
      <c r="AP20" s="1572"/>
      <c r="AQ20" s="1572"/>
      <c r="AR20" s="1572"/>
      <c r="AS20" s="1572"/>
      <c r="AT20" s="1572"/>
      <c r="AU20" s="1572"/>
      <c r="AV20" s="1572"/>
      <c r="AW20" s="1572"/>
      <c r="AX20" s="1572"/>
      <c r="AY20" s="1572"/>
    </row>
    <row r="21" spans="1:96" ht="12.75" customHeight="1">
      <c r="A21" s="2460" t="s">
        <v>1116</v>
      </c>
      <c r="B21" s="2460"/>
      <c r="C21" s="2460"/>
      <c r="D21" s="2460"/>
      <c r="E21" s="2460"/>
      <c r="F21" s="2460"/>
      <c r="G21" s="2460"/>
      <c r="H21" s="2460"/>
      <c r="I21" s="2460"/>
      <c r="J21" s="2460"/>
      <c r="K21" s="2460"/>
      <c r="L21" s="2460"/>
      <c r="M21" s="2460"/>
      <c r="N21" s="2460"/>
      <c r="O21" s="2460"/>
      <c r="P21" s="2460"/>
      <c r="Q21" s="2460"/>
      <c r="R21" s="2460"/>
      <c r="S21" s="2460"/>
      <c r="T21" s="2460"/>
      <c r="U21" s="2460"/>
      <c r="V21" s="2460"/>
      <c r="W21" s="2460"/>
      <c r="X21" s="2460"/>
      <c r="Y21" s="2460"/>
      <c r="Z21" s="2460"/>
      <c r="AA21" s="2460"/>
      <c r="AB21" s="2460"/>
      <c r="AC21" s="2460"/>
      <c r="AD21" s="2460"/>
      <c r="AE21" s="2460"/>
      <c r="AF21" s="2460"/>
      <c r="AG21" s="2460"/>
      <c r="AH21" s="2460"/>
      <c r="AI21" s="2460"/>
      <c r="AJ21" s="2460"/>
      <c r="AK21" s="2460"/>
      <c r="AL21" s="2460"/>
      <c r="AM21" s="1573"/>
      <c r="AN21" s="1573"/>
      <c r="AO21" s="1573"/>
      <c r="AP21" s="1573"/>
      <c r="AQ21" s="1573"/>
      <c r="AR21" s="1573"/>
      <c r="AS21" s="1573"/>
      <c r="AT21" s="1573"/>
      <c r="AU21" s="1573"/>
      <c r="AV21" s="1573"/>
      <c r="AW21" s="1573"/>
      <c r="AX21" s="1573"/>
      <c r="AY21" s="1573"/>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4"/>
      <c r="AN23" s="1574"/>
      <c r="AO23" s="1574"/>
      <c r="AP23" s="1574"/>
      <c r="AQ23" s="1574"/>
      <c r="AR23" s="1574"/>
      <c r="AS23" s="1574"/>
      <c r="AT23" s="1574"/>
      <c r="AU23" s="1574"/>
      <c r="AV23" s="1574"/>
      <c r="AW23" s="1574"/>
      <c r="AX23" s="1574"/>
      <c r="AY23" s="1574"/>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4"/>
      <c r="AN24" s="1574"/>
      <c r="AO24" s="1574"/>
      <c r="AP24" s="1574"/>
      <c r="AQ24" s="1574"/>
      <c r="AR24" s="1574"/>
      <c r="AS24" s="1574"/>
      <c r="AT24" s="1574"/>
      <c r="AU24" s="1574"/>
      <c r="AV24" s="1574"/>
      <c r="AW24" s="1574"/>
      <c r="AX24" s="1574"/>
      <c r="AY24" s="1574"/>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9">
        <f>'Basis &amp; Credits'!AB56</f>
        <v>5513422.2000000002</v>
      </c>
      <c r="N26" s="2459"/>
      <c r="O26" s="2459"/>
      <c r="P26" s="2459"/>
      <c r="Q26" s="2459"/>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9">
        <f>'Basis &amp; Credits'!AB77</f>
        <v>0</v>
      </c>
      <c r="N27" s="2019"/>
      <c r="O27" s="2019"/>
      <c r="P27" s="2019"/>
      <c r="Q27" s="2019"/>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28" t="s">
        <v>706</v>
      </c>
      <c r="P33" s="2028"/>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09"/>
      <c r="AN42" s="1509"/>
      <c r="AO42" s="1509"/>
      <c r="AP42" s="1509"/>
      <c r="AQ42" s="1509"/>
      <c r="AR42" s="1509"/>
      <c r="AS42" s="1509"/>
      <c r="AT42" s="1509"/>
      <c r="AU42" s="1509"/>
      <c r="AV42" s="1509"/>
      <c r="AW42" s="1509"/>
      <c r="AX42" s="1509"/>
      <c r="AY42" s="1509"/>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09"/>
      <c r="AN55" s="1509"/>
      <c r="AO55" s="1509"/>
      <c r="AP55" s="1509"/>
      <c r="AQ55" s="1509"/>
      <c r="AR55" s="1509"/>
      <c r="AS55" s="1509"/>
      <c r="AT55" s="1509"/>
      <c r="AU55" s="1509"/>
      <c r="AV55" s="1509"/>
      <c r="AW55" s="1509"/>
      <c r="AX55" s="1509"/>
      <c r="AY55" s="1509"/>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09"/>
      <c r="AN56" s="1509"/>
      <c r="AO56" s="1509"/>
      <c r="AP56" s="1509"/>
      <c r="AQ56" s="1509"/>
      <c r="AR56" s="1509"/>
      <c r="AS56" s="1509"/>
      <c r="AT56" s="1509"/>
      <c r="AU56" s="1509"/>
      <c r="AV56" s="1509"/>
      <c r="AW56" s="1509"/>
      <c r="AX56" s="1509"/>
      <c r="AY56" s="15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09"/>
      <c r="AN57" s="1509"/>
      <c r="AO57" s="1509"/>
      <c r="AP57" s="1509"/>
      <c r="AQ57" s="1509"/>
      <c r="AR57" s="1509"/>
      <c r="AS57" s="1509"/>
      <c r="AT57" s="1509"/>
      <c r="AU57" s="1509"/>
      <c r="AV57" s="1509"/>
      <c r="AW57" s="1509"/>
      <c r="AX57" s="1509"/>
      <c r="AY57" s="1509"/>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09"/>
      <c r="AN58" s="1509"/>
      <c r="AO58" s="1509"/>
      <c r="AP58" s="1509"/>
      <c r="AQ58" s="1509"/>
      <c r="AR58" s="1509"/>
      <c r="AS58" s="1509"/>
      <c r="AT58" s="1509"/>
      <c r="AU58" s="1509"/>
      <c r="AV58" s="1509"/>
      <c r="AW58" s="1509"/>
      <c r="AX58" s="1509"/>
      <c r="AY58" s="1509"/>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5"/>
      <c r="AN65" s="1575"/>
      <c r="AO65" s="1575"/>
      <c r="AP65" s="1575"/>
      <c r="AQ65" s="1575"/>
      <c r="AR65" s="1575"/>
      <c r="AS65" s="1575"/>
      <c r="AT65" s="1575"/>
      <c r="AU65" s="1575"/>
      <c r="AV65" s="1575"/>
      <c r="AW65" s="1575"/>
      <c r="AX65" s="1575"/>
      <c r="AY65" s="1575"/>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5"/>
      <c r="AN66" s="1575"/>
      <c r="AO66" s="1575"/>
      <c r="AP66" s="1575"/>
      <c r="AQ66" s="1575"/>
      <c r="AR66" s="1575"/>
      <c r="AS66" s="1575"/>
      <c r="AT66" s="1575"/>
      <c r="AU66" s="1575"/>
      <c r="AV66" s="1575"/>
      <c r="AW66" s="1575"/>
      <c r="AX66" s="1575"/>
      <c r="AY66" s="1575"/>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09"/>
      <c r="AN67" s="1509"/>
      <c r="AO67" s="1509"/>
      <c r="AP67" s="1509"/>
      <c r="AQ67" s="1509"/>
      <c r="AR67" s="1509"/>
      <c r="AS67" s="1509"/>
      <c r="AT67" s="1509"/>
      <c r="AU67" s="1509"/>
      <c r="AV67" s="1509"/>
      <c r="AW67" s="1509"/>
      <c r="AX67" s="1509"/>
      <c r="AY67" s="1509"/>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09"/>
      <c r="AN68" s="1509"/>
      <c r="AO68" s="1509"/>
      <c r="AP68" s="1509"/>
      <c r="AQ68" s="1509"/>
      <c r="AR68" s="1509"/>
      <c r="AS68" s="1509"/>
      <c r="AT68" s="1509"/>
      <c r="AU68" s="1509"/>
      <c r="AV68" s="1509"/>
      <c r="AW68" s="1509"/>
      <c r="AX68" s="1509"/>
      <c r="AY68" s="1509"/>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09"/>
      <c r="AN69" s="1509"/>
      <c r="AO69" s="1509"/>
      <c r="AP69" s="1509"/>
      <c r="AQ69" s="1509"/>
      <c r="AR69" s="1509"/>
      <c r="AS69" s="1509"/>
      <c r="AT69" s="1509"/>
      <c r="AU69" s="1509"/>
      <c r="AV69" s="1509"/>
      <c r="AW69" s="1509"/>
      <c r="AX69" s="1509"/>
      <c r="AY69" s="15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6"/>
      <c r="AN89" s="1576"/>
      <c r="AO89" s="1576"/>
      <c r="AP89" s="1576"/>
      <c r="AQ89" s="1576"/>
      <c r="AR89" s="1576"/>
      <c r="AS89" s="1576"/>
      <c r="AT89" s="1576"/>
      <c r="AU89" s="1576"/>
      <c r="AV89" s="1576"/>
      <c r="AW89" s="1576"/>
      <c r="AX89" s="1576"/>
      <c r="AY89" s="1576"/>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6"/>
      <c r="AN90" s="1576"/>
      <c r="AO90" s="1576"/>
      <c r="AP90" s="1576"/>
      <c r="AQ90" s="1576"/>
      <c r="AR90" s="1576"/>
      <c r="AS90" s="1576"/>
      <c r="AT90" s="1576"/>
      <c r="AU90" s="1576"/>
      <c r="AV90" s="1576"/>
      <c r="AW90" s="1576"/>
      <c r="AX90" s="1576"/>
      <c r="AY90" s="1576"/>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6"/>
      <c r="AN91" s="1576"/>
      <c r="AO91" s="1576"/>
      <c r="AP91" s="1576"/>
      <c r="AQ91" s="1576"/>
      <c r="AR91" s="1576"/>
      <c r="AS91" s="1576"/>
      <c r="AT91" s="1576"/>
      <c r="AU91" s="1576"/>
      <c r="AV91" s="1576"/>
      <c r="AW91" s="1576"/>
      <c r="AX91" s="1576"/>
      <c r="AY91" s="1576"/>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31"/>
      <c r="H122" s="2431"/>
      <c r="I122" s="239" t="s">
        <v>187</v>
      </c>
      <c r="L122" s="2431"/>
      <c r="M122" s="2431"/>
      <c r="N122" s="2431"/>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62"/>
      <c r="D124" s="2462"/>
      <c r="E124" s="2462"/>
      <c r="F124" s="2462"/>
      <c r="G124" s="2462"/>
      <c r="H124" s="2462"/>
      <c r="I124" s="2462"/>
      <c r="J124" s="2462"/>
      <c r="K124" s="2462"/>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31"/>
      <c r="Z126" s="2431"/>
      <c r="AA126" s="2431"/>
      <c r="AB126" s="2431"/>
      <c r="AC126" s="2431"/>
      <c r="AD126" s="2431"/>
      <c r="AE126" s="2431"/>
      <c r="AF126" s="2431"/>
      <c r="AG126" s="2431"/>
      <c r="AH126" s="2431"/>
      <c r="AI126" s="2431"/>
      <c r="AJ126" s="2431"/>
      <c r="AK126" s="2431"/>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7"/>
      <c r="AN128" s="1577"/>
      <c r="AO128" s="1577"/>
      <c r="AP128" s="1577"/>
      <c r="AQ128" s="1577"/>
      <c r="AR128" s="1577"/>
      <c r="AS128" s="1577"/>
      <c r="AT128" s="1577"/>
      <c r="AU128" s="1577"/>
      <c r="AV128" s="1577"/>
      <c r="AW128" s="1577"/>
      <c r="AX128" s="1577"/>
      <c r="AY128" s="1577"/>
    </row>
    <row r="129" spans="1:96" ht="12.75">
      <c r="A129" s="697"/>
      <c r="B129" s="150"/>
      <c r="R129" s="265"/>
      <c r="S129" s="265"/>
      <c r="T129" s="265"/>
      <c r="U129" s="265"/>
      <c r="V129" s="265"/>
      <c r="W129" s="265"/>
      <c r="X129" s="58"/>
      <c r="Y129" s="2437"/>
      <c r="Z129" s="2437"/>
      <c r="AA129" s="2437"/>
      <c r="AB129" s="2437"/>
      <c r="AC129" s="2437"/>
      <c r="AD129" s="2437"/>
      <c r="AE129" s="2437"/>
      <c r="AF129" s="2437"/>
      <c r="AG129" s="2437"/>
      <c r="AH129" s="2437"/>
      <c r="AI129" s="2437"/>
      <c r="AJ129" s="2437"/>
      <c r="AK129" s="2437"/>
      <c r="AL129" s="697"/>
      <c r="AM129" s="1577"/>
      <c r="AN129" s="1577"/>
      <c r="AO129" s="1577"/>
      <c r="AP129" s="1577"/>
      <c r="AQ129" s="1577"/>
      <c r="AR129" s="1577"/>
      <c r="AS129" s="1577"/>
      <c r="AT129" s="1577"/>
      <c r="AU129" s="1577"/>
      <c r="AV129" s="1577"/>
      <c r="AW129" s="1577"/>
      <c r="AX129" s="1577"/>
      <c r="AY129" s="1577"/>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37"/>
      <c r="Z132" s="2437"/>
      <c r="AA132" s="2437"/>
      <c r="AB132" s="2437"/>
      <c r="AC132" s="2437"/>
      <c r="AD132" s="2437"/>
      <c r="AE132" s="2437"/>
      <c r="AF132" s="2437"/>
      <c r="AG132" s="2437"/>
      <c r="AH132" s="2437"/>
      <c r="AI132" s="2437"/>
      <c r="AJ132" s="2437"/>
      <c r="AK132" s="243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61"/>
      <c r="G150" s="2461"/>
      <c r="H150" s="2461"/>
      <c r="I150" s="2461"/>
      <c r="J150" s="2461"/>
      <c r="K150" s="2461"/>
      <c r="L150" s="2461"/>
      <c r="M150" s="2461"/>
      <c r="N150" s="2461"/>
      <c r="O150" s="2461"/>
      <c r="P150" s="2461"/>
      <c r="Q150" s="2461"/>
      <c r="R150" s="2461"/>
      <c r="S150" s="2461"/>
      <c r="T150" s="246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296" t="s">
        <v>2529</v>
      </c>
      <c r="P153" s="2349"/>
      <c r="Q153" s="2349"/>
      <c r="R153" s="2349"/>
      <c r="S153" s="2349"/>
      <c r="T153" s="2349"/>
      <c r="U153" s="2349"/>
      <c r="V153" s="2349"/>
      <c r="W153" s="2349"/>
      <c r="X153" s="2349"/>
      <c r="Y153" s="2349"/>
      <c r="Z153" s="2349"/>
      <c r="AA153" s="2349"/>
      <c r="AB153" s="2349"/>
      <c r="AC153" s="2349"/>
      <c r="AD153" s="2349"/>
      <c r="AE153" s="2349"/>
      <c r="AF153" s="2349"/>
      <c r="AG153" s="2349"/>
      <c r="AH153" s="2349"/>
    </row>
    <row r="154" spans="1:96" ht="12.75" customHeight="1">
      <c r="D154" s="466" t="s">
        <v>462</v>
      </c>
      <c r="F154" s="32"/>
      <c r="G154" s="32"/>
      <c r="H154" s="32"/>
      <c r="I154" s="32"/>
      <c r="J154" s="32"/>
      <c r="K154" s="32"/>
      <c r="L154" s="32"/>
      <c r="M154" s="32"/>
      <c r="N154" s="32"/>
      <c r="O154" s="2058" t="s">
        <v>2530</v>
      </c>
      <c r="P154" s="2066"/>
      <c r="Q154" s="2066"/>
      <c r="R154" s="2066"/>
      <c r="S154" s="2066"/>
      <c r="T154" s="2066"/>
      <c r="U154" s="2066"/>
      <c r="V154" s="2066"/>
      <c r="W154" s="2066"/>
      <c r="X154" s="2066"/>
      <c r="Y154" s="2066"/>
      <c r="Z154" s="2066"/>
      <c r="AA154" s="2066"/>
      <c r="AB154" s="2066"/>
      <c r="AC154" s="2066"/>
      <c r="AD154" s="2066"/>
      <c r="AE154" s="2066"/>
      <c r="AF154" s="2066"/>
      <c r="AG154" s="2066"/>
      <c r="AH154" s="2066"/>
      <c r="AZ154" s="25"/>
    </row>
    <row r="155" spans="1:96" ht="12.75">
      <c r="D155" s="13" t="s">
        <v>464</v>
      </c>
      <c r="F155" s="13"/>
      <c r="G155" s="13"/>
      <c r="H155" s="13"/>
      <c r="I155" s="13"/>
      <c r="J155" s="13"/>
      <c r="K155" s="13"/>
      <c r="L155" s="13"/>
      <c r="M155" s="13"/>
      <c r="N155" s="13"/>
      <c r="O155" s="2439" t="s">
        <v>463</v>
      </c>
      <c r="P155" s="2439"/>
      <c r="Q155" s="2439"/>
      <c r="R155" s="2439"/>
      <c r="S155" s="2439"/>
      <c r="T155" s="2439"/>
      <c r="U155" s="2439"/>
      <c r="V155" s="2439"/>
      <c r="W155" s="2439"/>
      <c r="X155" s="2439"/>
      <c r="Y155" s="2439"/>
      <c r="Z155" s="2439"/>
      <c r="AA155" s="2439"/>
      <c r="AB155" s="2439"/>
      <c r="AC155" s="2439"/>
      <c r="AD155" s="2439"/>
      <c r="AE155" s="2439"/>
      <c r="AF155" s="2439"/>
      <c r="AG155" s="2439"/>
      <c r="AH155" s="2439"/>
      <c r="AZ155" s="25"/>
    </row>
    <row r="156" spans="1:96" ht="12.75">
      <c r="D156" s="32" t="s">
        <v>322</v>
      </c>
      <c r="F156" s="32"/>
      <c r="G156" s="32"/>
      <c r="H156" s="32"/>
      <c r="I156" s="32"/>
      <c r="J156" s="32"/>
      <c r="K156" s="32"/>
      <c r="L156" s="32"/>
      <c r="M156" s="32"/>
      <c r="N156" s="32"/>
      <c r="O156" s="2055" t="s">
        <v>2531</v>
      </c>
      <c r="P156" s="2055"/>
      <c r="Q156" s="2055"/>
      <c r="R156" s="2055"/>
      <c r="S156" s="2055"/>
      <c r="T156" s="2055"/>
      <c r="U156" s="2055"/>
      <c r="V156" s="2055"/>
      <c r="W156" s="2055"/>
      <c r="X156" s="2055"/>
      <c r="Y156" s="2055"/>
      <c r="Z156" s="2055"/>
      <c r="AA156" s="2055"/>
      <c r="AB156" s="2055"/>
      <c r="AC156" s="2055"/>
      <c r="AD156" s="2055"/>
      <c r="AE156" s="2055"/>
      <c r="AF156" s="2055"/>
      <c r="AG156" s="2055"/>
      <c r="AH156" s="2055"/>
      <c r="BT156" s="12" t="s">
        <v>316</v>
      </c>
    </row>
    <row r="157" spans="1:96" ht="12.75">
      <c r="D157" s="32" t="s">
        <v>323</v>
      </c>
      <c r="F157" s="32"/>
      <c r="G157" s="32"/>
      <c r="H157" s="32"/>
      <c r="I157" s="32"/>
      <c r="J157" s="32"/>
      <c r="K157" s="32"/>
      <c r="L157" s="32"/>
      <c r="M157" s="32"/>
      <c r="N157" s="32"/>
      <c r="O157" s="2296" t="s">
        <v>2532</v>
      </c>
      <c r="P157" s="2349"/>
      <c r="Q157" s="2349"/>
      <c r="R157" s="2349"/>
      <c r="S157" s="2349"/>
      <c r="T157" s="2349"/>
      <c r="U157" s="2349"/>
      <c r="V157" s="2349"/>
      <c r="W157" s="2349"/>
      <c r="X157" s="2349"/>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440">
        <v>95037</v>
      </c>
      <c r="P158" s="2440"/>
      <c r="Q158" s="2440"/>
      <c r="R158" s="2440"/>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442" t="s">
        <v>2533</v>
      </c>
      <c r="P159" s="2442"/>
      <c r="Q159" s="2442"/>
      <c r="R159" s="2442"/>
      <c r="S159" s="2442"/>
      <c r="T159" s="2442"/>
      <c r="V159" s="146" t="s">
        <v>277</v>
      </c>
      <c r="W159" s="2441"/>
      <c r="X159" s="2441"/>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442" t="s">
        <v>2534</v>
      </c>
      <c r="P160" s="2442"/>
      <c r="Q160" s="2442"/>
      <c r="R160" s="2442"/>
      <c r="S160" s="2442"/>
      <c r="T160" s="2442"/>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50" t="s">
        <v>2535</v>
      </c>
      <c r="P161" s="2350"/>
      <c r="Q161" s="2350"/>
      <c r="R161" s="2350"/>
      <c r="S161" s="2350"/>
      <c r="T161" s="2350"/>
      <c r="U161" s="2350"/>
      <c r="V161" s="2350"/>
      <c r="W161" s="2350"/>
      <c r="X161" s="2350"/>
      <c r="Y161" s="2350"/>
      <c r="Z161" s="2350"/>
      <c r="AA161" s="2350"/>
      <c r="AB161" s="2350"/>
      <c r="AC161" s="2350"/>
      <c r="AD161" s="2350"/>
      <c r="AE161" s="2350"/>
      <c r="AF161" s="2350"/>
      <c r="AG161" s="2350"/>
      <c r="AH161" s="2350"/>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63" t="s">
        <v>1456</v>
      </c>
      <c r="E164" s="2463"/>
      <c r="F164" s="2463"/>
      <c r="G164" s="2463"/>
      <c r="H164" s="2463"/>
      <c r="I164" s="2463"/>
      <c r="J164" s="2463"/>
      <c r="K164" s="2463"/>
      <c r="L164" s="2463"/>
      <c r="M164" s="2463"/>
      <c r="N164" s="2463"/>
      <c r="O164" s="2463"/>
      <c r="P164" s="2463"/>
      <c r="Q164" s="2463"/>
      <c r="R164" s="2463"/>
      <c r="S164" s="2463"/>
      <c r="T164" s="2463"/>
      <c r="U164" s="2463"/>
      <c r="V164" s="2463"/>
      <c r="W164" s="2463"/>
      <c r="X164" s="2463"/>
      <c r="Y164" s="2463"/>
      <c r="Z164" s="2463"/>
      <c r="AA164" s="2463"/>
      <c r="AB164" s="2463"/>
      <c r="AC164" s="2463"/>
      <c r="AD164" s="2463"/>
      <c r="AE164" s="2463"/>
      <c r="AF164" s="2463"/>
      <c r="AG164" s="2463"/>
      <c r="AH164" s="2463"/>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78" t="s">
        <v>572</v>
      </c>
      <c r="B169" s="2378"/>
      <c r="C169" s="2378"/>
      <c r="D169" s="2378"/>
      <c r="E169" s="2378"/>
      <c r="F169" s="2378"/>
      <c r="G169" s="2378"/>
      <c r="H169" s="2378"/>
      <c r="I169" s="2378"/>
      <c r="J169" s="2378"/>
      <c r="K169" s="2378"/>
      <c r="L169" s="2378"/>
      <c r="M169" s="2378"/>
      <c r="N169" s="2378"/>
      <c r="O169" s="2378"/>
      <c r="P169" s="2378"/>
      <c r="Q169" s="2378"/>
      <c r="R169" s="2378"/>
      <c r="S169" s="2378"/>
      <c r="T169" s="2378"/>
      <c r="U169" s="2378"/>
      <c r="V169" s="2378"/>
      <c r="W169" s="2378"/>
      <c r="X169" s="2378"/>
      <c r="Y169" s="2378"/>
      <c r="Z169" s="2378"/>
      <c r="AA169" s="2378"/>
      <c r="AB169" s="2378"/>
      <c r="AC169" s="2378"/>
      <c r="AD169" s="2378"/>
      <c r="AE169" s="2378"/>
      <c r="AF169" s="2378"/>
      <c r="AG169" s="2378"/>
      <c r="AH169" s="2378"/>
      <c r="AI169" s="2378"/>
      <c r="AJ169" s="2378"/>
      <c r="AK169" s="2378"/>
      <c r="AL169" s="2378"/>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79"/>
      <c r="B170" s="2379"/>
      <c r="C170" s="2379"/>
      <c r="D170" s="2379"/>
      <c r="E170" s="2379"/>
      <c r="F170" s="2379"/>
      <c r="G170" s="2379"/>
      <c r="H170" s="2379"/>
      <c r="I170" s="2379"/>
      <c r="J170" s="2379"/>
      <c r="K170" s="2379"/>
      <c r="L170" s="2379"/>
      <c r="M170" s="2379"/>
      <c r="N170" s="2379"/>
      <c r="O170" s="2379"/>
      <c r="P170" s="2379"/>
      <c r="Q170" s="2379"/>
      <c r="R170" s="2379"/>
      <c r="S170" s="2379"/>
      <c r="T170" s="2379"/>
      <c r="U170" s="2379"/>
      <c r="V170" s="2379"/>
      <c r="W170" s="2379"/>
      <c r="X170" s="2379"/>
      <c r="Y170" s="2379"/>
      <c r="Z170" s="2379"/>
      <c r="AA170" s="2379"/>
      <c r="AB170" s="2379"/>
      <c r="AC170" s="2379"/>
      <c r="AD170" s="2379"/>
      <c r="AE170" s="2379"/>
      <c r="AF170" s="2379"/>
      <c r="AG170" s="2379"/>
      <c r="AH170" s="2379"/>
      <c r="AI170" s="2379"/>
      <c r="AJ170" s="2379"/>
      <c r="AK170" s="2379"/>
      <c r="AL170" s="2379"/>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444" t="s">
        <v>389</v>
      </c>
      <c r="K173" s="2444"/>
      <c r="L173" s="2444"/>
      <c r="M173" s="2444"/>
      <c r="N173" s="2444"/>
      <c r="O173" s="2444"/>
      <c r="P173" s="2444"/>
      <c r="Q173" s="2444"/>
      <c r="R173" s="2444"/>
      <c r="S173" s="2444"/>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55" t="s">
        <v>2525</v>
      </c>
      <c r="K174" s="2055"/>
      <c r="L174" s="2055"/>
      <c r="M174" s="2055"/>
      <c r="N174" s="2055"/>
      <c r="O174" s="2055"/>
      <c r="P174" s="2055"/>
      <c r="Q174" s="2055"/>
      <c r="R174" s="2055"/>
      <c r="S174" s="2055"/>
      <c r="T174" s="2055"/>
      <c r="U174" s="2055"/>
      <c r="V174" s="2055"/>
      <c r="W174" s="2055"/>
      <c r="X174" s="2055"/>
      <c r="Y174" s="2055"/>
      <c r="Z174" s="2055"/>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28" t="s">
        <v>706</v>
      </c>
      <c r="V175" s="2028"/>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7"/>
      <c r="V176" s="2047"/>
      <c r="W176" s="4" t="s">
        <v>315</v>
      </c>
      <c r="X176" s="2447"/>
      <c r="Y176" s="2447"/>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28" t="s">
        <v>706</v>
      </c>
      <c r="S177" s="2028"/>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97"/>
      <c r="AG178" s="2297"/>
      <c r="AH178" s="4" t="s">
        <v>315</v>
      </c>
      <c r="AI178" s="2424"/>
      <c r="AJ178" s="2424"/>
      <c r="AK178" s="2424"/>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28" t="s">
        <v>706</v>
      </c>
      <c r="Y180" s="2028"/>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14" t="str">
        <f>H18</f>
        <v xml:space="preserve">Monterey and Madrone Apartments </v>
      </c>
      <c r="J184" s="2014"/>
      <c r="K184" s="2014"/>
      <c r="L184" s="2014"/>
      <c r="M184" s="2014"/>
      <c r="N184" s="2014"/>
      <c r="O184" s="2014"/>
      <c r="P184" s="2014"/>
      <c r="Q184" s="2014"/>
      <c r="R184" s="2014"/>
      <c r="S184" s="2014"/>
      <c r="T184" s="2014"/>
      <c r="U184" s="2014"/>
      <c r="V184" s="2014"/>
      <c r="W184" s="2014"/>
      <c r="X184" s="2014"/>
      <c r="Y184" s="2014"/>
      <c r="Z184" s="2014"/>
      <c r="AA184" s="2014"/>
      <c r="AB184" s="2014"/>
      <c r="AC184" s="2014"/>
      <c r="AD184" s="2014"/>
      <c r="AE184" s="2014"/>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288" t="s">
        <v>2536</v>
      </c>
      <c r="J185" s="2288"/>
      <c r="K185" s="2288"/>
      <c r="L185" s="2288"/>
      <c r="M185" s="2288"/>
      <c r="N185" s="2288"/>
      <c r="O185" s="2288"/>
      <c r="P185" s="2288"/>
      <c r="Q185" s="2288"/>
      <c r="R185" s="2288"/>
      <c r="S185" s="2288"/>
      <c r="T185" s="2288"/>
      <c r="U185" s="2288"/>
      <c r="V185" s="2288"/>
      <c r="W185" s="2288"/>
      <c r="X185" s="2288"/>
      <c r="Y185" s="2288"/>
      <c r="Z185" s="2288"/>
      <c r="AA185" s="2288"/>
      <c r="AB185" s="2288"/>
      <c r="AC185" s="2288"/>
      <c r="AD185" s="2288"/>
      <c r="AE185" s="2288"/>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52"/>
      <c r="F187" s="2452"/>
      <c r="G187" s="2452"/>
      <c r="H187" s="2452"/>
      <c r="I187" s="2452"/>
      <c r="J187" s="2452"/>
      <c r="K187" s="2452"/>
      <c r="L187" s="2452"/>
      <c r="M187" s="2452"/>
      <c r="N187" s="2452"/>
      <c r="O187" s="2452"/>
      <c r="P187" s="2452"/>
      <c r="Q187" s="2452"/>
      <c r="R187" s="2452"/>
      <c r="S187" s="2452"/>
      <c r="T187" s="2452"/>
      <c r="U187" s="2452"/>
      <c r="V187" s="2452"/>
      <c r="W187" s="2452"/>
      <c r="X187" s="2452"/>
      <c r="Y187" s="2452"/>
      <c r="Z187" s="2452"/>
      <c r="AA187" s="2452"/>
      <c r="AB187" s="2452"/>
      <c r="AC187" s="2452"/>
      <c r="AD187" s="2452"/>
      <c r="AE187" s="2452"/>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53"/>
      <c r="F188" s="2453"/>
      <c r="G188" s="2453"/>
      <c r="H188" s="2453"/>
      <c r="I188" s="2453"/>
      <c r="J188" s="2453"/>
      <c r="K188" s="2453"/>
      <c r="L188" s="2453"/>
      <c r="M188" s="2453"/>
      <c r="N188" s="2453"/>
      <c r="O188" s="2453"/>
      <c r="P188" s="2453"/>
      <c r="Q188" s="2453"/>
      <c r="R188" s="2453"/>
      <c r="S188" s="2453"/>
      <c r="T188" s="2453"/>
      <c r="U188" s="2453"/>
      <c r="V188" s="2453"/>
      <c r="W188" s="2453"/>
      <c r="X188" s="2453"/>
      <c r="Y188" s="2453"/>
      <c r="Z188" s="2453"/>
      <c r="AA188" s="2453"/>
      <c r="AB188" s="2453"/>
      <c r="AC188" s="2453"/>
      <c r="AD188" s="2453"/>
      <c r="AE188" s="2453"/>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55" t="s">
        <v>2537</v>
      </c>
      <c r="J189" s="2055"/>
      <c r="K189" s="2055"/>
      <c r="L189" s="2055"/>
      <c r="M189" s="2055"/>
      <c r="N189" s="2055"/>
      <c r="O189" s="2055"/>
      <c r="P189" s="2055"/>
      <c r="Q189" s="25" t="s">
        <v>617</v>
      </c>
      <c r="T189" s="2055" t="s">
        <v>198</v>
      </c>
      <c r="U189" s="2055"/>
      <c r="V189" s="2055"/>
      <c r="W189" s="2055"/>
      <c r="X189" s="2055"/>
      <c r="Y189" s="2055"/>
      <c r="Z189" s="2055"/>
      <c r="AA189" s="2055"/>
      <c r="AB189" s="2055"/>
      <c r="AC189" s="2055"/>
      <c r="AD189" s="2055"/>
      <c r="AE189" s="2055"/>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288">
        <v>95037</v>
      </c>
      <c r="J190" s="2288"/>
      <c r="K190" s="2288"/>
      <c r="L190" s="2288"/>
      <c r="M190" s="2288"/>
      <c r="N190" s="2288"/>
      <c r="O190" s="25" t="s">
        <v>620</v>
      </c>
      <c r="P190" s="25"/>
      <c r="Q190" s="25"/>
      <c r="R190" s="25"/>
      <c r="S190" s="25"/>
      <c r="T190" s="2450">
        <v>5123.1099999999997</v>
      </c>
      <c r="U190" s="2450"/>
      <c r="V190" s="2450"/>
      <c r="W190" s="2450"/>
      <c r="X190" s="2450"/>
      <c r="Y190" s="2450"/>
      <c r="Z190" s="2450"/>
      <c r="AA190" s="2450"/>
      <c r="AB190" s="2450"/>
      <c r="AC190" s="2450"/>
      <c r="AD190" s="2450"/>
      <c r="AE190" s="2450"/>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 r="A191" s="25"/>
      <c r="C191" s="46"/>
      <c r="D191" s="25" t="s">
        <v>495</v>
      </c>
      <c r="E191" s="25"/>
      <c r="F191" s="25"/>
      <c r="G191" s="25"/>
      <c r="H191" s="25"/>
      <c r="I191" s="25"/>
      <c r="J191" s="25"/>
      <c r="K191" s="25"/>
      <c r="L191" s="25"/>
      <c r="M191" s="25"/>
      <c r="N191" s="2452" t="s">
        <v>2538</v>
      </c>
      <c r="O191" s="2452"/>
      <c r="P191" s="2452"/>
      <c r="Q191" s="2452"/>
      <c r="R191" s="2452"/>
      <c r="S191" s="2452"/>
      <c r="T191" s="2452"/>
      <c r="U191" s="2452"/>
      <c r="V191" s="2452"/>
      <c r="W191" s="2452"/>
      <c r="X191" s="2452"/>
      <c r="Y191" s="2452"/>
      <c r="Z191" s="2452"/>
      <c r="AA191" s="2452"/>
      <c r="AB191" s="2452"/>
      <c r="AC191" s="2452"/>
      <c r="AD191" s="2452"/>
      <c r="AE191" s="2452"/>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453"/>
      <c r="O192" s="2453"/>
      <c r="P192" s="2453"/>
      <c r="Q192" s="2453"/>
      <c r="R192" s="2453"/>
      <c r="S192" s="2453"/>
      <c r="T192" s="2453"/>
      <c r="U192" s="2453"/>
      <c r="V192" s="2453"/>
      <c r="W192" s="2453"/>
      <c r="X192" s="2453"/>
      <c r="Y192" s="2453"/>
      <c r="Z192" s="2453"/>
      <c r="AA192" s="2453"/>
      <c r="AB192" s="2453"/>
      <c r="AC192" s="2453"/>
      <c r="AD192" s="2453"/>
      <c r="AE192" s="2453"/>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2.75">
      <c r="A193" s="25"/>
      <c r="B193" s="719"/>
      <c r="C193" s="46"/>
      <c r="D193" s="687" t="s">
        <v>2014</v>
      </c>
      <c r="E193" s="25"/>
      <c r="F193" s="25"/>
      <c r="G193" s="25"/>
      <c r="H193" s="25"/>
      <c r="I193" s="25"/>
      <c r="J193" s="25"/>
      <c r="K193" s="25"/>
      <c r="L193" s="25"/>
      <c r="M193" s="170"/>
      <c r="N193" s="1516"/>
      <c r="O193" s="1516"/>
      <c r="P193" s="1516"/>
      <c r="Q193" s="1516"/>
      <c r="R193" s="1516"/>
      <c r="S193" s="1516"/>
      <c r="T193" s="2455" t="s">
        <v>2539</v>
      </c>
      <c r="U193" s="2455"/>
      <c r="V193" s="2455"/>
      <c r="W193" s="2455"/>
      <c r="X193" s="2455"/>
      <c r="Y193" s="2455"/>
      <c r="Z193" s="2455"/>
      <c r="AA193" s="2455"/>
      <c r="AB193" s="2455"/>
      <c r="AC193" s="2455"/>
      <c r="AD193" s="2455"/>
      <c r="AE193" s="2455"/>
      <c r="AF193" s="2455"/>
      <c r="AG193" s="2455"/>
      <c r="AH193" s="2455"/>
      <c r="AI193" s="2455"/>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28" t="s">
        <v>578</v>
      </c>
      <c r="U194" s="2028"/>
      <c r="W194" s="25" t="s">
        <v>722</v>
      </c>
      <c r="X194" s="25"/>
      <c r="Y194" s="25"/>
      <c r="Z194" s="25"/>
      <c r="AA194" s="25"/>
      <c r="AB194" s="25"/>
      <c r="AC194" s="25"/>
      <c r="AD194" s="25"/>
      <c r="AE194" s="25"/>
      <c r="AF194" s="25"/>
      <c r="AG194" s="25"/>
      <c r="AH194" s="2028">
        <v>19</v>
      </c>
      <c r="AI194" s="2028"/>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250" t="s">
        <v>578</v>
      </c>
      <c r="U195" s="2250"/>
      <c r="V195" s="12"/>
      <c r="W195" s="25" t="s">
        <v>723</v>
      </c>
      <c r="X195" s="25"/>
      <c r="Y195" s="25"/>
      <c r="Z195" s="25"/>
      <c r="AA195" s="25"/>
      <c r="AB195" s="25"/>
      <c r="AC195" s="25"/>
      <c r="AD195" s="25"/>
      <c r="AE195" s="25"/>
      <c r="AF195" s="25"/>
      <c r="AG195" s="25"/>
      <c r="AH195" s="2028">
        <v>30</v>
      </c>
      <c r="AI195" s="2028"/>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250" t="s">
        <v>706</v>
      </c>
      <c r="U196" s="2250"/>
      <c r="W196" s="25" t="s">
        <v>724</v>
      </c>
      <c r="X196" s="25"/>
      <c r="Y196" s="25"/>
      <c r="Z196" s="25"/>
      <c r="AA196" s="25"/>
      <c r="AB196" s="25"/>
      <c r="AC196" s="25"/>
      <c r="AD196" s="25"/>
      <c r="AE196" s="25"/>
      <c r="AF196" s="25"/>
      <c r="AG196" s="25"/>
      <c r="AH196" s="2028">
        <v>17</v>
      </c>
      <c r="AI196" s="2028"/>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250"/>
      <c r="U197" s="2250"/>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28" t="s">
        <v>706</v>
      </c>
      <c r="Z198" s="2028"/>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2"/>
      <c r="AI199" s="1782"/>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14" t="s">
        <v>403</v>
      </c>
      <c r="E203" s="2014"/>
      <c r="F203" s="2014"/>
      <c r="G203" s="2014"/>
      <c r="H203" s="2014"/>
      <c r="I203" s="2014"/>
      <c r="J203" s="2014"/>
      <c r="K203" s="2014"/>
      <c r="L203" s="2014"/>
      <c r="M203" s="2014"/>
      <c r="P203" s="2428">
        <f>M26</f>
        <v>5513422.2000000002</v>
      </c>
      <c r="Q203" s="2429"/>
      <c r="R203" s="2429"/>
      <c r="S203" s="2429"/>
      <c r="T203" s="2429"/>
      <c r="U203" s="2429"/>
      <c r="V203" s="25"/>
      <c r="W203" s="25"/>
      <c r="X203" s="25"/>
      <c r="Y203" s="25"/>
      <c r="Z203" s="2445" t="s">
        <v>1384</v>
      </c>
      <c r="AA203" s="2445"/>
      <c r="AB203" s="2445"/>
      <c r="AC203" s="2445"/>
      <c r="AD203" s="2445"/>
      <c r="AE203" s="2445"/>
      <c r="AF203" s="2445"/>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456" t="s">
        <v>1477</v>
      </c>
      <c r="E204" s="2014"/>
      <c r="F204" s="2014"/>
      <c r="G204" s="2014"/>
      <c r="H204" s="2014"/>
      <c r="I204" s="2014"/>
      <c r="J204" s="2014"/>
      <c r="K204" s="2014"/>
      <c r="L204" s="2014"/>
      <c r="M204" s="2014"/>
      <c r="P204" s="2429">
        <f>M27</f>
        <v>0</v>
      </c>
      <c r="Q204" s="2429"/>
      <c r="R204" s="2429"/>
      <c r="S204" s="2429"/>
      <c r="T204" s="2429"/>
      <c r="U204" s="2429"/>
      <c r="V204" s="47"/>
      <c r="W204" s="58" t="s">
        <v>2219</v>
      </c>
      <c r="Z204" s="2445"/>
      <c r="AA204" s="2445"/>
      <c r="AB204" s="2445"/>
      <c r="AC204" s="2445"/>
      <c r="AD204" s="2445"/>
      <c r="AE204" s="2445"/>
      <c r="AF204" s="2445"/>
      <c r="AG204" s="25" t="s">
        <v>1478</v>
      </c>
      <c r="AH204" s="25"/>
      <c r="AI204" s="25"/>
      <c r="AJ204" s="25"/>
      <c r="AK204" s="25"/>
      <c r="AL204" s="25"/>
      <c r="AM204" s="25"/>
      <c r="AN204" s="25"/>
      <c r="AO204" s="25"/>
      <c r="AP204" s="2028" t="s">
        <v>706</v>
      </c>
      <c r="AQ204" s="2028"/>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46"/>
      <c r="AA205" s="2446"/>
      <c r="AB205" s="2446"/>
      <c r="AC205" s="2446"/>
      <c r="AD205" s="2446"/>
      <c r="AE205" s="2446"/>
      <c r="AF205" s="2446"/>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349" t="s">
        <v>2524</v>
      </c>
      <c r="E207" s="2349"/>
      <c r="F207" s="2349"/>
      <c r="G207" s="2349"/>
      <c r="H207" s="2349"/>
      <c r="I207" s="2349"/>
      <c r="J207" s="2349"/>
      <c r="K207" s="2349"/>
      <c r="L207" s="2349"/>
      <c r="M207" s="234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349" t="s">
        <v>1155</v>
      </c>
      <c r="E210" s="2349"/>
      <c r="F210" s="2349"/>
      <c r="G210" s="2349"/>
      <c r="H210" s="2349"/>
      <c r="I210" s="2349"/>
      <c r="J210" s="2349"/>
      <c r="K210" s="2349"/>
      <c r="L210" s="2349"/>
      <c r="M210" s="2349"/>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28"/>
      <c r="Z211" s="2028"/>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43" t="s">
        <v>626</v>
      </c>
      <c r="E213" s="2543"/>
      <c r="F213" s="2543"/>
      <c r="G213" s="2543"/>
      <c r="H213" s="2543"/>
      <c r="I213" s="2543"/>
      <c r="J213" s="2543"/>
      <c r="K213" s="2543"/>
      <c r="L213" s="2543"/>
      <c r="M213" s="2543"/>
      <c r="N213" s="2543"/>
      <c r="O213" s="2543"/>
      <c r="P213" s="2543"/>
      <c r="Q213" s="2543"/>
      <c r="R213" s="2543"/>
      <c r="S213" s="2543"/>
      <c r="T213" s="2543"/>
      <c r="U213" s="2543"/>
      <c r="V213" s="2543"/>
      <c r="W213" s="2543"/>
      <c r="X213" s="2543"/>
      <c r="Y213" s="2543"/>
      <c r="Z213" s="2543"/>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6"/>
      <c r="AC214" s="2526"/>
      <c r="AD214" s="2526"/>
      <c r="AE214" s="2526"/>
      <c r="AF214" s="2526"/>
      <c r="AG214" s="2526"/>
      <c r="AH214" s="2526"/>
      <c r="AI214" s="2526"/>
      <c r="AJ214" s="2526"/>
      <c r="AK214" s="2526"/>
      <c r="AL214" s="2526"/>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526"/>
      <c r="AC215" s="2526"/>
      <c r="AD215" s="2526"/>
      <c r="AE215" s="2526"/>
      <c r="AF215" s="2526"/>
      <c r="AG215" s="2526"/>
      <c r="AH215" s="2526"/>
      <c r="AI215" s="2526"/>
      <c r="AJ215" s="2526"/>
      <c r="AK215" s="2526"/>
      <c r="AL215" s="2526"/>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49" t="s">
        <v>1139</v>
      </c>
      <c r="E219" s="2349"/>
      <c r="F219" s="2349"/>
      <c r="G219" s="2349"/>
      <c r="H219" s="2349"/>
      <c r="I219" s="2349"/>
      <c r="J219" s="2349"/>
      <c r="K219" s="2349"/>
      <c r="L219" s="2349"/>
      <c r="M219" s="2349"/>
      <c r="N219" s="2349"/>
      <c r="O219" s="2349"/>
      <c r="P219" s="2349"/>
      <c r="Q219" s="2349"/>
      <c r="R219" s="2349"/>
      <c r="S219" s="2349"/>
      <c r="T219" s="2349"/>
      <c r="U219" s="2349"/>
      <c r="V219" s="2349"/>
      <c r="W219" s="2349"/>
      <c r="X219" s="2349"/>
      <c r="Y219" s="2349"/>
      <c r="Z219" s="2349"/>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78" t="s">
        <v>573</v>
      </c>
      <c r="B221" s="2378"/>
      <c r="C221" s="2378"/>
      <c r="D221" s="2378"/>
      <c r="E221" s="2378"/>
      <c r="F221" s="2378"/>
      <c r="G221" s="2378"/>
      <c r="H221" s="2378"/>
      <c r="I221" s="2378"/>
      <c r="J221" s="2378"/>
      <c r="K221" s="2378"/>
      <c r="L221" s="2378"/>
      <c r="M221" s="2378"/>
      <c r="N221" s="2378"/>
      <c r="O221" s="2378"/>
      <c r="P221" s="2378"/>
      <c r="Q221" s="2378"/>
      <c r="R221" s="2378"/>
      <c r="S221" s="2378"/>
      <c r="T221" s="2378"/>
      <c r="U221" s="2378"/>
      <c r="V221" s="2378"/>
      <c r="W221" s="2378"/>
      <c r="X221" s="2378"/>
      <c r="Y221" s="2378"/>
      <c r="Z221" s="2378"/>
      <c r="AA221" s="2378"/>
      <c r="AB221" s="2378"/>
      <c r="AC221" s="2378"/>
      <c r="AD221" s="2378"/>
      <c r="AE221" s="2378"/>
      <c r="AF221" s="2378"/>
      <c r="AG221" s="2378"/>
      <c r="AH221" s="2378"/>
      <c r="AI221" s="2378"/>
      <c r="AJ221" s="2378"/>
      <c r="AK221" s="2378"/>
      <c r="AL221" s="2378"/>
      <c r="AM221" s="144"/>
      <c r="AN221" s="144"/>
      <c r="AO221" s="144"/>
      <c r="AP221" s="144"/>
      <c r="AQ221" s="144"/>
      <c r="AR221" s="144"/>
      <c r="AS221" s="144"/>
      <c r="AT221" s="144"/>
      <c r="AU221" s="144"/>
      <c r="AV221" s="144"/>
      <c r="AW221" s="144"/>
      <c r="AX221" s="144"/>
      <c r="AY221" s="144"/>
      <c r="BA221" s="58"/>
    </row>
    <row r="222" spans="1:96" ht="13.5" thickBot="1">
      <c r="A222" s="2379"/>
      <c r="B222" s="2379"/>
      <c r="C222" s="2379"/>
      <c r="D222" s="2379"/>
      <c r="E222" s="2379"/>
      <c r="F222" s="2379"/>
      <c r="G222" s="2379"/>
      <c r="H222" s="2379"/>
      <c r="I222" s="2379"/>
      <c r="J222" s="2379"/>
      <c r="K222" s="2379"/>
      <c r="L222" s="2379"/>
      <c r="M222" s="2379"/>
      <c r="N222" s="2379"/>
      <c r="O222" s="2379"/>
      <c r="P222" s="2379"/>
      <c r="Q222" s="2379"/>
      <c r="R222" s="2379"/>
      <c r="S222" s="2379"/>
      <c r="T222" s="2379"/>
      <c r="U222" s="2379"/>
      <c r="V222" s="2379"/>
      <c r="W222" s="2379"/>
      <c r="X222" s="2379"/>
      <c r="Y222" s="2379"/>
      <c r="Z222" s="2379"/>
      <c r="AA222" s="2379"/>
      <c r="AB222" s="2379"/>
      <c r="AC222" s="2379"/>
      <c r="AD222" s="2379"/>
      <c r="AE222" s="2379"/>
      <c r="AF222" s="2379"/>
      <c r="AG222" s="2379"/>
      <c r="AH222" s="2379"/>
      <c r="AI222" s="2379"/>
      <c r="AJ222" s="2379"/>
      <c r="AK222" s="2379"/>
      <c r="AL222" s="2379"/>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8" t="s">
        <v>626</v>
      </c>
      <c r="AJ225" s="2028"/>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8" t="s">
        <v>578</v>
      </c>
      <c r="AJ226" s="2028"/>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8" t="s">
        <v>578</v>
      </c>
      <c r="AJ227" s="2028"/>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8" t="s">
        <v>626</v>
      </c>
      <c r="AJ228" s="2028"/>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51" t="str">
        <f>H16</f>
        <v>JEMCOR Development Partners, LLC</v>
      </c>
      <c r="N231" s="2451"/>
      <c r="O231" s="2451"/>
      <c r="P231" s="2451"/>
      <c r="Q231" s="2451"/>
      <c r="R231" s="2451"/>
      <c r="S231" s="2451"/>
      <c r="T231" s="2451"/>
      <c r="U231" s="2451"/>
      <c r="V231" s="2451"/>
      <c r="W231" s="2451"/>
      <c r="X231" s="2451"/>
      <c r="Y231" s="2451"/>
      <c r="Z231" s="2451"/>
      <c r="AA231" s="2451"/>
      <c r="AB231" s="2451"/>
      <c r="AC231" s="2451"/>
      <c r="AD231" s="2451"/>
      <c r="AE231" s="2451"/>
      <c r="AF231" s="2451"/>
      <c r="AG231" s="2451"/>
      <c r="AH231" s="2451"/>
      <c r="AI231" s="2451"/>
      <c r="AJ231" s="2451"/>
      <c r="AK231" s="2451"/>
      <c r="BA231" s="58"/>
      <c r="BB231" s="384"/>
      <c r="BG231" s="387"/>
      <c r="BQ231" s="61"/>
    </row>
    <row r="232" spans="1:69" ht="12.75">
      <c r="D232" s="57" t="s">
        <v>90</v>
      </c>
      <c r="E232" s="57"/>
      <c r="F232" s="57"/>
      <c r="G232" s="57"/>
      <c r="H232" s="57"/>
      <c r="I232" s="57"/>
      <c r="J232" s="57"/>
      <c r="K232" s="7"/>
      <c r="M232" s="2296" t="s">
        <v>2540</v>
      </c>
      <c r="N232" s="2349"/>
      <c r="O232" s="2349"/>
      <c r="P232" s="2349"/>
      <c r="Q232" s="2349"/>
      <c r="R232" s="2349"/>
      <c r="S232" s="2349"/>
      <c r="T232" s="2349"/>
      <c r="U232" s="2349"/>
      <c r="V232" s="2349"/>
      <c r="W232" s="2349"/>
      <c r="X232" s="2349"/>
      <c r="Y232" s="2349"/>
      <c r="Z232" s="2349"/>
      <c r="AA232" s="2349"/>
      <c r="AB232" s="2349"/>
      <c r="AC232" s="2349"/>
      <c r="AD232" s="2349"/>
      <c r="AE232" s="2349"/>
      <c r="AZ232" s="7"/>
      <c r="BA232" s="58"/>
      <c r="BB232" s="334" t="s">
        <v>571</v>
      </c>
      <c r="BG232" s="389">
        <f>IF(AND(AND($M$248="nonprofit",$M$256="nonprofit",$M$264="for profit")),2,0)</f>
        <v>0</v>
      </c>
      <c r="BQ232" s="61"/>
    </row>
    <row r="233" spans="1:69" ht="12.75">
      <c r="D233" s="57" t="s">
        <v>615</v>
      </c>
      <c r="E233" s="57"/>
      <c r="M233" s="2296" t="s">
        <v>73</v>
      </c>
      <c r="N233" s="2349"/>
      <c r="O233" s="2349"/>
      <c r="P233" s="2349"/>
      <c r="Q233" s="2349"/>
      <c r="R233" s="2349"/>
      <c r="S233" s="2349"/>
      <c r="T233" s="2349"/>
      <c r="V233" s="59" t="s">
        <v>91</v>
      </c>
      <c r="W233" s="2058" t="s">
        <v>2541</v>
      </c>
      <c r="X233" s="2066"/>
      <c r="Y233" s="57" t="s">
        <v>618</v>
      </c>
      <c r="AC233" s="2349">
        <v>94402</v>
      </c>
      <c r="AD233" s="2349"/>
      <c r="AE233" s="2349"/>
      <c r="BB233" s="334" t="s">
        <v>571</v>
      </c>
      <c r="BG233" s="389">
        <f>IF(AND(AND($M$248="nonprofit",$M$256="for profit",$M$264="nonprofit")),2,0)</f>
        <v>0</v>
      </c>
    </row>
    <row r="234" spans="1:69" ht="12.75">
      <c r="D234" s="60" t="s">
        <v>92</v>
      </c>
      <c r="E234" s="7"/>
      <c r="F234" s="7"/>
      <c r="G234" s="7"/>
      <c r="H234" s="7"/>
      <c r="I234" s="7"/>
      <c r="J234" s="7"/>
      <c r="K234" s="29"/>
      <c r="M234" s="2296" t="s">
        <v>2542</v>
      </c>
      <c r="N234" s="2349"/>
      <c r="O234" s="2349"/>
      <c r="P234" s="2349"/>
      <c r="Q234" s="2349"/>
      <c r="R234" s="2349"/>
      <c r="S234" s="2349"/>
      <c r="T234" s="2349"/>
      <c r="U234" s="2349"/>
      <c r="V234" s="2349"/>
      <c r="W234" s="2349"/>
      <c r="X234" s="2349"/>
      <c r="Y234" s="2349"/>
      <c r="Z234" s="2349"/>
      <c r="AA234" s="2349"/>
      <c r="AB234" s="2349"/>
      <c r="AC234" s="2349"/>
      <c r="AD234" s="2349"/>
      <c r="AE234" s="2349"/>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056" t="s">
        <v>2543</v>
      </c>
      <c r="N235" s="2057"/>
      <c r="O235" s="2057"/>
      <c r="P235" s="2057"/>
      <c r="Q235" s="2057"/>
      <c r="R235" s="2057"/>
      <c r="S235" s="7" t="s">
        <v>212</v>
      </c>
      <c r="T235" s="7"/>
      <c r="U235" s="2066"/>
      <c r="V235" s="2066"/>
      <c r="W235" s="2066"/>
      <c r="X235" s="7" t="s">
        <v>94</v>
      </c>
      <c r="Z235" s="2057"/>
      <c r="AA235" s="2057"/>
      <c r="AB235" s="2057"/>
      <c r="AC235" s="2057"/>
      <c r="AD235" s="2057"/>
      <c r="AE235" s="2057"/>
      <c r="BB235" s="385"/>
      <c r="BG235" s="386"/>
    </row>
    <row r="236" spans="1:69" ht="12.75">
      <c r="D236" s="60" t="s">
        <v>95</v>
      </c>
      <c r="E236" s="7"/>
      <c r="F236" s="7"/>
      <c r="M236" s="2350" t="s">
        <v>2544</v>
      </c>
      <c r="N236" s="2350"/>
      <c r="O236" s="2350"/>
      <c r="P236" s="2350"/>
      <c r="Q236" s="2350"/>
      <c r="R236" s="2350"/>
      <c r="S236" s="2350"/>
      <c r="T236" s="2350"/>
      <c r="U236" s="2350"/>
      <c r="V236" s="2350"/>
      <c r="W236" s="2350"/>
      <c r="X236" s="2350"/>
      <c r="Y236" s="2350"/>
      <c r="Z236" s="2350"/>
      <c r="AA236" s="2350"/>
      <c r="AB236" s="2350"/>
      <c r="AC236" s="2350"/>
      <c r="AD236" s="2350"/>
      <c r="AE236" s="235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288" t="s">
        <v>308</v>
      </c>
      <c r="N237" s="2288"/>
      <c r="O237" s="2288"/>
      <c r="P237" s="2288"/>
      <c r="Q237" s="2288"/>
      <c r="R237" s="2288"/>
      <c r="S237" s="2288"/>
      <c r="T237" s="2288"/>
      <c r="U237" s="387" t="s">
        <v>975</v>
      </c>
      <c r="V237" s="325"/>
      <c r="W237" s="325"/>
      <c r="X237" s="325"/>
      <c r="Y237" s="325"/>
      <c r="Z237" s="325"/>
      <c r="AA237" s="2435"/>
      <c r="AB237" s="2435"/>
      <c r="AC237" s="2435"/>
      <c r="AD237" s="2435"/>
      <c r="AE237" s="2435"/>
      <c r="AF237" s="2435"/>
      <c r="AG237" s="2435"/>
      <c r="AH237" s="2435"/>
      <c r="AI237" s="2435"/>
      <c r="AJ237" s="2435"/>
      <c r="AK237" s="2435"/>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55" t="s">
        <v>2545</v>
      </c>
      <c r="N238" s="2055"/>
      <c r="O238" s="2055"/>
      <c r="P238" s="2055"/>
      <c r="Q238" s="2055"/>
      <c r="R238" s="2055"/>
      <c r="S238" s="2055"/>
      <c r="T238" s="2055"/>
      <c r="U238" s="2055"/>
      <c r="V238" s="2055"/>
      <c r="W238" s="2055"/>
      <c r="X238" s="2055"/>
      <c r="Y238" s="2055"/>
      <c r="Z238" s="2055"/>
      <c r="AA238" s="2055"/>
      <c r="AB238" s="2055"/>
      <c r="AC238" s="2055"/>
      <c r="AD238" s="2055"/>
      <c r="AE238" s="205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432" t="s">
        <v>2546</v>
      </c>
      <c r="N242" s="2433"/>
      <c r="O242" s="2433"/>
      <c r="P242" s="2433"/>
      <c r="Q242" s="2433"/>
      <c r="R242" s="2433"/>
      <c r="S242" s="2433"/>
      <c r="T242" s="2433"/>
      <c r="U242" s="2433"/>
      <c r="V242" s="2433"/>
      <c r="W242" s="2433"/>
      <c r="X242" s="2433"/>
      <c r="Y242" s="2433"/>
      <c r="Z242" s="2433"/>
      <c r="AA242" s="2433"/>
      <c r="AB242" s="2433"/>
      <c r="AC242" s="2433"/>
      <c r="AD242" s="2433"/>
      <c r="AE242" s="2433"/>
      <c r="AF242" s="2433" t="s">
        <v>2547</v>
      </c>
      <c r="AG242" s="2433"/>
      <c r="AH242" s="2433"/>
      <c r="AI242" s="2433"/>
      <c r="AJ242" s="2433"/>
      <c r="AK242" s="2433"/>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96" t="s">
        <v>2540</v>
      </c>
      <c r="N243" s="2349"/>
      <c r="O243" s="2349"/>
      <c r="P243" s="2349"/>
      <c r="Q243" s="2349"/>
      <c r="R243" s="2349"/>
      <c r="S243" s="2349"/>
      <c r="T243" s="2349"/>
      <c r="U243" s="2349"/>
      <c r="V243" s="2349"/>
      <c r="W243" s="2349"/>
      <c r="X243" s="2349"/>
      <c r="Y243" s="2349"/>
      <c r="Z243" s="2349"/>
      <c r="AA243" s="2349"/>
      <c r="AB243" s="2349"/>
      <c r="AC243" s="2349"/>
      <c r="AD243" s="2349"/>
      <c r="AE243" s="2349"/>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296" t="s">
        <v>73</v>
      </c>
      <c r="N244" s="2349"/>
      <c r="O244" s="2349"/>
      <c r="P244" s="2349"/>
      <c r="Q244" s="2349"/>
      <c r="R244" s="2349"/>
      <c r="S244" s="2349"/>
      <c r="T244" s="2349"/>
      <c r="V244" s="59" t="s">
        <v>91</v>
      </c>
      <c r="W244" s="2058" t="s">
        <v>2541</v>
      </c>
      <c r="X244" s="2066"/>
      <c r="Y244" s="57" t="s">
        <v>618</v>
      </c>
      <c r="AC244" s="2349">
        <v>94402</v>
      </c>
      <c r="AD244" s="2349"/>
      <c r="AE244" s="2349"/>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296" t="s">
        <v>2542</v>
      </c>
      <c r="N245" s="2349"/>
      <c r="O245" s="2349"/>
      <c r="P245" s="2349"/>
      <c r="Q245" s="2349"/>
      <c r="R245" s="2349"/>
      <c r="S245" s="2349"/>
      <c r="T245" s="2349"/>
      <c r="U245" s="2349"/>
      <c r="V245" s="2349"/>
      <c r="W245" s="2349"/>
      <c r="X245" s="2349"/>
      <c r="Y245" s="2349"/>
      <c r="Z245" s="2349"/>
      <c r="AA245" s="2349"/>
      <c r="AB245" s="2349"/>
      <c r="AC245" s="2349"/>
      <c r="AD245" s="2349"/>
      <c r="AE245" s="2349"/>
      <c r="AH245" s="2443">
        <v>8.9999999999999993E-3</v>
      </c>
      <c r="AI245" s="2443"/>
      <c r="AJ245" s="2443"/>
      <c r="AK245" s="2443"/>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056" t="s">
        <v>2543</v>
      </c>
      <c r="N246" s="2057"/>
      <c r="O246" s="2057"/>
      <c r="P246" s="2057"/>
      <c r="Q246" s="2057"/>
      <c r="R246" s="2057"/>
      <c r="S246" s="7" t="s">
        <v>212</v>
      </c>
      <c r="T246" s="7"/>
      <c r="U246" s="2066"/>
      <c r="V246" s="2066"/>
      <c r="W246" s="2066"/>
      <c r="X246" s="7" t="s">
        <v>94</v>
      </c>
      <c r="Z246" s="2057"/>
      <c r="AA246" s="2057"/>
      <c r="AB246" s="2057"/>
      <c r="AC246" s="2057"/>
      <c r="AD246" s="2057"/>
      <c r="AE246" s="2057"/>
      <c r="BB246" s="7" t="s">
        <v>178</v>
      </c>
      <c r="BG246" s="12">
        <v>3</v>
      </c>
      <c r="BH246" s="12" t="s">
        <v>569</v>
      </c>
      <c r="BN246" s="390"/>
      <c r="BO246" s="39"/>
    </row>
    <row r="247" spans="1:72" ht="12.75">
      <c r="A247" s="29"/>
      <c r="B247" s="7"/>
      <c r="C247" s="7"/>
      <c r="D247" s="60" t="s">
        <v>95</v>
      </c>
      <c r="E247" s="7"/>
      <c r="F247" s="7"/>
      <c r="M247" s="2350" t="s">
        <v>2544</v>
      </c>
      <c r="N247" s="2350"/>
      <c r="O247" s="2350"/>
      <c r="P247" s="2350"/>
      <c r="Q247" s="2350"/>
      <c r="R247" s="2350"/>
      <c r="S247" s="2350"/>
      <c r="T247" s="2350"/>
      <c r="U247" s="2350"/>
      <c r="V247" s="2350"/>
      <c r="W247" s="2350"/>
      <c r="X247" s="2350"/>
      <c r="Y247" s="2350"/>
      <c r="Z247" s="2350"/>
      <c r="AA247" s="2350"/>
      <c r="AB247" s="2350"/>
      <c r="AC247" s="2350"/>
      <c r="AD247" s="2350"/>
      <c r="AE247" s="235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288" t="s">
        <v>569</v>
      </c>
      <c r="N248" s="2288"/>
      <c r="O248" s="2288"/>
      <c r="P248" s="2288"/>
      <c r="Q248" s="2288"/>
      <c r="R248" s="2288"/>
      <c r="S248" s="2288"/>
      <c r="T248" s="2288"/>
      <c r="U248" s="387" t="s">
        <v>975</v>
      </c>
      <c r="V248" s="325"/>
      <c r="W248" s="325"/>
      <c r="X248" s="325"/>
      <c r="Y248" s="325"/>
      <c r="Z248" s="325"/>
      <c r="AA248" s="2434" t="s">
        <v>2527</v>
      </c>
      <c r="AB248" s="2435"/>
      <c r="AC248" s="2435"/>
      <c r="AD248" s="2435"/>
      <c r="AE248" s="2435"/>
      <c r="AF248" s="2435"/>
      <c r="AG248" s="2435"/>
      <c r="AH248" s="2435"/>
      <c r="AI248" s="2435"/>
      <c r="AJ248" s="2435"/>
      <c r="AK248" s="243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432" t="s">
        <v>2548</v>
      </c>
      <c r="N250" s="2433"/>
      <c r="O250" s="2433"/>
      <c r="P250" s="2433"/>
      <c r="Q250" s="2433"/>
      <c r="R250" s="2433"/>
      <c r="S250" s="2433"/>
      <c r="T250" s="2433"/>
      <c r="U250" s="2433"/>
      <c r="V250" s="2433"/>
      <c r="W250" s="2433"/>
      <c r="X250" s="2433"/>
      <c r="Y250" s="2433"/>
      <c r="Z250" s="2433"/>
      <c r="AA250" s="2433"/>
      <c r="AB250" s="2433"/>
      <c r="AC250" s="2433"/>
      <c r="AD250" s="2433"/>
      <c r="AE250" s="2433"/>
      <c r="AF250" s="2433" t="s">
        <v>2549</v>
      </c>
      <c r="AG250" s="2433"/>
      <c r="AH250" s="2433"/>
      <c r="AI250" s="2433"/>
      <c r="AJ250" s="2433"/>
      <c r="AK250" s="2433"/>
      <c r="BN250" s="61"/>
    </row>
    <row r="251" spans="1:72" ht="12.75">
      <c r="A251" s="29"/>
      <c r="B251" s="7"/>
      <c r="C251" s="7"/>
      <c r="D251" s="57" t="s">
        <v>90</v>
      </c>
      <c r="E251" s="57"/>
      <c r="F251" s="57"/>
      <c r="G251" s="57"/>
      <c r="H251" s="57"/>
      <c r="I251" s="57"/>
      <c r="J251" s="57"/>
      <c r="K251" s="57"/>
      <c r="L251" s="7"/>
      <c r="M251" s="2296" t="s">
        <v>2550</v>
      </c>
      <c r="N251" s="2349"/>
      <c r="O251" s="2349"/>
      <c r="P251" s="2349"/>
      <c r="Q251" s="2349"/>
      <c r="R251" s="2349"/>
      <c r="S251" s="2349"/>
      <c r="T251" s="2349"/>
      <c r="U251" s="2349"/>
      <c r="V251" s="2349"/>
      <c r="W251" s="2349"/>
      <c r="X251" s="2349"/>
      <c r="Y251" s="2349"/>
      <c r="Z251" s="2349"/>
      <c r="AA251" s="2349"/>
      <c r="AB251" s="2349"/>
      <c r="AC251" s="2349"/>
      <c r="AD251" s="2349"/>
      <c r="AE251" s="2349"/>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296" t="s">
        <v>71</v>
      </c>
      <c r="N252" s="2349"/>
      <c r="O252" s="2349"/>
      <c r="P252" s="2349"/>
      <c r="Q252" s="2349"/>
      <c r="R252" s="2349"/>
      <c r="S252" s="2349"/>
      <c r="T252" s="2349"/>
      <c r="V252" s="59" t="s">
        <v>91</v>
      </c>
      <c r="W252" s="2058" t="s">
        <v>2541</v>
      </c>
      <c r="X252" s="2066"/>
      <c r="Y252" s="57" t="s">
        <v>618</v>
      </c>
      <c r="AC252" s="2349">
        <v>95816</v>
      </c>
      <c r="AD252" s="2349"/>
      <c r="AE252" s="2349"/>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296" t="s">
        <v>2552</v>
      </c>
      <c r="N253" s="2349"/>
      <c r="O253" s="2349"/>
      <c r="P253" s="2349"/>
      <c r="Q253" s="2349"/>
      <c r="R253" s="2349"/>
      <c r="S253" s="2349"/>
      <c r="T253" s="2349"/>
      <c r="U253" s="2349"/>
      <c r="V253" s="2349"/>
      <c r="W253" s="2349"/>
      <c r="X253" s="2349"/>
      <c r="Y253" s="2349"/>
      <c r="Z253" s="2349"/>
      <c r="AA253" s="2349"/>
      <c r="AB253" s="2349"/>
      <c r="AC253" s="2349"/>
      <c r="AD253" s="2349"/>
      <c r="AE253" s="2349"/>
      <c r="AF253" s="719"/>
      <c r="AG253" s="719"/>
      <c r="AH253" s="2443">
        <v>1E-3</v>
      </c>
      <c r="AI253" s="2443"/>
      <c r="AJ253" s="2443"/>
      <c r="AK253" s="244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6" t="s">
        <v>2551</v>
      </c>
      <c r="N254" s="2057"/>
      <c r="O254" s="2057"/>
      <c r="P254" s="2057"/>
      <c r="Q254" s="2057"/>
      <c r="R254" s="2057"/>
      <c r="S254" s="7" t="s">
        <v>212</v>
      </c>
      <c r="T254" s="7"/>
      <c r="U254" s="2066"/>
      <c r="V254" s="2066"/>
      <c r="W254" s="2066"/>
      <c r="X254" s="7" t="s">
        <v>94</v>
      </c>
      <c r="Z254" s="2057"/>
      <c r="AA254" s="2057"/>
      <c r="AB254" s="2057"/>
      <c r="AC254" s="2057"/>
      <c r="AD254" s="2057"/>
      <c r="AE254" s="2057"/>
    </row>
    <row r="255" spans="1:72" ht="12.75">
      <c r="A255" s="29"/>
      <c r="B255" s="7"/>
      <c r="C255" s="7"/>
      <c r="D255" s="60" t="s">
        <v>95</v>
      </c>
      <c r="E255" s="7"/>
      <c r="F255" s="7"/>
      <c r="M255" s="2350" t="s">
        <v>2553</v>
      </c>
      <c r="N255" s="2350"/>
      <c r="O255" s="2350"/>
      <c r="P255" s="2350"/>
      <c r="Q255" s="2350"/>
      <c r="R255" s="2350"/>
      <c r="S255" s="2350"/>
      <c r="T255" s="2350"/>
      <c r="U255" s="2350"/>
      <c r="V255" s="2350"/>
      <c r="W255" s="2350"/>
      <c r="X255" s="2350"/>
      <c r="Y255" s="2350"/>
      <c r="Z255" s="2350"/>
      <c r="AA255" s="2350"/>
      <c r="AB255" s="2350"/>
      <c r="AC255" s="2350"/>
      <c r="AD255" s="2350"/>
      <c r="AE255" s="235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288" t="s">
        <v>567</v>
      </c>
      <c r="N256" s="2288"/>
      <c r="O256" s="2288"/>
      <c r="P256" s="2288"/>
      <c r="Q256" s="2288"/>
      <c r="R256" s="2288"/>
      <c r="S256" s="2288"/>
      <c r="T256" s="2288"/>
      <c r="U256" s="387" t="s">
        <v>975</v>
      </c>
      <c r="V256" s="325"/>
      <c r="W256" s="325"/>
      <c r="X256" s="325"/>
      <c r="Y256" s="325"/>
      <c r="Z256" s="325"/>
      <c r="AA256" s="2434" t="s">
        <v>2554</v>
      </c>
      <c r="AB256" s="2435"/>
      <c r="AC256" s="2435"/>
      <c r="AD256" s="2435"/>
      <c r="AE256" s="2435"/>
      <c r="AF256" s="2435"/>
      <c r="AG256" s="2435"/>
      <c r="AH256" s="2435"/>
      <c r="AI256" s="2435"/>
      <c r="AJ256" s="2435"/>
      <c r="AK256" s="243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33"/>
      <c r="N258" s="2433"/>
      <c r="O258" s="2433"/>
      <c r="P258" s="2433"/>
      <c r="Q258" s="2433"/>
      <c r="R258" s="2433"/>
      <c r="S258" s="2433"/>
      <c r="T258" s="2433"/>
      <c r="U258" s="2433"/>
      <c r="V258" s="2433"/>
      <c r="W258" s="2433"/>
      <c r="X258" s="2433"/>
      <c r="Y258" s="2433"/>
      <c r="Z258" s="2433"/>
      <c r="AA258" s="2433"/>
      <c r="AB258" s="2433"/>
      <c r="AC258" s="2433"/>
      <c r="AD258" s="2433"/>
      <c r="AE258" s="2433"/>
      <c r="AF258" s="2433" t="s">
        <v>316</v>
      </c>
      <c r="AG258" s="2433"/>
      <c r="AH258" s="2433"/>
      <c r="AI258" s="2433"/>
      <c r="AJ258" s="2433"/>
      <c r="AK258" s="243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9"/>
      <c r="N259" s="2349"/>
      <c r="O259" s="2349"/>
      <c r="P259" s="2349"/>
      <c r="Q259" s="2349"/>
      <c r="R259" s="2349"/>
      <c r="S259" s="2349"/>
      <c r="T259" s="2349"/>
      <c r="U259" s="2349"/>
      <c r="V259" s="2349"/>
      <c r="W259" s="2349"/>
      <c r="X259" s="2349"/>
      <c r="Y259" s="2349"/>
      <c r="Z259" s="2349"/>
      <c r="AA259" s="2349"/>
      <c r="AB259" s="2349"/>
      <c r="AC259" s="2349"/>
      <c r="AD259" s="2349"/>
      <c r="AE259" s="2349"/>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49"/>
      <c r="N260" s="2349"/>
      <c r="O260" s="2349"/>
      <c r="P260" s="2349"/>
      <c r="Q260" s="2349"/>
      <c r="R260" s="2349"/>
      <c r="S260" s="2349"/>
      <c r="T260" s="2349"/>
      <c r="V260" s="59" t="s">
        <v>91</v>
      </c>
      <c r="W260" s="2066"/>
      <c r="X260" s="2066"/>
      <c r="Y260" s="57" t="s">
        <v>618</v>
      </c>
      <c r="AC260" s="2349"/>
      <c r="AD260" s="2349"/>
      <c r="AE260" s="2349"/>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49"/>
      <c r="N261" s="2349"/>
      <c r="O261" s="2349"/>
      <c r="P261" s="2349"/>
      <c r="Q261" s="2349"/>
      <c r="R261" s="2349"/>
      <c r="S261" s="2349"/>
      <c r="T261" s="2349"/>
      <c r="U261" s="2349"/>
      <c r="V261" s="2349"/>
      <c r="W261" s="2349"/>
      <c r="X261" s="2349"/>
      <c r="Y261" s="2349"/>
      <c r="Z261" s="2349"/>
      <c r="AA261" s="2349"/>
      <c r="AB261" s="2349"/>
      <c r="AC261" s="2349"/>
      <c r="AD261" s="2349"/>
      <c r="AE261" s="2349"/>
      <c r="AF261" s="719"/>
      <c r="AG261" s="719"/>
      <c r="AH261" s="2443"/>
      <c r="AI261" s="2443"/>
      <c r="AJ261" s="2443"/>
      <c r="AK261" s="2443"/>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7"/>
      <c r="N262" s="2057"/>
      <c r="O262" s="2057"/>
      <c r="P262" s="2057"/>
      <c r="Q262" s="2057"/>
      <c r="R262" s="2057"/>
      <c r="S262" s="7" t="s">
        <v>212</v>
      </c>
      <c r="T262" s="7"/>
      <c r="U262" s="2066"/>
      <c r="V262" s="2066"/>
      <c r="W262" s="2066"/>
      <c r="X262" s="7" t="s">
        <v>94</v>
      </c>
      <c r="Z262" s="2057"/>
      <c r="AA262" s="2057"/>
      <c r="AB262" s="2057"/>
      <c r="AC262" s="2057"/>
      <c r="AD262" s="2057"/>
      <c r="AE262" s="205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50"/>
      <c r="N263" s="2350"/>
      <c r="O263" s="2350"/>
      <c r="P263" s="2350"/>
      <c r="Q263" s="2350"/>
      <c r="R263" s="2350"/>
      <c r="S263" s="2350"/>
      <c r="T263" s="2350"/>
      <c r="U263" s="2350"/>
      <c r="V263" s="2350"/>
      <c r="W263" s="2350"/>
      <c r="X263" s="2350"/>
      <c r="Y263" s="2350"/>
      <c r="Z263" s="2350"/>
      <c r="AA263" s="2448"/>
      <c r="AB263" s="2448"/>
      <c r="AC263" s="2448"/>
      <c r="AD263" s="2448"/>
      <c r="AE263" s="244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288" t="s">
        <v>316</v>
      </c>
      <c r="N264" s="2288"/>
      <c r="O264" s="2288"/>
      <c r="P264" s="2288"/>
      <c r="Q264" s="2288"/>
      <c r="R264" s="2288"/>
      <c r="S264" s="2288"/>
      <c r="T264" s="2288"/>
      <c r="U264" s="387" t="s">
        <v>975</v>
      </c>
      <c r="V264" s="325"/>
      <c r="W264" s="325"/>
      <c r="X264" s="325"/>
      <c r="Y264" s="325"/>
      <c r="Z264" s="325"/>
      <c r="AA264" s="2449"/>
      <c r="AB264" s="2449"/>
      <c r="AC264" s="2449"/>
      <c r="AD264" s="2449"/>
      <c r="AE264" s="2449"/>
      <c r="AF264" s="2449"/>
      <c r="AG264" s="2449"/>
      <c r="AH264" s="2449"/>
      <c r="AI264" s="2449"/>
      <c r="AJ264" s="2449"/>
      <c r="AK264" s="244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454" t="str">
        <f>BO245</f>
        <v>Joint Venture</v>
      </c>
      <c r="U266" s="2454"/>
      <c r="V266" s="2454"/>
      <c r="W266" s="2454"/>
      <c r="X266" s="2454"/>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49" t="s">
        <v>286</v>
      </c>
      <c r="E269" s="2349"/>
      <c r="F269" s="2349"/>
      <c r="G269" s="2349"/>
      <c r="H269" s="2349"/>
      <c r="J269" s="12" t="s">
        <v>285</v>
      </c>
      <c r="X269" s="2326"/>
      <c r="Y269" s="2326"/>
      <c r="Z269" s="2326"/>
      <c r="AA269" s="2326"/>
      <c r="AB269" s="2326"/>
      <c r="AC269" s="2326"/>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32" t="s">
        <v>2527</v>
      </c>
      <c r="M273" s="2433"/>
      <c r="N273" s="2433"/>
      <c r="O273" s="2433"/>
      <c r="P273" s="2433"/>
      <c r="Q273" s="2433"/>
      <c r="R273" s="2433"/>
      <c r="S273" s="2433"/>
      <c r="T273" s="2433"/>
      <c r="U273" s="2433"/>
      <c r="V273" s="2433"/>
      <c r="W273" s="2433"/>
      <c r="X273" s="2433"/>
      <c r="Y273" s="2433"/>
      <c r="Z273" s="2433"/>
      <c r="AA273" s="2433"/>
      <c r="AB273" s="2433"/>
      <c r="AC273" s="2433"/>
      <c r="AD273" s="2433"/>
      <c r="AE273" s="2433"/>
      <c r="AF273" s="2433"/>
      <c r="AG273" s="2433"/>
      <c r="AH273" s="2433"/>
      <c r="AI273" s="2433"/>
      <c r="AJ273" s="2433"/>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96" t="s">
        <v>2540</v>
      </c>
      <c r="M274" s="2349"/>
      <c r="N274" s="2349"/>
      <c r="O274" s="2349"/>
      <c r="P274" s="2349"/>
      <c r="Q274" s="2349"/>
      <c r="R274" s="2349"/>
      <c r="S274" s="2349"/>
      <c r="T274" s="2349"/>
      <c r="U274" s="2349"/>
      <c r="V274" s="2349"/>
      <c r="W274" s="2349"/>
      <c r="X274" s="2349"/>
      <c r="Y274" s="2349"/>
      <c r="Z274" s="2349"/>
      <c r="AA274" s="2349"/>
      <c r="AB274" s="2349"/>
      <c r="AC274" s="2349"/>
      <c r="AD274" s="2349"/>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296" t="s">
        <v>73</v>
      </c>
      <c r="M275" s="2349"/>
      <c r="N275" s="2349"/>
      <c r="O275" s="2349"/>
      <c r="P275" s="2349"/>
      <c r="Q275" s="2349"/>
      <c r="R275" s="2349"/>
      <c r="S275" s="2349"/>
      <c r="U275" s="59" t="s">
        <v>91</v>
      </c>
      <c r="V275" s="2058" t="s">
        <v>2541</v>
      </c>
      <c r="W275" s="2066"/>
      <c r="X275" s="57" t="s">
        <v>618</v>
      </c>
      <c r="AB275" s="2349">
        <v>94402</v>
      </c>
      <c r="AC275" s="2349"/>
      <c r="AD275" s="234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96" t="s">
        <v>2542</v>
      </c>
      <c r="M276" s="2349"/>
      <c r="N276" s="2349"/>
      <c r="O276" s="2349"/>
      <c r="P276" s="2349"/>
      <c r="Q276" s="2349"/>
      <c r="R276" s="2349"/>
      <c r="S276" s="2349"/>
      <c r="T276" s="2349"/>
      <c r="U276" s="2349"/>
      <c r="V276" s="2349"/>
      <c r="W276" s="2349"/>
      <c r="X276" s="2349"/>
      <c r="Y276" s="2349"/>
      <c r="Z276" s="2349"/>
      <c r="AA276" s="2349"/>
      <c r="AB276" s="2349"/>
      <c r="AC276" s="2349"/>
      <c r="AD276" s="234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56" t="s">
        <v>2543</v>
      </c>
      <c r="M277" s="2057"/>
      <c r="N277" s="2057"/>
      <c r="O277" s="2057"/>
      <c r="P277" s="2057"/>
      <c r="Q277" s="2057"/>
      <c r="R277" s="7" t="s">
        <v>212</v>
      </c>
      <c r="S277" s="7"/>
      <c r="T277" s="2066"/>
      <c r="U277" s="2066"/>
      <c r="V277" s="2066"/>
      <c r="W277" s="7" t="s">
        <v>94</v>
      </c>
      <c r="Y277" s="2057"/>
      <c r="Z277" s="2057"/>
      <c r="AA277" s="2057"/>
      <c r="AB277" s="2057"/>
      <c r="AC277" s="2057"/>
      <c r="AD277" s="2057"/>
      <c r="BN277" s="61"/>
    </row>
    <row r="278" spans="1:66" ht="12.75">
      <c r="D278" s="60" t="s">
        <v>95</v>
      </c>
      <c r="E278" s="7"/>
      <c r="F278" s="7"/>
      <c r="L278" s="2350" t="s">
        <v>2544</v>
      </c>
      <c r="M278" s="2350"/>
      <c r="N278" s="2350"/>
      <c r="O278" s="2350"/>
      <c r="P278" s="2350"/>
      <c r="Q278" s="2350"/>
      <c r="R278" s="2350"/>
      <c r="S278" s="2350"/>
      <c r="T278" s="2350"/>
      <c r="U278" s="2350"/>
      <c r="V278" s="2350"/>
      <c r="W278" s="2350"/>
      <c r="X278" s="2350"/>
      <c r="Y278" s="2350"/>
      <c r="Z278" s="2350"/>
      <c r="AA278" s="2350"/>
      <c r="AB278" s="2350"/>
      <c r="AC278" s="2350"/>
      <c r="AD278" s="2350"/>
      <c r="AF278" s="7"/>
      <c r="AG278" s="7"/>
      <c r="AH278" s="7"/>
      <c r="AI278" s="7"/>
      <c r="AJ278" s="7"/>
      <c r="BN278" s="61"/>
    </row>
    <row r="279" spans="1:66" ht="12.75">
      <c r="D279" s="58" t="s">
        <v>658</v>
      </c>
      <c r="E279" s="58"/>
      <c r="F279" s="58"/>
      <c r="G279" s="58"/>
      <c r="H279" s="58"/>
      <c r="I279" s="58"/>
      <c r="L279" s="2058" t="s">
        <v>2555</v>
      </c>
      <c r="M279" s="2058"/>
      <c r="N279" s="2058"/>
      <c r="O279" s="2058"/>
      <c r="P279" s="2058"/>
      <c r="Q279" s="2058"/>
      <c r="R279" s="2058"/>
      <c r="S279" s="2058"/>
      <c r="T279" s="2058"/>
      <c r="U279" s="2058"/>
      <c r="V279" s="2058"/>
      <c r="W279" s="2058"/>
      <c r="X279" s="2058"/>
      <c r="Y279" s="2058"/>
      <c r="Z279" s="2058"/>
      <c r="AA279" s="2058"/>
      <c r="AB279" s="2058"/>
      <c r="AC279" s="2058"/>
      <c r="AD279" s="2058"/>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78" t="s">
        <v>574</v>
      </c>
      <c r="B281" s="2378"/>
      <c r="C281" s="2378"/>
      <c r="D281" s="2378"/>
      <c r="E281" s="2378"/>
      <c r="F281" s="2378"/>
      <c r="G281" s="2378"/>
      <c r="H281" s="2378"/>
      <c r="I281" s="2378"/>
      <c r="J281" s="2378"/>
      <c r="K281" s="2378"/>
      <c r="L281" s="2378"/>
      <c r="M281" s="2378"/>
      <c r="N281" s="2378"/>
      <c r="O281" s="2378"/>
      <c r="P281" s="2378"/>
      <c r="Q281" s="2378"/>
      <c r="R281" s="2378"/>
      <c r="S281" s="2378"/>
      <c r="T281" s="2378"/>
      <c r="U281" s="2378"/>
      <c r="V281" s="2378"/>
      <c r="W281" s="2378"/>
      <c r="X281" s="2378"/>
      <c r="Y281" s="2378"/>
      <c r="Z281" s="2378"/>
      <c r="AA281" s="2378"/>
      <c r="AB281" s="2378"/>
      <c r="AC281" s="2378"/>
      <c r="AD281" s="2378"/>
      <c r="AE281" s="2378"/>
      <c r="AF281" s="2378"/>
      <c r="AG281" s="2378"/>
      <c r="AH281" s="2378"/>
      <c r="AI281" s="2378"/>
      <c r="AJ281" s="2378"/>
      <c r="AK281" s="2378"/>
      <c r="AL281" s="2378"/>
      <c r="AM281" s="144"/>
      <c r="AN281" s="144"/>
      <c r="AO281" s="144"/>
      <c r="AP281" s="144"/>
      <c r="AQ281" s="144"/>
      <c r="AR281" s="144"/>
      <c r="AS281" s="144"/>
      <c r="AT281" s="144"/>
      <c r="AU281" s="144"/>
      <c r="AV281" s="144"/>
      <c r="AW281" s="144"/>
      <c r="AX281" s="144"/>
      <c r="AY281" s="144"/>
      <c r="BN281" s="61"/>
    </row>
    <row r="282" spans="1:66" ht="13.5" thickBot="1">
      <c r="A282" s="2379"/>
      <c r="B282" s="2379"/>
      <c r="C282" s="2379"/>
      <c r="D282" s="2379"/>
      <c r="E282" s="2379"/>
      <c r="F282" s="2379"/>
      <c r="G282" s="2379"/>
      <c r="H282" s="2379"/>
      <c r="I282" s="2379"/>
      <c r="J282" s="2379"/>
      <c r="K282" s="2379"/>
      <c r="L282" s="2379"/>
      <c r="M282" s="2379"/>
      <c r="N282" s="2379"/>
      <c r="O282" s="2379"/>
      <c r="P282" s="2379"/>
      <c r="Q282" s="2379"/>
      <c r="R282" s="2379"/>
      <c r="S282" s="2379"/>
      <c r="T282" s="2379"/>
      <c r="U282" s="2379"/>
      <c r="V282" s="2379"/>
      <c r="W282" s="2379"/>
      <c r="X282" s="2379"/>
      <c r="Y282" s="2379"/>
      <c r="Z282" s="2379"/>
      <c r="AA282" s="2379"/>
      <c r="AB282" s="2379"/>
      <c r="AC282" s="2379"/>
      <c r="AD282" s="2379"/>
      <c r="AE282" s="2379"/>
      <c r="AF282" s="2379"/>
      <c r="AG282" s="2379"/>
      <c r="AH282" s="2379"/>
      <c r="AI282" s="2379"/>
      <c r="AJ282" s="2379"/>
      <c r="AK282" s="2379"/>
      <c r="AL282" s="2379"/>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55" t="str">
        <f>L273</f>
        <v>JEMCOR Development Partners, LLC</v>
      </c>
      <c r="I286" s="2055"/>
      <c r="J286" s="2055"/>
      <c r="K286" s="2055"/>
      <c r="L286" s="2055"/>
      <c r="M286" s="2055"/>
      <c r="N286" s="2055"/>
      <c r="O286" s="2055"/>
      <c r="P286" s="2055"/>
      <c r="Q286" s="2055"/>
      <c r="R286" s="2055"/>
      <c r="T286" s="58" t="s">
        <v>600</v>
      </c>
      <c r="V286" s="58"/>
      <c r="W286" s="58"/>
      <c r="X286" s="58"/>
      <c r="Y286" s="58"/>
      <c r="AA286" s="2055" t="s">
        <v>2557</v>
      </c>
      <c r="AB286" s="2055"/>
      <c r="AC286" s="2055"/>
      <c r="AD286" s="2055"/>
      <c r="AE286" s="2055"/>
      <c r="AF286" s="2055"/>
      <c r="AG286" s="2055"/>
      <c r="AH286" s="2055"/>
      <c r="AI286" s="2055"/>
      <c r="AJ286" s="2055"/>
      <c r="AK286" s="2055"/>
      <c r="BN286" s="61"/>
    </row>
    <row r="287" spans="1:66" ht="12.75">
      <c r="B287" s="58" t="s">
        <v>504</v>
      </c>
      <c r="C287" s="58"/>
      <c r="D287" s="58"/>
      <c r="E287" s="58"/>
      <c r="F287" s="58"/>
      <c r="H287" s="2288" t="str">
        <f>L274</f>
        <v>1700 S. El Camino Real, Suite 400</v>
      </c>
      <c r="I287" s="2288"/>
      <c r="J287" s="2288"/>
      <c r="K287" s="2288"/>
      <c r="L287" s="2288"/>
      <c r="M287" s="2288"/>
      <c r="N287" s="2288"/>
      <c r="O287" s="2288"/>
      <c r="P287" s="2288"/>
      <c r="Q287" s="2288"/>
      <c r="R287" s="2288"/>
      <c r="T287" s="58" t="s">
        <v>504</v>
      </c>
      <c r="V287" s="58"/>
      <c r="W287" s="58"/>
      <c r="X287" s="58"/>
      <c r="Y287" s="58"/>
      <c r="AA287" s="2288" t="s">
        <v>2558</v>
      </c>
      <c r="AB287" s="2288"/>
      <c r="AC287" s="2288"/>
      <c r="AD287" s="2288"/>
      <c r="AE287" s="2288"/>
      <c r="AF287" s="2288"/>
      <c r="AG287" s="2288"/>
      <c r="AH287" s="2288"/>
      <c r="AI287" s="2288"/>
      <c r="AJ287" s="2288"/>
      <c r="AK287" s="2288"/>
      <c r="BN287" s="61"/>
    </row>
    <row r="288" spans="1:66" ht="12.75">
      <c r="B288" s="58" t="s">
        <v>505</v>
      </c>
      <c r="C288" s="58"/>
      <c r="D288" s="58"/>
      <c r="E288" s="58"/>
      <c r="F288" s="58"/>
      <c r="H288" s="2288" t="s">
        <v>2556</v>
      </c>
      <c r="I288" s="2288"/>
      <c r="J288" s="2288"/>
      <c r="K288" s="2288"/>
      <c r="L288" s="2288"/>
      <c r="M288" s="2288"/>
      <c r="N288" s="2288"/>
      <c r="O288" s="2288"/>
      <c r="P288" s="2288"/>
      <c r="Q288" s="2288"/>
      <c r="R288" s="2288"/>
      <c r="T288" s="58" t="s">
        <v>79</v>
      </c>
      <c r="V288" s="58"/>
      <c r="W288" s="58"/>
      <c r="X288" s="58"/>
      <c r="Y288" s="58"/>
      <c r="AA288" s="2288" t="s">
        <v>2559</v>
      </c>
      <c r="AB288" s="2288"/>
      <c r="AC288" s="2288"/>
      <c r="AD288" s="2288"/>
      <c r="AE288" s="2288"/>
      <c r="AF288" s="2288"/>
      <c r="AG288" s="2288"/>
      <c r="AH288" s="2288"/>
      <c r="AI288" s="2288"/>
      <c r="AJ288" s="2288"/>
      <c r="AK288" s="2288"/>
      <c r="BN288" s="61"/>
    </row>
    <row r="289" spans="2:66" ht="12.75" customHeight="1">
      <c r="B289" s="58" t="s">
        <v>92</v>
      </c>
      <c r="C289" s="58"/>
      <c r="D289" s="58"/>
      <c r="E289" s="58"/>
      <c r="F289" s="58"/>
      <c r="H289" s="2288" t="str">
        <f>L276</f>
        <v>Jonathan Emami</v>
      </c>
      <c r="I289" s="2288"/>
      <c r="J289" s="2288"/>
      <c r="K289" s="2288"/>
      <c r="L289" s="2288"/>
      <c r="M289" s="2288"/>
      <c r="N289" s="2288"/>
      <c r="O289" s="2288"/>
      <c r="P289" s="2288"/>
      <c r="Q289" s="2288"/>
      <c r="R289" s="2288"/>
      <c r="T289" s="58" t="s">
        <v>92</v>
      </c>
      <c r="V289" s="58"/>
      <c r="W289" s="58"/>
      <c r="X289" s="58"/>
      <c r="Y289" s="58"/>
      <c r="AA289" s="2288" t="s">
        <v>2560</v>
      </c>
      <c r="AB289" s="2288"/>
      <c r="AC289" s="2288"/>
      <c r="AD289" s="2288"/>
      <c r="AE289" s="2288"/>
      <c r="AF289" s="2288"/>
      <c r="AG289" s="2288"/>
      <c r="AH289" s="2288"/>
      <c r="AI289" s="2288"/>
      <c r="AJ289" s="2288"/>
      <c r="AK289" s="2288"/>
      <c r="BN289" s="61"/>
    </row>
    <row r="290" spans="2:66" ht="12.75" customHeight="1">
      <c r="B290" s="58" t="s">
        <v>93</v>
      </c>
      <c r="C290" s="58"/>
      <c r="D290" s="58"/>
      <c r="E290" s="58"/>
      <c r="F290" s="58"/>
      <c r="G290" s="58"/>
      <c r="H290" s="2352" t="str">
        <f>L277</f>
        <v>415-941-5832</v>
      </c>
      <c r="I290" s="2352"/>
      <c r="J290" s="2352"/>
      <c r="K290" s="2352"/>
      <c r="L290" s="2352"/>
      <c r="M290" s="2352"/>
      <c r="N290" s="7" t="s">
        <v>212</v>
      </c>
      <c r="O290" s="7"/>
      <c r="P290" s="2349"/>
      <c r="Q290" s="2349"/>
      <c r="R290" s="2349"/>
      <c r="S290" s="58"/>
      <c r="T290" s="58" t="s">
        <v>93</v>
      </c>
      <c r="V290" s="58"/>
      <c r="W290" s="58"/>
      <c r="X290" s="58"/>
      <c r="Y290" s="58"/>
      <c r="AA290" s="2436" t="s">
        <v>2561</v>
      </c>
      <c r="AB290" s="2352"/>
      <c r="AC290" s="2352"/>
      <c r="AD290" s="2352"/>
      <c r="AE290" s="2352"/>
      <c r="AF290" s="2352"/>
      <c r="AG290" s="7" t="s">
        <v>212</v>
      </c>
      <c r="AH290" s="7"/>
      <c r="AI290" s="2349"/>
      <c r="AJ290" s="2349"/>
      <c r="AK290" s="2349"/>
      <c r="BN290" s="61"/>
    </row>
    <row r="291" spans="2:66" ht="12.75" customHeight="1">
      <c r="B291" s="58" t="s">
        <v>94</v>
      </c>
      <c r="C291" s="58"/>
      <c r="D291" s="58"/>
      <c r="E291" s="58"/>
      <c r="F291" s="58"/>
      <c r="G291" s="58"/>
      <c r="H291" s="2057"/>
      <c r="I291" s="2057"/>
      <c r="J291" s="2057"/>
      <c r="K291" s="2057"/>
      <c r="L291" s="2057"/>
      <c r="M291" s="2057"/>
      <c r="N291" s="60"/>
      <c r="O291" s="60"/>
      <c r="P291" s="62"/>
      <c r="Q291" s="62"/>
      <c r="R291" s="62"/>
      <c r="S291" s="58"/>
      <c r="T291" s="58" t="s">
        <v>94</v>
      </c>
      <c r="V291" s="58"/>
      <c r="W291" s="58"/>
      <c r="X291" s="58"/>
      <c r="Y291" s="58"/>
      <c r="AA291" s="2057"/>
      <c r="AB291" s="2057"/>
      <c r="AC291" s="2057"/>
      <c r="AD291" s="2057"/>
      <c r="AE291" s="2057"/>
      <c r="AF291" s="2057"/>
      <c r="AG291" s="60"/>
      <c r="AH291" s="60"/>
      <c r="AI291" s="62"/>
      <c r="AJ291" s="62"/>
      <c r="AK291" s="62"/>
      <c r="BN291" s="61"/>
    </row>
    <row r="292" spans="2:66" ht="12.75" customHeight="1">
      <c r="B292" s="58" t="s">
        <v>80</v>
      </c>
      <c r="C292" s="58"/>
      <c r="D292" s="58"/>
      <c r="E292" s="58"/>
      <c r="F292" s="58"/>
      <c r="G292" s="58"/>
      <c r="H292" s="2288" t="str">
        <f>L278</f>
        <v>jemami@jemcorpartners.com</v>
      </c>
      <c r="I292" s="2288"/>
      <c r="J292" s="2288"/>
      <c r="K292" s="2288"/>
      <c r="L292" s="2288"/>
      <c r="M292" s="2288"/>
      <c r="N292" s="2055"/>
      <c r="O292" s="2055"/>
      <c r="P292" s="2055"/>
      <c r="Q292" s="2055"/>
      <c r="R292" s="2055"/>
      <c r="S292" s="58"/>
      <c r="T292" s="58" t="s">
        <v>80</v>
      </c>
      <c r="V292" s="58"/>
      <c r="W292" s="58"/>
      <c r="X292" s="58"/>
      <c r="Y292" s="58"/>
      <c r="AA292" s="2288" t="s">
        <v>2562</v>
      </c>
      <c r="AB292" s="2288"/>
      <c r="AC292" s="2288"/>
      <c r="AD292" s="2288"/>
      <c r="AE292" s="2288"/>
      <c r="AF292" s="2288"/>
      <c r="AG292" s="2055"/>
      <c r="AH292" s="2055"/>
      <c r="AI292" s="2055"/>
      <c r="AJ292" s="2055"/>
      <c r="AK292" s="2055"/>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55" t="s">
        <v>2564</v>
      </c>
      <c r="I294" s="2055"/>
      <c r="J294" s="2055"/>
      <c r="K294" s="2055"/>
      <c r="L294" s="2055"/>
      <c r="M294" s="2055"/>
      <c r="N294" s="2055"/>
      <c r="O294" s="2055"/>
      <c r="P294" s="2055"/>
      <c r="Q294" s="2055"/>
      <c r="R294" s="2055"/>
      <c r="T294" s="58" t="s">
        <v>374</v>
      </c>
      <c r="V294" s="58"/>
      <c r="W294" s="58"/>
      <c r="X294" s="58"/>
      <c r="Y294" s="58"/>
      <c r="AA294" s="2055" t="s">
        <v>2563</v>
      </c>
      <c r="AB294" s="2055"/>
      <c r="AC294" s="2055"/>
      <c r="AD294" s="2055"/>
      <c r="AE294" s="2055"/>
      <c r="AF294" s="2055"/>
      <c r="AG294" s="2055"/>
      <c r="AH294" s="2055"/>
      <c r="AI294" s="2055"/>
      <c r="AJ294" s="2055"/>
      <c r="AK294" s="2055"/>
      <c r="BN294" s="61"/>
    </row>
    <row r="295" spans="2:66" ht="12.75">
      <c r="B295" s="58" t="s">
        <v>504</v>
      </c>
      <c r="C295" s="58"/>
      <c r="D295" s="58"/>
      <c r="E295" s="58"/>
      <c r="F295" s="58"/>
      <c r="H295" s="2288" t="s">
        <v>2565</v>
      </c>
      <c r="I295" s="2288"/>
      <c r="J295" s="2288"/>
      <c r="K295" s="2288"/>
      <c r="L295" s="2288"/>
      <c r="M295" s="2288"/>
      <c r="N295" s="2288"/>
      <c r="O295" s="2288"/>
      <c r="P295" s="2288"/>
      <c r="Q295" s="2288"/>
      <c r="R295" s="2288"/>
      <c r="T295" s="58" t="s">
        <v>504</v>
      </c>
      <c r="V295" s="58"/>
      <c r="W295" s="58"/>
      <c r="X295" s="58"/>
      <c r="Y295" s="58"/>
      <c r="AA295" s="2288" t="str">
        <f>H287</f>
        <v>1700 S. El Camino Real, Suite 400</v>
      </c>
      <c r="AB295" s="2288"/>
      <c r="AC295" s="2288"/>
      <c r="AD295" s="2288"/>
      <c r="AE295" s="2288"/>
      <c r="AF295" s="2288"/>
      <c r="AG295" s="2288"/>
      <c r="AH295" s="2288"/>
      <c r="AI295" s="2288"/>
      <c r="AJ295" s="2288"/>
      <c r="AK295" s="2288"/>
      <c r="BN295" s="61"/>
    </row>
    <row r="296" spans="2:66" ht="12.75">
      <c r="B296" s="58" t="s">
        <v>505</v>
      </c>
      <c r="C296" s="58"/>
      <c r="D296" s="58"/>
      <c r="E296" s="58"/>
      <c r="F296" s="58"/>
      <c r="H296" s="2288" t="s">
        <v>2566</v>
      </c>
      <c r="I296" s="2288"/>
      <c r="J296" s="2288"/>
      <c r="K296" s="2288"/>
      <c r="L296" s="2288"/>
      <c r="M296" s="2288"/>
      <c r="N296" s="2288"/>
      <c r="O296" s="2288"/>
      <c r="P296" s="2288"/>
      <c r="Q296" s="2288"/>
      <c r="R296" s="2288"/>
      <c r="T296" s="58" t="s">
        <v>79</v>
      </c>
      <c r="V296" s="58"/>
      <c r="W296" s="58"/>
      <c r="X296" s="58"/>
      <c r="Y296" s="58"/>
      <c r="AA296" s="2288" t="str">
        <f>H288</f>
        <v>San Mateo, CA 94402</v>
      </c>
      <c r="AB296" s="2288"/>
      <c r="AC296" s="2288"/>
      <c r="AD296" s="2288"/>
      <c r="AE296" s="2288"/>
      <c r="AF296" s="2288"/>
      <c r="AG296" s="2288"/>
      <c r="AH296" s="2288"/>
      <c r="AI296" s="2288"/>
      <c r="AJ296" s="2288"/>
      <c r="AK296" s="2288"/>
      <c r="BN296" s="61"/>
    </row>
    <row r="297" spans="2:66" ht="12.75">
      <c r="B297" s="58" t="s">
        <v>92</v>
      </c>
      <c r="C297" s="58"/>
      <c r="D297" s="58"/>
      <c r="E297" s="58"/>
      <c r="F297" s="58"/>
      <c r="H297" s="2288" t="s">
        <v>2567</v>
      </c>
      <c r="I297" s="2288"/>
      <c r="J297" s="2288"/>
      <c r="K297" s="2288"/>
      <c r="L297" s="2288"/>
      <c r="M297" s="2288"/>
      <c r="N297" s="2288"/>
      <c r="O297" s="2288"/>
      <c r="P297" s="2288"/>
      <c r="Q297" s="2288"/>
      <c r="R297" s="2288"/>
      <c r="T297" s="58" t="s">
        <v>92</v>
      </c>
      <c r="V297" s="58"/>
      <c r="W297" s="58"/>
      <c r="X297" s="58"/>
      <c r="Y297" s="58"/>
      <c r="AA297" s="2288" t="str">
        <f>H289</f>
        <v>Jonathan Emami</v>
      </c>
      <c r="AB297" s="2288"/>
      <c r="AC297" s="2288"/>
      <c r="AD297" s="2288"/>
      <c r="AE297" s="2288"/>
      <c r="AF297" s="2288"/>
      <c r="AG297" s="2288"/>
      <c r="AH297" s="2288"/>
      <c r="AI297" s="2288"/>
      <c r="AJ297" s="2288"/>
      <c r="AK297" s="2288"/>
      <c r="BN297" s="61"/>
    </row>
    <row r="298" spans="2:66" ht="12.75">
      <c r="B298" s="58" t="s">
        <v>93</v>
      </c>
      <c r="C298" s="58"/>
      <c r="D298" s="58"/>
      <c r="E298" s="58"/>
      <c r="F298" s="58"/>
      <c r="G298" s="58"/>
      <c r="H298" s="2436" t="s">
        <v>2568</v>
      </c>
      <c r="I298" s="2352"/>
      <c r="J298" s="2352"/>
      <c r="K298" s="2352"/>
      <c r="L298" s="2352"/>
      <c r="M298" s="2352"/>
      <c r="N298" s="7" t="s">
        <v>212</v>
      </c>
      <c r="O298" s="7"/>
      <c r="P298" s="2349"/>
      <c r="Q298" s="2349"/>
      <c r="R298" s="2349"/>
      <c r="S298" s="58"/>
      <c r="T298" s="58" t="s">
        <v>93</v>
      </c>
      <c r="V298" s="58"/>
      <c r="W298" s="58"/>
      <c r="X298" s="58"/>
      <c r="Y298" s="58"/>
      <c r="AA298" s="2436" t="s">
        <v>2543</v>
      </c>
      <c r="AB298" s="2352"/>
      <c r="AC298" s="2352"/>
      <c r="AD298" s="2352"/>
      <c r="AE298" s="2352"/>
      <c r="AF298" s="2352"/>
      <c r="AG298" s="7" t="s">
        <v>212</v>
      </c>
      <c r="AH298" s="7"/>
      <c r="AI298" s="2349"/>
      <c r="AJ298" s="2349"/>
      <c r="AK298" s="2349"/>
      <c r="BN298" s="61"/>
    </row>
    <row r="299" spans="2:66" ht="12.75" customHeight="1">
      <c r="B299" s="58" t="s">
        <v>94</v>
      </c>
      <c r="C299" s="58"/>
      <c r="D299" s="58"/>
      <c r="E299" s="58"/>
      <c r="F299" s="58"/>
      <c r="G299" s="58"/>
      <c r="H299" s="2057"/>
      <c r="I299" s="2057"/>
      <c r="J299" s="2057"/>
      <c r="K299" s="2057"/>
      <c r="L299" s="2057"/>
      <c r="M299" s="2057"/>
      <c r="N299" s="60"/>
      <c r="O299" s="60"/>
      <c r="P299" s="62"/>
      <c r="Q299" s="62"/>
      <c r="R299" s="62"/>
      <c r="S299" s="58"/>
      <c r="T299" s="58" t="s">
        <v>94</v>
      </c>
      <c r="V299" s="58"/>
      <c r="W299" s="58"/>
      <c r="X299" s="58"/>
      <c r="Y299" s="58"/>
      <c r="AA299" s="2057"/>
      <c r="AB299" s="2057"/>
      <c r="AC299" s="2057"/>
      <c r="AD299" s="2057"/>
      <c r="AE299" s="2057"/>
      <c r="AF299" s="2057"/>
      <c r="AG299" s="60"/>
      <c r="AH299" s="60"/>
      <c r="AI299" s="62"/>
      <c r="AJ299" s="62"/>
      <c r="AK299" s="62"/>
      <c r="BN299" s="61"/>
    </row>
    <row r="300" spans="2:66" ht="12.75" customHeight="1">
      <c r="B300" s="58" t="s">
        <v>80</v>
      </c>
      <c r="C300" s="58"/>
      <c r="D300" s="58"/>
      <c r="E300" s="58"/>
      <c r="F300" s="58"/>
      <c r="G300" s="58"/>
      <c r="H300" s="2288" t="s">
        <v>2569</v>
      </c>
      <c r="I300" s="2288"/>
      <c r="J300" s="2288"/>
      <c r="K300" s="2288"/>
      <c r="L300" s="2288"/>
      <c r="M300" s="2288"/>
      <c r="N300" s="2055"/>
      <c r="O300" s="2055"/>
      <c r="P300" s="2055"/>
      <c r="Q300" s="2055"/>
      <c r="R300" s="2055"/>
      <c r="S300" s="58"/>
      <c r="T300" s="58" t="s">
        <v>80</v>
      </c>
      <c r="V300" s="58"/>
      <c r="W300" s="58"/>
      <c r="X300" s="58"/>
      <c r="Y300" s="58"/>
      <c r="AA300" s="2288" t="s">
        <v>2544</v>
      </c>
      <c r="AB300" s="2288"/>
      <c r="AC300" s="2288"/>
      <c r="AD300" s="2288"/>
      <c r="AE300" s="2288"/>
      <c r="AF300" s="2288"/>
      <c r="AG300" s="2055"/>
      <c r="AH300" s="2055"/>
      <c r="AI300" s="2055"/>
      <c r="AJ300" s="2055"/>
      <c r="AK300" s="2055"/>
      <c r="BN300" s="61"/>
    </row>
    <row r="301" spans="2:66" ht="12.75" customHeight="1">
      <c r="BN301" s="61"/>
    </row>
    <row r="302" spans="2:66" ht="12.75" customHeight="1">
      <c r="B302" s="58" t="s">
        <v>81</v>
      </c>
      <c r="C302" s="58"/>
      <c r="D302" s="58"/>
      <c r="E302" s="58"/>
      <c r="F302" s="58"/>
      <c r="H302" s="2055" t="s">
        <v>2570</v>
      </c>
      <c r="I302" s="2055"/>
      <c r="J302" s="2055"/>
      <c r="K302" s="2055"/>
      <c r="L302" s="2055"/>
      <c r="M302" s="2055"/>
      <c r="N302" s="2055"/>
      <c r="O302" s="2055"/>
      <c r="P302" s="2055"/>
      <c r="Q302" s="2055"/>
      <c r="R302" s="2055"/>
      <c r="T302" s="7" t="s">
        <v>943</v>
      </c>
      <c r="V302" s="58"/>
      <c r="W302" s="58"/>
      <c r="X302" s="58"/>
      <c r="Y302" s="58"/>
      <c r="AA302" s="2055"/>
      <c r="AB302" s="2055"/>
      <c r="AC302" s="2055"/>
      <c r="AD302" s="2055"/>
      <c r="AE302" s="2055"/>
      <c r="AF302" s="2055"/>
      <c r="AG302" s="2055"/>
      <c r="AH302" s="2055"/>
      <c r="AI302" s="2055"/>
      <c r="AJ302" s="2055"/>
      <c r="AK302" s="2055"/>
      <c r="BN302" s="61"/>
    </row>
    <row r="303" spans="2:66" ht="12.75">
      <c r="B303" s="58" t="s">
        <v>504</v>
      </c>
      <c r="C303" s="58"/>
      <c r="D303" s="58"/>
      <c r="E303" s="58"/>
      <c r="F303" s="58"/>
      <c r="H303" s="2288" t="s">
        <v>2571</v>
      </c>
      <c r="I303" s="2288"/>
      <c r="J303" s="2288"/>
      <c r="K303" s="2288"/>
      <c r="L303" s="2288"/>
      <c r="M303" s="2288"/>
      <c r="N303" s="2288"/>
      <c r="O303" s="2288"/>
      <c r="P303" s="2288"/>
      <c r="Q303" s="2288"/>
      <c r="R303" s="2288"/>
      <c r="T303" s="58" t="s">
        <v>504</v>
      </c>
      <c r="V303" s="58"/>
      <c r="W303" s="58"/>
      <c r="X303" s="58"/>
      <c r="Y303" s="58"/>
      <c r="AA303" s="2288"/>
      <c r="AB303" s="2288"/>
      <c r="AC303" s="2288"/>
      <c r="AD303" s="2288"/>
      <c r="AE303" s="2288"/>
      <c r="AF303" s="2288"/>
      <c r="AG303" s="2288"/>
      <c r="AH303" s="2288"/>
      <c r="AI303" s="2288"/>
      <c r="AJ303" s="2288"/>
      <c r="AK303" s="2288"/>
      <c r="BN303" s="61"/>
    </row>
    <row r="304" spans="2:66" ht="12.75">
      <c r="B304" s="58" t="s">
        <v>505</v>
      </c>
      <c r="C304" s="58"/>
      <c r="D304" s="58"/>
      <c r="E304" s="58"/>
      <c r="F304" s="58"/>
      <c r="H304" s="2288" t="s">
        <v>2572</v>
      </c>
      <c r="I304" s="2288"/>
      <c r="J304" s="2288"/>
      <c r="K304" s="2288"/>
      <c r="L304" s="2288"/>
      <c r="M304" s="2288"/>
      <c r="N304" s="2288"/>
      <c r="O304" s="2288"/>
      <c r="P304" s="2288"/>
      <c r="Q304" s="2288"/>
      <c r="R304" s="2288"/>
      <c r="T304" s="58" t="s">
        <v>79</v>
      </c>
      <c r="V304" s="58"/>
      <c r="W304" s="58"/>
      <c r="X304" s="58"/>
      <c r="Y304" s="58"/>
      <c r="AA304" s="2288"/>
      <c r="AB304" s="2288"/>
      <c r="AC304" s="2288"/>
      <c r="AD304" s="2288"/>
      <c r="AE304" s="2288"/>
      <c r="AF304" s="2288"/>
      <c r="AG304" s="2288"/>
      <c r="AH304" s="2288"/>
      <c r="AI304" s="2288"/>
      <c r="AJ304" s="2288"/>
      <c r="AK304" s="2288"/>
      <c r="BN304" s="61"/>
    </row>
    <row r="305" spans="2:66" ht="12.75">
      <c r="B305" s="58" t="s">
        <v>92</v>
      </c>
      <c r="C305" s="58"/>
      <c r="D305" s="58"/>
      <c r="E305" s="58"/>
      <c r="F305" s="58"/>
      <c r="H305" s="2288" t="s">
        <v>2573</v>
      </c>
      <c r="I305" s="2288"/>
      <c r="J305" s="2288"/>
      <c r="K305" s="2288"/>
      <c r="L305" s="2288"/>
      <c r="M305" s="2288"/>
      <c r="N305" s="2288"/>
      <c r="O305" s="2288"/>
      <c r="P305" s="2288"/>
      <c r="Q305" s="2288"/>
      <c r="R305" s="2288"/>
      <c r="T305" s="58" t="s">
        <v>92</v>
      </c>
      <c r="V305" s="58"/>
      <c r="W305" s="58"/>
      <c r="X305" s="58"/>
      <c r="Y305" s="58"/>
      <c r="AA305" s="2288"/>
      <c r="AB305" s="2288"/>
      <c r="AC305" s="2288"/>
      <c r="AD305" s="2288"/>
      <c r="AE305" s="2288"/>
      <c r="AF305" s="2288"/>
      <c r="AG305" s="2288"/>
      <c r="AH305" s="2288"/>
      <c r="AI305" s="2288"/>
      <c r="AJ305" s="2288"/>
      <c r="AK305" s="2288"/>
      <c r="BN305" s="61"/>
    </row>
    <row r="306" spans="2:66" ht="12.75">
      <c r="B306" s="58" t="s">
        <v>93</v>
      </c>
      <c r="C306" s="58"/>
      <c r="D306" s="58"/>
      <c r="E306" s="58"/>
      <c r="F306" s="58"/>
      <c r="G306" s="58"/>
      <c r="H306" s="2436" t="s">
        <v>2574</v>
      </c>
      <c r="I306" s="2436"/>
      <c r="J306" s="2436"/>
      <c r="K306" s="2436"/>
      <c r="L306" s="2436"/>
      <c r="M306" s="2436"/>
      <c r="N306" s="7" t="s">
        <v>212</v>
      </c>
      <c r="O306" s="7"/>
      <c r="P306" s="2349"/>
      <c r="Q306" s="2349"/>
      <c r="R306" s="2349"/>
      <c r="S306" s="58"/>
      <c r="T306" s="58" t="s">
        <v>93</v>
      </c>
      <c r="V306" s="58"/>
      <c r="W306" s="58"/>
      <c r="X306" s="58"/>
      <c r="Y306" s="58"/>
      <c r="AA306" s="2352"/>
      <c r="AB306" s="2352"/>
      <c r="AC306" s="2352"/>
      <c r="AD306" s="2352"/>
      <c r="AE306" s="2352"/>
      <c r="AF306" s="2352"/>
      <c r="AG306" s="7" t="s">
        <v>212</v>
      </c>
      <c r="AH306" s="7"/>
      <c r="AI306" s="2349"/>
      <c r="AJ306" s="2349"/>
      <c r="AK306" s="2349"/>
      <c r="BN306" s="61"/>
    </row>
    <row r="307" spans="2:66" ht="12.75">
      <c r="B307" s="58" t="s">
        <v>94</v>
      </c>
      <c r="C307" s="58"/>
      <c r="D307" s="58"/>
      <c r="E307" s="58"/>
      <c r="F307" s="58"/>
      <c r="G307" s="58"/>
      <c r="H307" s="2056" t="s">
        <v>2575</v>
      </c>
      <c r="I307" s="2056"/>
      <c r="J307" s="2056"/>
      <c r="K307" s="2056"/>
      <c r="L307" s="2056"/>
      <c r="M307" s="2056"/>
      <c r="N307" s="60"/>
      <c r="O307" s="60"/>
      <c r="P307" s="62"/>
      <c r="Q307" s="62"/>
      <c r="R307" s="62"/>
      <c r="S307" s="58"/>
      <c r="T307" s="58" t="s">
        <v>94</v>
      </c>
      <c r="V307" s="58"/>
      <c r="W307" s="58"/>
      <c r="X307" s="58"/>
      <c r="Y307" s="58"/>
      <c r="AA307" s="2057"/>
      <c r="AB307" s="2057"/>
      <c r="AC307" s="2057"/>
      <c r="AD307" s="2057"/>
      <c r="AE307" s="2057"/>
      <c r="AF307" s="2057"/>
      <c r="AG307" s="60"/>
      <c r="AH307" s="60"/>
      <c r="AI307" s="62"/>
      <c r="AJ307" s="62"/>
      <c r="AK307" s="62"/>
      <c r="BN307" s="61"/>
    </row>
    <row r="308" spans="2:66" ht="12.75">
      <c r="B308" s="58" t="s">
        <v>80</v>
      </c>
      <c r="C308" s="58"/>
      <c r="D308" s="58"/>
      <c r="E308" s="58"/>
      <c r="F308" s="58"/>
      <c r="G308" s="58"/>
      <c r="H308" s="2288" t="s">
        <v>2576</v>
      </c>
      <c r="I308" s="2288"/>
      <c r="J308" s="2288"/>
      <c r="K308" s="2288"/>
      <c r="L308" s="2288"/>
      <c r="M308" s="2288"/>
      <c r="N308" s="2055"/>
      <c r="O308" s="2055"/>
      <c r="P308" s="2055"/>
      <c r="Q308" s="2055"/>
      <c r="R308" s="2055"/>
      <c r="S308" s="58"/>
      <c r="T308" s="58" t="s">
        <v>80</v>
      </c>
      <c r="V308" s="58"/>
      <c r="W308" s="58"/>
      <c r="X308" s="58"/>
      <c r="Y308" s="58"/>
      <c r="AA308" s="2288"/>
      <c r="AB308" s="2288"/>
      <c r="AC308" s="2288"/>
      <c r="AD308" s="2288"/>
      <c r="AE308" s="2288"/>
      <c r="AF308" s="2288"/>
      <c r="AG308" s="2055"/>
      <c r="AH308" s="2055"/>
      <c r="AI308" s="2055"/>
      <c r="AJ308" s="2055"/>
      <c r="AK308" s="2055"/>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55" t="str">
        <f>H302</f>
        <v>Propp Christensen Caniglia, LLP</v>
      </c>
      <c r="I310" s="2055"/>
      <c r="J310" s="2055"/>
      <c r="K310" s="2055"/>
      <c r="L310" s="2055"/>
      <c r="M310" s="2055"/>
      <c r="N310" s="2055"/>
      <c r="O310" s="2055"/>
      <c r="P310" s="2055"/>
      <c r="Q310" s="2055"/>
      <c r="R310" s="2055"/>
      <c r="S310" s="58"/>
      <c r="T310" s="58" t="s">
        <v>375</v>
      </c>
      <c r="V310" s="58"/>
      <c r="W310" s="58"/>
      <c r="X310" s="58"/>
      <c r="Y310" s="58"/>
      <c r="AA310" s="2055" t="s">
        <v>2577</v>
      </c>
      <c r="AB310" s="2055"/>
      <c r="AC310" s="2055"/>
      <c r="AD310" s="2055"/>
      <c r="AE310" s="2055"/>
      <c r="AF310" s="2055"/>
      <c r="AG310" s="2055"/>
      <c r="AH310" s="2055"/>
      <c r="AI310" s="2055"/>
      <c r="AJ310" s="2055"/>
      <c r="AK310" s="2055"/>
      <c r="BN310" s="61"/>
    </row>
    <row r="311" spans="2:66" ht="12.75">
      <c r="B311" s="58" t="s">
        <v>504</v>
      </c>
      <c r="C311" s="58"/>
      <c r="D311" s="58"/>
      <c r="E311" s="58"/>
      <c r="F311" s="58"/>
      <c r="H311" s="2288" t="str">
        <f>H303</f>
        <v xml:space="preserve">9261 Sierra College Blvd. </v>
      </c>
      <c r="I311" s="2288"/>
      <c r="J311" s="2288"/>
      <c r="K311" s="2288"/>
      <c r="L311" s="2288"/>
      <c r="M311" s="2288"/>
      <c r="N311" s="2288"/>
      <c r="O311" s="2288"/>
      <c r="P311" s="2288"/>
      <c r="Q311" s="2288"/>
      <c r="R311" s="2288"/>
      <c r="S311" s="58"/>
      <c r="T311" s="58" t="s">
        <v>504</v>
      </c>
      <c r="V311" s="58"/>
      <c r="W311" s="58"/>
      <c r="X311" s="58"/>
      <c r="Y311" s="58"/>
      <c r="AA311" s="2288" t="s">
        <v>2578</v>
      </c>
      <c r="AB311" s="2288"/>
      <c r="AC311" s="2288"/>
      <c r="AD311" s="2288"/>
      <c r="AE311" s="2288"/>
      <c r="AF311" s="2288"/>
      <c r="AG311" s="2288"/>
      <c r="AH311" s="2288"/>
      <c r="AI311" s="2288"/>
      <c r="AJ311" s="2288"/>
      <c r="AK311" s="2288"/>
      <c r="BN311" s="61"/>
    </row>
    <row r="312" spans="2:66" ht="12.75" customHeight="1">
      <c r="B312" s="58" t="s">
        <v>505</v>
      </c>
      <c r="C312" s="58"/>
      <c r="D312" s="58"/>
      <c r="E312" s="58"/>
      <c r="F312" s="58"/>
      <c r="H312" s="2288" t="str">
        <f t="shared" ref="H312:H313" si="0">H304</f>
        <v>Roseville, CA 95661</v>
      </c>
      <c r="I312" s="2288"/>
      <c r="J312" s="2288"/>
      <c r="K312" s="2288"/>
      <c r="L312" s="2288"/>
      <c r="M312" s="2288"/>
      <c r="N312" s="2288"/>
      <c r="O312" s="2288"/>
      <c r="P312" s="2288"/>
      <c r="Q312" s="2288"/>
      <c r="R312" s="2288"/>
      <c r="S312" s="58"/>
      <c r="T312" s="58" t="s">
        <v>79</v>
      </c>
      <c r="V312" s="58"/>
      <c r="W312" s="58"/>
      <c r="X312" s="58"/>
      <c r="Y312" s="58"/>
      <c r="AA312" s="2288" t="s">
        <v>2579</v>
      </c>
      <c r="AB312" s="2288"/>
      <c r="AC312" s="2288"/>
      <c r="AD312" s="2288"/>
      <c r="AE312" s="2288"/>
      <c r="AF312" s="2288"/>
      <c r="AG312" s="2288"/>
      <c r="AH312" s="2288"/>
      <c r="AI312" s="2288"/>
      <c r="AJ312" s="2288"/>
      <c r="AK312" s="2288"/>
      <c r="BN312" s="61"/>
    </row>
    <row r="313" spans="2:66" ht="12.75">
      <c r="B313" s="58" t="s">
        <v>92</v>
      </c>
      <c r="C313" s="58"/>
      <c r="D313" s="58"/>
      <c r="E313" s="58"/>
      <c r="F313" s="58"/>
      <c r="H313" s="2288" t="str">
        <f t="shared" si="0"/>
        <v xml:space="preserve">Justin Gierth </v>
      </c>
      <c r="I313" s="2288"/>
      <c r="J313" s="2288"/>
      <c r="K313" s="2288"/>
      <c r="L313" s="2288"/>
      <c r="M313" s="2288"/>
      <c r="N313" s="2288"/>
      <c r="O313" s="2288"/>
      <c r="P313" s="2288"/>
      <c r="Q313" s="2288"/>
      <c r="R313" s="2288"/>
      <c r="S313" s="58"/>
      <c r="T313" s="58" t="s">
        <v>92</v>
      </c>
      <c r="V313" s="58"/>
      <c r="W313" s="58"/>
      <c r="X313" s="58"/>
      <c r="Y313" s="58"/>
      <c r="AA313" s="2288" t="s">
        <v>2580</v>
      </c>
      <c r="AB313" s="2288"/>
      <c r="AC313" s="2288"/>
      <c r="AD313" s="2288"/>
      <c r="AE313" s="2288"/>
      <c r="AF313" s="2288"/>
      <c r="AG313" s="2288"/>
      <c r="AH313" s="2288"/>
      <c r="AI313" s="2288"/>
      <c r="AJ313" s="2288"/>
      <c r="AK313" s="2288"/>
      <c r="BN313" s="61"/>
    </row>
    <row r="314" spans="2:66" ht="12.75">
      <c r="B314" s="58" t="s">
        <v>93</v>
      </c>
      <c r="C314" s="58"/>
      <c r="D314" s="58"/>
      <c r="E314" s="58"/>
      <c r="F314" s="58"/>
      <c r="G314" s="58"/>
      <c r="H314" s="2352" t="str">
        <f>H306</f>
        <v>916-751-2900</v>
      </c>
      <c r="I314" s="2352"/>
      <c r="J314" s="2352"/>
      <c r="K314" s="2352"/>
      <c r="L314" s="2352"/>
      <c r="M314" s="2352"/>
      <c r="N314" s="7" t="s">
        <v>212</v>
      </c>
      <c r="O314" s="7"/>
      <c r="P314" s="2349"/>
      <c r="Q314" s="2349"/>
      <c r="R314" s="2349"/>
      <c r="S314" s="58"/>
      <c r="T314" s="58" t="s">
        <v>93</v>
      </c>
      <c r="V314" s="58"/>
      <c r="W314" s="58"/>
      <c r="X314" s="58"/>
      <c r="Y314" s="58"/>
      <c r="AA314" s="2436" t="s">
        <v>2581</v>
      </c>
      <c r="AB314" s="2436"/>
      <c r="AC314" s="2436"/>
      <c r="AD314" s="2436"/>
      <c r="AE314" s="2436"/>
      <c r="AF314" s="2436"/>
      <c r="AG314" s="7" t="s">
        <v>212</v>
      </c>
      <c r="AH314" s="7"/>
      <c r="AI314" s="2349"/>
      <c r="AJ314" s="2349"/>
      <c r="AK314" s="2349"/>
      <c r="BN314" s="61"/>
    </row>
    <row r="315" spans="2:66" ht="12.75">
      <c r="B315" s="58" t="s">
        <v>94</v>
      </c>
      <c r="C315" s="58"/>
      <c r="D315" s="58"/>
      <c r="E315" s="58"/>
      <c r="F315" s="58"/>
      <c r="G315" s="58"/>
      <c r="H315" s="2352" t="str">
        <f>H307</f>
        <v>916-751-2979</v>
      </c>
      <c r="I315" s="2352"/>
      <c r="J315" s="2352"/>
      <c r="K315" s="2352"/>
      <c r="L315" s="2352"/>
      <c r="M315" s="2352"/>
      <c r="N315" s="60"/>
      <c r="O315" s="60"/>
      <c r="P315" s="62"/>
      <c r="Q315" s="62"/>
      <c r="R315" s="62"/>
      <c r="S315" s="58"/>
      <c r="T315" s="58" t="s">
        <v>94</v>
      </c>
      <c r="V315" s="58"/>
      <c r="W315" s="58"/>
      <c r="X315" s="58"/>
      <c r="Y315" s="58"/>
      <c r="AA315" s="2056"/>
      <c r="AB315" s="2056"/>
      <c r="AC315" s="2056"/>
      <c r="AD315" s="2056"/>
      <c r="AE315" s="2056"/>
      <c r="AF315" s="2056"/>
      <c r="AG315" s="60"/>
      <c r="AH315" s="60"/>
      <c r="AI315" s="62"/>
      <c r="AJ315" s="62"/>
      <c r="AK315" s="62"/>
      <c r="BN315" s="61"/>
    </row>
    <row r="316" spans="2:66" ht="12.75">
      <c r="B316" s="58" t="s">
        <v>80</v>
      </c>
      <c r="C316" s="58"/>
      <c r="D316" s="58"/>
      <c r="E316" s="58"/>
      <c r="F316" s="58"/>
      <c r="G316" s="58"/>
      <c r="H316" s="2288" t="str">
        <f>H308</f>
        <v xml:space="preserve">jgierth@pccpllp.com </v>
      </c>
      <c r="I316" s="2288"/>
      <c r="J316" s="2288"/>
      <c r="K316" s="2288"/>
      <c r="L316" s="2288"/>
      <c r="M316" s="2288"/>
      <c r="N316" s="2055"/>
      <c r="O316" s="2055"/>
      <c r="P316" s="2055"/>
      <c r="Q316" s="2055"/>
      <c r="R316" s="2055"/>
      <c r="S316" s="58"/>
      <c r="T316" s="58" t="s">
        <v>80</v>
      </c>
      <c r="V316" s="58"/>
      <c r="W316" s="58"/>
      <c r="X316" s="58"/>
      <c r="Y316" s="58"/>
      <c r="AA316" s="2288" t="s">
        <v>2582</v>
      </c>
      <c r="AB316" s="2288"/>
      <c r="AC316" s="2288"/>
      <c r="AD316" s="2288"/>
      <c r="AE316" s="2288"/>
      <c r="AF316" s="2288"/>
      <c r="AG316" s="2055"/>
      <c r="AH316" s="2055"/>
      <c r="AI316" s="2055"/>
      <c r="AJ316" s="2055"/>
      <c r="AK316" s="2055"/>
      <c r="BN316" s="61"/>
    </row>
    <row r="317" spans="2:66" ht="12.75">
      <c r="BN317" s="61"/>
    </row>
    <row r="318" spans="2:66" ht="12.75">
      <c r="B318" s="7" t="s">
        <v>977</v>
      </c>
      <c r="C318" s="58"/>
      <c r="D318" s="58"/>
      <c r="E318" s="58"/>
      <c r="F318" s="58"/>
      <c r="H318" s="2055"/>
      <c r="I318" s="2055"/>
      <c r="J318" s="2055"/>
      <c r="K318" s="2055"/>
      <c r="L318" s="2055"/>
      <c r="M318" s="2055"/>
      <c r="N318" s="2055"/>
      <c r="O318" s="2055"/>
      <c r="P318" s="2055"/>
      <c r="Q318" s="2055"/>
      <c r="R318" s="2055"/>
      <c r="T318" s="58" t="s">
        <v>376</v>
      </c>
      <c r="V318" s="58"/>
      <c r="W318" s="58"/>
      <c r="X318" s="58"/>
      <c r="Y318" s="58"/>
      <c r="AA318" s="2055"/>
      <c r="AB318" s="2055"/>
      <c r="AC318" s="2055"/>
      <c r="AD318" s="2055"/>
      <c r="AE318" s="2055"/>
      <c r="AF318" s="2055"/>
      <c r="AG318" s="2055"/>
      <c r="AH318" s="2055"/>
      <c r="AI318" s="2055"/>
      <c r="AJ318" s="2055"/>
      <c r="AK318" s="2055"/>
      <c r="BN318" s="61"/>
    </row>
    <row r="319" spans="2:66" ht="12.75">
      <c r="B319" s="58" t="s">
        <v>504</v>
      </c>
      <c r="C319" s="58"/>
      <c r="D319" s="58"/>
      <c r="E319" s="58"/>
      <c r="F319" s="58"/>
      <c r="H319" s="2288"/>
      <c r="I319" s="2288"/>
      <c r="J319" s="2288"/>
      <c r="K319" s="2288"/>
      <c r="L319" s="2288"/>
      <c r="M319" s="2288"/>
      <c r="N319" s="2288"/>
      <c r="O319" s="2288"/>
      <c r="P319" s="2288"/>
      <c r="Q319" s="2288"/>
      <c r="R319" s="2288"/>
      <c r="T319" s="58" t="s">
        <v>504</v>
      </c>
      <c r="V319" s="58"/>
      <c r="W319" s="58"/>
      <c r="X319" s="58"/>
      <c r="Y319" s="58"/>
      <c r="AA319" s="2288"/>
      <c r="AB319" s="2288"/>
      <c r="AC319" s="2288"/>
      <c r="AD319" s="2288"/>
      <c r="AE319" s="2288"/>
      <c r="AF319" s="2288"/>
      <c r="AG319" s="2288"/>
      <c r="AH319" s="2288"/>
      <c r="AI319" s="2288"/>
      <c r="AJ319" s="2288"/>
      <c r="AK319" s="2288"/>
      <c r="BN319" s="61"/>
    </row>
    <row r="320" spans="2:66" ht="12.75">
      <c r="B320" s="58" t="s">
        <v>505</v>
      </c>
      <c r="C320" s="58"/>
      <c r="D320" s="58"/>
      <c r="E320" s="58"/>
      <c r="F320" s="58"/>
      <c r="H320" s="2288"/>
      <c r="I320" s="2288"/>
      <c r="J320" s="2288"/>
      <c r="K320" s="2288"/>
      <c r="L320" s="2288"/>
      <c r="M320" s="2288"/>
      <c r="N320" s="2288"/>
      <c r="O320" s="2288"/>
      <c r="P320" s="2288"/>
      <c r="Q320" s="2288"/>
      <c r="R320" s="2288"/>
      <c r="T320" s="58" t="s">
        <v>79</v>
      </c>
      <c r="V320" s="58"/>
      <c r="W320" s="58"/>
      <c r="X320" s="58"/>
      <c r="Y320" s="58"/>
      <c r="AA320" s="2288"/>
      <c r="AB320" s="2288"/>
      <c r="AC320" s="2288"/>
      <c r="AD320" s="2288"/>
      <c r="AE320" s="2288"/>
      <c r="AF320" s="2288"/>
      <c r="AG320" s="2288"/>
      <c r="AH320" s="2288"/>
      <c r="AI320" s="2288"/>
      <c r="AJ320" s="2288"/>
      <c r="AK320" s="2288"/>
      <c r="BN320" s="61"/>
    </row>
    <row r="321" spans="1:66" ht="12.75" customHeight="1">
      <c r="A321" s="39"/>
      <c r="B321" s="58" t="s">
        <v>92</v>
      </c>
      <c r="C321" s="58"/>
      <c r="D321" s="58"/>
      <c r="E321" s="58"/>
      <c r="F321" s="58"/>
      <c r="H321" s="2288"/>
      <c r="I321" s="2288"/>
      <c r="J321" s="2288"/>
      <c r="K321" s="2288"/>
      <c r="L321" s="2288"/>
      <c r="M321" s="2288"/>
      <c r="N321" s="2288"/>
      <c r="O321" s="2288"/>
      <c r="P321" s="2288"/>
      <c r="Q321" s="2288"/>
      <c r="R321" s="2288"/>
      <c r="T321" s="58" t="s">
        <v>92</v>
      </c>
      <c r="V321" s="58"/>
      <c r="W321" s="58"/>
      <c r="X321" s="58"/>
      <c r="Y321" s="58"/>
      <c r="AA321" s="2288"/>
      <c r="AB321" s="2288"/>
      <c r="AC321" s="2288"/>
      <c r="AD321" s="2288"/>
      <c r="AE321" s="2288"/>
      <c r="AF321" s="2288"/>
      <c r="AG321" s="2288"/>
      <c r="AH321" s="2288"/>
      <c r="AI321" s="2288"/>
      <c r="AJ321" s="2288"/>
      <c r="AK321" s="2288"/>
      <c r="AL321" s="39"/>
      <c r="BN321" s="61"/>
    </row>
    <row r="322" spans="1:66" ht="12.75">
      <c r="A322" s="39"/>
      <c r="B322" s="58" t="s">
        <v>93</v>
      </c>
      <c r="C322" s="58"/>
      <c r="D322" s="58"/>
      <c r="E322" s="58"/>
      <c r="F322" s="58"/>
      <c r="G322" s="58"/>
      <c r="H322" s="2352"/>
      <c r="I322" s="2352"/>
      <c r="J322" s="2352"/>
      <c r="K322" s="2352"/>
      <c r="L322" s="2352"/>
      <c r="M322" s="2352"/>
      <c r="N322" s="7" t="s">
        <v>212</v>
      </c>
      <c r="O322" s="7"/>
      <c r="P322" s="2349"/>
      <c r="Q322" s="2349"/>
      <c r="R322" s="2349"/>
      <c r="S322" s="58"/>
      <c r="T322" s="58" t="s">
        <v>93</v>
      </c>
      <c r="V322" s="58"/>
      <c r="W322" s="58"/>
      <c r="X322" s="58"/>
      <c r="Y322" s="58"/>
      <c r="AA322" s="2352"/>
      <c r="AB322" s="2352"/>
      <c r="AC322" s="2352"/>
      <c r="AD322" s="2352"/>
      <c r="AE322" s="2352"/>
      <c r="AF322" s="2352"/>
      <c r="AG322" s="7" t="s">
        <v>212</v>
      </c>
      <c r="AH322" s="7"/>
      <c r="AI322" s="2349"/>
      <c r="AJ322" s="2349"/>
      <c r="AK322" s="2349"/>
      <c r="AL322" s="39"/>
      <c r="BN322" s="61"/>
    </row>
    <row r="323" spans="1:66" ht="12.75" customHeight="1">
      <c r="A323" s="39"/>
      <c r="B323" s="58" t="s">
        <v>94</v>
      </c>
      <c r="C323" s="58"/>
      <c r="D323" s="58"/>
      <c r="E323" s="58"/>
      <c r="F323" s="58"/>
      <c r="G323" s="58"/>
      <c r="H323" s="2057"/>
      <c r="I323" s="2057"/>
      <c r="J323" s="2057"/>
      <c r="K323" s="2057"/>
      <c r="L323" s="2057"/>
      <c r="M323" s="2057"/>
      <c r="N323" s="60"/>
      <c r="O323" s="60"/>
      <c r="P323" s="62"/>
      <c r="Q323" s="62"/>
      <c r="R323" s="62"/>
      <c r="S323" s="58"/>
      <c r="T323" s="58" t="s">
        <v>94</v>
      </c>
      <c r="V323" s="58"/>
      <c r="W323" s="58"/>
      <c r="X323" s="58"/>
      <c r="Y323" s="58"/>
      <c r="AA323" s="2057"/>
      <c r="AB323" s="2057"/>
      <c r="AC323" s="2057"/>
      <c r="AD323" s="2057"/>
      <c r="AE323" s="2057"/>
      <c r="AF323" s="2057"/>
      <c r="AG323" s="60"/>
      <c r="AH323" s="60"/>
      <c r="AI323" s="62"/>
      <c r="AJ323" s="62"/>
      <c r="AK323" s="62"/>
      <c r="AL323" s="39"/>
    </row>
    <row r="324" spans="1:66" ht="12.75">
      <c r="A324" s="39"/>
      <c r="B324" s="58" t="s">
        <v>80</v>
      </c>
      <c r="C324" s="58"/>
      <c r="D324" s="58"/>
      <c r="E324" s="58"/>
      <c r="F324" s="58"/>
      <c r="G324" s="58"/>
      <c r="H324" s="2288"/>
      <c r="I324" s="2288"/>
      <c r="J324" s="2288"/>
      <c r="K324" s="2288"/>
      <c r="L324" s="2288"/>
      <c r="M324" s="2288"/>
      <c r="N324" s="2055"/>
      <c r="O324" s="2055"/>
      <c r="P324" s="2055"/>
      <c r="Q324" s="2055"/>
      <c r="R324" s="2055"/>
      <c r="S324" s="58"/>
      <c r="T324" s="58" t="s">
        <v>80</v>
      </c>
      <c r="V324" s="58"/>
      <c r="W324" s="58"/>
      <c r="X324" s="58"/>
      <c r="Y324" s="58"/>
      <c r="AA324" s="2288"/>
      <c r="AB324" s="2288"/>
      <c r="AC324" s="2288"/>
      <c r="AD324" s="2288"/>
      <c r="AE324" s="2288"/>
      <c r="AF324" s="2288"/>
      <c r="AG324" s="2055"/>
      <c r="AH324" s="2055"/>
      <c r="AI324" s="2055"/>
      <c r="AJ324" s="2055"/>
      <c r="AK324" s="2055"/>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55"/>
      <c r="I326" s="2055"/>
      <c r="J326" s="2055"/>
      <c r="K326" s="2055"/>
      <c r="L326" s="2055"/>
      <c r="M326" s="2055"/>
      <c r="N326" s="2055"/>
      <c r="O326" s="2055"/>
      <c r="P326" s="2055"/>
      <c r="Q326" s="2055"/>
      <c r="R326" s="2055"/>
      <c r="T326" s="58" t="s">
        <v>378</v>
      </c>
      <c r="V326" s="58"/>
      <c r="W326" s="58"/>
      <c r="X326" s="58"/>
      <c r="Y326" s="58"/>
      <c r="AA326" s="2055"/>
      <c r="AB326" s="2055"/>
      <c r="AC326" s="2055"/>
      <c r="AD326" s="2055"/>
      <c r="AE326" s="2055"/>
      <c r="AF326" s="2055"/>
      <c r="AG326" s="2055"/>
      <c r="AH326" s="2055"/>
      <c r="AI326" s="2055"/>
      <c r="AJ326" s="2055"/>
      <c r="AK326" s="2055"/>
      <c r="AL326" s="39"/>
    </row>
    <row r="327" spans="1:66" ht="12.75">
      <c r="A327" s="39"/>
      <c r="B327" s="58" t="s">
        <v>504</v>
      </c>
      <c r="C327" s="58"/>
      <c r="D327" s="58"/>
      <c r="E327" s="58"/>
      <c r="F327" s="58"/>
      <c r="H327" s="2288"/>
      <c r="I327" s="2288"/>
      <c r="J327" s="2288"/>
      <c r="K327" s="2288"/>
      <c r="L327" s="2288"/>
      <c r="M327" s="2288"/>
      <c r="N327" s="2288"/>
      <c r="O327" s="2288"/>
      <c r="P327" s="2288"/>
      <c r="Q327" s="2288"/>
      <c r="R327" s="2288"/>
      <c r="T327" s="58" t="s">
        <v>504</v>
      </c>
      <c r="V327" s="58"/>
      <c r="W327" s="58"/>
      <c r="X327" s="58"/>
      <c r="Y327" s="58"/>
      <c r="AA327" s="2288"/>
      <c r="AB327" s="2288"/>
      <c r="AC327" s="2288"/>
      <c r="AD327" s="2288"/>
      <c r="AE327" s="2288"/>
      <c r="AF327" s="2288"/>
      <c r="AG327" s="2288"/>
      <c r="AH327" s="2288"/>
      <c r="AI327" s="2288"/>
      <c r="AJ327" s="2288"/>
      <c r="AK327" s="2288"/>
      <c r="AL327" s="39"/>
    </row>
    <row r="328" spans="1:66" ht="12.75">
      <c r="A328" s="39"/>
      <c r="B328" s="58" t="s">
        <v>505</v>
      </c>
      <c r="C328" s="58"/>
      <c r="D328" s="58"/>
      <c r="E328" s="58"/>
      <c r="F328" s="58"/>
      <c r="H328" s="2288"/>
      <c r="I328" s="2288"/>
      <c r="J328" s="2288"/>
      <c r="K328" s="2288"/>
      <c r="L328" s="2288"/>
      <c r="M328" s="2288"/>
      <c r="N328" s="2288"/>
      <c r="O328" s="2288"/>
      <c r="P328" s="2288"/>
      <c r="Q328" s="2288"/>
      <c r="R328" s="2288"/>
      <c r="T328" s="58" t="s">
        <v>79</v>
      </c>
      <c r="V328" s="58"/>
      <c r="W328" s="58"/>
      <c r="X328" s="58"/>
      <c r="Y328" s="58"/>
      <c r="AA328" s="2288"/>
      <c r="AB328" s="2288"/>
      <c r="AC328" s="2288"/>
      <c r="AD328" s="2288"/>
      <c r="AE328" s="2288"/>
      <c r="AF328" s="2288"/>
      <c r="AG328" s="2288"/>
      <c r="AH328" s="2288"/>
      <c r="AI328" s="2288"/>
      <c r="AJ328" s="2288"/>
      <c r="AK328" s="2288"/>
      <c r="AL328" s="39"/>
    </row>
    <row r="329" spans="1:66" ht="12.75">
      <c r="A329" s="39"/>
      <c r="B329" s="58" t="s">
        <v>92</v>
      </c>
      <c r="C329" s="58"/>
      <c r="D329" s="58"/>
      <c r="E329" s="58"/>
      <c r="F329" s="58"/>
      <c r="H329" s="2288"/>
      <c r="I329" s="2288"/>
      <c r="J329" s="2288"/>
      <c r="K329" s="2288"/>
      <c r="L329" s="2288"/>
      <c r="M329" s="2288"/>
      <c r="N329" s="2288"/>
      <c r="O329" s="2288"/>
      <c r="P329" s="2288"/>
      <c r="Q329" s="2288"/>
      <c r="R329" s="2288"/>
      <c r="T329" s="58" t="s">
        <v>92</v>
      </c>
      <c r="V329" s="58"/>
      <c r="W329" s="58"/>
      <c r="X329" s="58"/>
      <c r="Y329" s="58"/>
      <c r="AA329" s="2288"/>
      <c r="AB329" s="2288"/>
      <c r="AC329" s="2288"/>
      <c r="AD329" s="2288"/>
      <c r="AE329" s="2288"/>
      <c r="AF329" s="2288"/>
      <c r="AG329" s="2288"/>
      <c r="AH329" s="2288"/>
      <c r="AI329" s="2288"/>
      <c r="AJ329" s="2288"/>
      <c r="AK329" s="2288"/>
      <c r="AL329" s="39"/>
    </row>
    <row r="330" spans="1:66" ht="12.75" customHeight="1">
      <c r="A330" s="39"/>
      <c r="B330" s="58" t="s">
        <v>93</v>
      </c>
      <c r="C330" s="58"/>
      <c r="D330" s="58"/>
      <c r="E330" s="58"/>
      <c r="F330" s="58"/>
      <c r="G330" s="58"/>
      <c r="H330" s="2352"/>
      <c r="I330" s="2352"/>
      <c r="J330" s="2352"/>
      <c r="K330" s="2352"/>
      <c r="L330" s="2352"/>
      <c r="M330" s="2352"/>
      <c r="N330" s="7" t="s">
        <v>212</v>
      </c>
      <c r="O330" s="7"/>
      <c r="P330" s="2349"/>
      <c r="Q330" s="2349"/>
      <c r="R330" s="2349"/>
      <c r="S330" s="58"/>
      <c r="T330" s="58" t="s">
        <v>93</v>
      </c>
      <c r="V330" s="58"/>
      <c r="W330" s="58"/>
      <c r="X330" s="58"/>
      <c r="Y330" s="58"/>
      <c r="AA330" s="2352"/>
      <c r="AB330" s="2352"/>
      <c r="AC330" s="2352"/>
      <c r="AD330" s="2352"/>
      <c r="AE330" s="2352"/>
      <c r="AF330" s="2352"/>
      <c r="AG330" s="7" t="s">
        <v>212</v>
      </c>
      <c r="AH330" s="7"/>
      <c r="AI330" s="2349"/>
      <c r="AJ330" s="2349"/>
      <c r="AK330" s="2349"/>
      <c r="AL330" s="39"/>
    </row>
    <row r="331" spans="1:66" ht="12.75">
      <c r="A331" s="39"/>
      <c r="B331" s="58" t="s">
        <v>94</v>
      </c>
      <c r="C331" s="58"/>
      <c r="D331" s="58"/>
      <c r="E331" s="58"/>
      <c r="F331" s="58"/>
      <c r="G331" s="58"/>
      <c r="H331" s="2057"/>
      <c r="I331" s="2057"/>
      <c r="J331" s="2057"/>
      <c r="K331" s="2057"/>
      <c r="L331" s="2057"/>
      <c r="M331" s="2057"/>
      <c r="N331" s="60"/>
      <c r="O331" s="60"/>
      <c r="P331" s="62"/>
      <c r="Q331" s="62"/>
      <c r="R331" s="62"/>
      <c r="S331" s="58"/>
      <c r="T331" s="58" t="s">
        <v>94</v>
      </c>
      <c r="V331" s="58"/>
      <c r="W331" s="58"/>
      <c r="X331" s="58"/>
      <c r="Y331" s="58"/>
      <c r="AA331" s="2057"/>
      <c r="AB331" s="2057"/>
      <c r="AC331" s="2057"/>
      <c r="AD331" s="2057"/>
      <c r="AE331" s="2057"/>
      <c r="AF331" s="2057"/>
      <c r="AG331" s="60"/>
      <c r="AH331" s="60"/>
      <c r="AI331" s="62"/>
      <c r="AJ331" s="62"/>
      <c r="AK331" s="62"/>
      <c r="AL331" s="39"/>
    </row>
    <row r="332" spans="1:66" ht="12.75">
      <c r="A332" s="39"/>
      <c r="B332" s="58" t="s">
        <v>80</v>
      </c>
      <c r="C332" s="58"/>
      <c r="D332" s="58"/>
      <c r="E332" s="58"/>
      <c r="F332" s="58"/>
      <c r="G332" s="58"/>
      <c r="H332" s="2288"/>
      <c r="I332" s="2288"/>
      <c r="J332" s="2288"/>
      <c r="K332" s="2288"/>
      <c r="L332" s="2288"/>
      <c r="M332" s="2288"/>
      <c r="N332" s="2055"/>
      <c r="O332" s="2055"/>
      <c r="P332" s="2055"/>
      <c r="Q332" s="2055"/>
      <c r="R332" s="2055"/>
      <c r="S332" s="58"/>
      <c r="T332" s="58" t="s">
        <v>80</v>
      </c>
      <c r="V332" s="58"/>
      <c r="W332" s="58"/>
      <c r="X332" s="58"/>
      <c r="Y332" s="58"/>
      <c r="AA332" s="2288"/>
      <c r="AB332" s="2288"/>
      <c r="AC332" s="2288"/>
      <c r="AD332" s="2288"/>
      <c r="AE332" s="2288"/>
      <c r="AF332" s="2288"/>
      <c r="AG332" s="2055"/>
      <c r="AH332" s="2055"/>
      <c r="AI332" s="2055"/>
      <c r="AJ332" s="2055"/>
      <c r="AK332" s="205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5" t="s">
        <v>2583</v>
      </c>
      <c r="I334" s="2055"/>
      <c r="J334" s="2055"/>
      <c r="K334" s="2055"/>
      <c r="L334" s="2055"/>
      <c r="M334" s="2055"/>
      <c r="N334" s="2055"/>
      <c r="O334" s="2055"/>
      <c r="P334" s="2055"/>
      <c r="Q334" s="2055"/>
      <c r="R334" s="2055"/>
      <c r="T334" s="405" t="s">
        <v>952</v>
      </c>
      <c r="V334" s="58"/>
      <c r="W334" s="58"/>
      <c r="X334" s="58"/>
      <c r="Y334" s="58"/>
      <c r="AA334" s="2055" t="s">
        <v>2589</v>
      </c>
      <c r="AB334" s="2055"/>
      <c r="AC334" s="2055"/>
      <c r="AD334" s="2055"/>
      <c r="AE334" s="2055"/>
      <c r="AF334" s="2055"/>
      <c r="AG334" s="2055"/>
      <c r="AH334" s="2055"/>
      <c r="AI334" s="2055"/>
      <c r="AJ334" s="2055"/>
      <c r="AK334" s="2055"/>
      <c r="AL334" s="39"/>
    </row>
    <row r="335" spans="1:66" ht="12.75" customHeight="1">
      <c r="B335" s="58" t="s">
        <v>504</v>
      </c>
      <c r="C335" s="240"/>
      <c r="D335" s="240"/>
      <c r="E335" s="240"/>
      <c r="F335" s="240"/>
      <c r="G335" s="3"/>
      <c r="H335" s="2288" t="s">
        <v>2584</v>
      </c>
      <c r="I335" s="2288"/>
      <c r="J335" s="2288"/>
      <c r="K335" s="2288"/>
      <c r="L335" s="2288"/>
      <c r="M335" s="2288"/>
      <c r="N335" s="2288"/>
      <c r="O335" s="2288"/>
      <c r="P335" s="2288"/>
      <c r="Q335" s="2288"/>
      <c r="R335" s="2288"/>
      <c r="T335" s="58" t="s">
        <v>504</v>
      </c>
      <c r="V335" s="58"/>
      <c r="W335" s="58"/>
      <c r="X335" s="58"/>
      <c r="Y335" s="58"/>
      <c r="AA335" s="2288" t="s">
        <v>2590</v>
      </c>
      <c r="AB335" s="2288"/>
      <c r="AC335" s="2288"/>
      <c r="AD335" s="2288"/>
      <c r="AE335" s="2288"/>
      <c r="AF335" s="2288"/>
      <c r="AG335" s="2288"/>
      <c r="AH335" s="2288"/>
      <c r="AI335" s="2288"/>
      <c r="AJ335" s="2288"/>
      <c r="AK335" s="2288"/>
      <c r="AL335" s="39"/>
    </row>
    <row r="336" spans="1:66" ht="12.75" customHeight="1">
      <c r="B336" s="58" t="s">
        <v>79</v>
      </c>
      <c r="C336" s="240"/>
      <c r="D336" s="240"/>
      <c r="E336" s="240"/>
      <c r="F336" s="240"/>
      <c r="G336" s="3"/>
      <c r="H336" s="2288" t="s">
        <v>2585</v>
      </c>
      <c r="I336" s="2288"/>
      <c r="J336" s="2288"/>
      <c r="K336" s="2288"/>
      <c r="L336" s="2288"/>
      <c r="M336" s="2288"/>
      <c r="N336" s="2288"/>
      <c r="O336" s="2288"/>
      <c r="P336" s="2288"/>
      <c r="Q336" s="2288"/>
      <c r="R336" s="2288"/>
      <c r="T336" s="58" t="s">
        <v>79</v>
      </c>
      <c r="V336" s="58"/>
      <c r="W336" s="58"/>
      <c r="X336" s="58"/>
      <c r="Y336" s="58"/>
      <c r="AA336" s="2288" t="s">
        <v>2591</v>
      </c>
      <c r="AB336" s="2288"/>
      <c r="AC336" s="2288"/>
      <c r="AD336" s="2288"/>
      <c r="AE336" s="2288"/>
      <c r="AF336" s="2288"/>
      <c r="AG336" s="2288"/>
      <c r="AH336" s="2288"/>
      <c r="AI336" s="2288"/>
      <c r="AJ336" s="2288"/>
      <c r="AK336" s="2288"/>
      <c r="AL336" s="39"/>
    </row>
    <row r="337" spans="1:66" ht="12.75" customHeight="1">
      <c r="A337" s="39"/>
      <c r="B337" s="58" t="s">
        <v>92</v>
      </c>
      <c r="C337" s="240"/>
      <c r="D337" s="240"/>
      <c r="E337" s="240"/>
      <c r="F337" s="240"/>
      <c r="G337" s="240"/>
      <c r="H337" s="2288" t="s">
        <v>2586</v>
      </c>
      <c r="I337" s="2288"/>
      <c r="J337" s="2288"/>
      <c r="K337" s="2288"/>
      <c r="L337" s="2288"/>
      <c r="M337" s="2288"/>
      <c r="N337" s="2288"/>
      <c r="O337" s="2288"/>
      <c r="P337" s="2288"/>
      <c r="Q337" s="2288"/>
      <c r="R337" s="2288"/>
      <c r="T337" s="58" t="s">
        <v>92</v>
      </c>
      <c r="V337" s="58"/>
      <c r="W337" s="58"/>
      <c r="X337" s="58"/>
      <c r="Y337" s="58"/>
      <c r="AA337" s="2288" t="s">
        <v>2592</v>
      </c>
      <c r="AB337" s="2288"/>
      <c r="AC337" s="2288"/>
      <c r="AD337" s="2288"/>
      <c r="AE337" s="2288"/>
      <c r="AF337" s="2288"/>
      <c r="AG337" s="2288"/>
      <c r="AH337" s="2288"/>
      <c r="AI337" s="2288"/>
      <c r="AJ337" s="2288"/>
      <c r="AK337" s="2288"/>
      <c r="AL337" s="39"/>
    </row>
    <row r="338" spans="1:66" ht="12.75" customHeight="1">
      <c r="A338" s="39"/>
      <c r="B338" s="58" t="s">
        <v>93</v>
      </c>
      <c r="C338" s="240"/>
      <c r="D338" s="240"/>
      <c r="E338" s="240"/>
      <c r="F338" s="240"/>
      <c r="G338" s="240"/>
      <c r="H338" s="2436" t="s">
        <v>2587</v>
      </c>
      <c r="I338" s="2436"/>
      <c r="J338" s="2436"/>
      <c r="K338" s="2436"/>
      <c r="L338" s="2436"/>
      <c r="M338" s="2436"/>
      <c r="N338" s="7" t="s">
        <v>212</v>
      </c>
      <c r="O338" s="7"/>
      <c r="P338" s="2349"/>
      <c r="Q338" s="2349"/>
      <c r="R338" s="2349"/>
      <c r="S338" s="58"/>
      <c r="T338" s="58" t="s">
        <v>93</v>
      </c>
      <c r="V338" s="58"/>
      <c r="W338" s="58"/>
      <c r="X338" s="58"/>
      <c r="Y338" s="58"/>
      <c r="AA338" s="2436" t="s">
        <v>2593</v>
      </c>
      <c r="AB338" s="2436"/>
      <c r="AC338" s="2436"/>
      <c r="AD338" s="2436"/>
      <c r="AE338" s="2436"/>
      <c r="AF338" s="2436"/>
      <c r="AG338" s="7" t="s">
        <v>212</v>
      </c>
      <c r="AH338" s="7"/>
      <c r="AI338" s="2349"/>
      <c r="AJ338" s="2349"/>
      <c r="AK338" s="2349"/>
      <c r="AL338" s="39"/>
    </row>
    <row r="339" spans="1:66" ht="12.75">
      <c r="A339" s="39"/>
      <c r="B339" s="58" t="s">
        <v>94</v>
      </c>
      <c r="C339" s="240"/>
      <c r="D339" s="240"/>
      <c r="E339" s="240"/>
      <c r="F339" s="240"/>
      <c r="G339" s="240"/>
      <c r="H339" s="2056"/>
      <c r="I339" s="2056"/>
      <c r="J339" s="2056"/>
      <c r="K339" s="2056"/>
      <c r="L339" s="2056"/>
      <c r="M339" s="2056"/>
      <c r="N339" s="60"/>
      <c r="O339" s="60"/>
      <c r="P339" s="62"/>
      <c r="Q339" s="62"/>
      <c r="R339" s="62"/>
      <c r="S339" s="58"/>
      <c r="T339" s="58" t="s">
        <v>94</v>
      </c>
      <c r="V339" s="58"/>
      <c r="W339" s="58"/>
      <c r="X339" s="58"/>
      <c r="Y339" s="58"/>
      <c r="AA339" s="2056"/>
      <c r="AB339" s="2056"/>
      <c r="AC339" s="2056"/>
      <c r="AD339" s="2056"/>
      <c r="AE339" s="2056"/>
      <c r="AF339" s="2056"/>
      <c r="AG339" s="60"/>
      <c r="AH339" s="60"/>
      <c r="AI339" s="62"/>
      <c r="AJ339" s="62"/>
      <c r="AK339" s="62"/>
      <c r="AL339" s="39"/>
    </row>
    <row r="340" spans="1:66" ht="12.75">
      <c r="A340" s="39"/>
      <c r="B340" s="58" t="s">
        <v>80</v>
      </c>
      <c r="C340" s="237"/>
      <c r="D340" s="237"/>
      <c r="E340" s="237"/>
      <c r="F340" s="237"/>
      <c r="G340" s="237"/>
      <c r="H340" s="2288" t="s">
        <v>2588</v>
      </c>
      <c r="I340" s="2288"/>
      <c r="J340" s="2288"/>
      <c r="K340" s="2288"/>
      <c r="L340" s="2288"/>
      <c r="M340" s="2288"/>
      <c r="N340" s="2055"/>
      <c r="O340" s="2055"/>
      <c r="P340" s="2055"/>
      <c r="Q340" s="2055"/>
      <c r="R340" s="2055"/>
      <c r="S340" s="58"/>
      <c r="T340" s="58" t="s">
        <v>80</v>
      </c>
      <c r="V340" s="58"/>
      <c r="W340" s="58"/>
      <c r="X340" s="58"/>
      <c r="Y340" s="58"/>
      <c r="AA340" s="2288" t="s">
        <v>2594</v>
      </c>
      <c r="AB340" s="2288"/>
      <c r="AC340" s="2288"/>
      <c r="AD340" s="2288"/>
      <c r="AE340" s="2288"/>
      <c r="AF340" s="2288"/>
      <c r="AG340" s="2055"/>
      <c r="AH340" s="2055"/>
      <c r="AI340" s="2055"/>
      <c r="AJ340" s="2055"/>
      <c r="AK340" s="205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55"/>
      <c r="Q342" s="2055"/>
      <c r="R342" s="2055"/>
      <c r="S342" s="2055"/>
      <c r="T342" s="2055"/>
      <c r="U342" s="2055"/>
      <c r="V342" s="2055"/>
      <c r="W342" s="2055"/>
      <c r="X342" s="2055"/>
      <c r="Y342" s="2055"/>
      <c r="Z342" s="2055"/>
      <c r="AA342" s="2055"/>
      <c r="AB342" s="2055"/>
      <c r="AC342" s="2055"/>
      <c r="AD342" s="2055"/>
      <c r="AE342" s="2055"/>
      <c r="AF342" s="88"/>
      <c r="AG342" s="88"/>
      <c r="AH342" s="88"/>
      <c r="AI342" s="88"/>
      <c r="AJ342" s="88"/>
      <c r="AK342" s="88"/>
      <c r="AL342" s="39"/>
      <c r="BN342" s="12" t="s">
        <v>626</v>
      </c>
    </row>
    <row r="343" spans="1:66" ht="12.75">
      <c r="A343" s="3"/>
      <c r="B343" s="60"/>
      <c r="C343" s="60"/>
      <c r="D343" s="60"/>
      <c r="E343" s="60"/>
      <c r="F343" s="60"/>
      <c r="G343" s="3"/>
      <c r="H343" s="88"/>
      <c r="I343" s="7" t="s">
        <v>504</v>
      </c>
      <c r="P343" s="2288"/>
      <c r="Q343" s="2288"/>
      <c r="R343" s="2288"/>
      <c r="S343" s="2288"/>
      <c r="T343" s="2288"/>
      <c r="U343" s="2288"/>
      <c r="V343" s="2288"/>
      <c r="W343" s="2288"/>
      <c r="X343" s="2288"/>
      <c r="Y343" s="2288"/>
      <c r="Z343" s="2288"/>
      <c r="AA343" s="2288"/>
      <c r="AB343" s="2288"/>
      <c r="AC343" s="2288"/>
      <c r="AD343" s="2288"/>
      <c r="AE343" s="2288"/>
      <c r="AF343" s="88"/>
      <c r="AG343" s="88"/>
      <c r="AH343" s="88"/>
      <c r="AI343" s="88"/>
      <c r="AJ343" s="88"/>
      <c r="AK343" s="88"/>
      <c r="AL343" s="39"/>
      <c r="BN343" s="12" t="s">
        <v>706</v>
      </c>
    </row>
    <row r="344" spans="1:66" ht="12.75">
      <c r="A344" s="3"/>
      <c r="B344" s="60"/>
      <c r="C344" s="60"/>
      <c r="D344" s="60"/>
      <c r="E344" s="60"/>
      <c r="F344" s="60"/>
      <c r="G344" s="3"/>
      <c r="H344" s="88"/>
      <c r="I344" s="7" t="s">
        <v>79</v>
      </c>
      <c r="P344" s="2288"/>
      <c r="Q344" s="2288"/>
      <c r="R344" s="2288"/>
      <c r="S344" s="2288"/>
      <c r="T344" s="2288"/>
      <c r="U344" s="2288"/>
      <c r="V344" s="2288"/>
      <c r="W344" s="2288"/>
      <c r="X344" s="2288"/>
      <c r="Y344" s="2288"/>
      <c r="Z344" s="2288"/>
      <c r="AA344" s="2288"/>
      <c r="AB344" s="2288"/>
      <c r="AC344" s="2288"/>
      <c r="AD344" s="2288"/>
      <c r="AE344" s="2288"/>
      <c r="AF344" s="88"/>
      <c r="AG344" s="88"/>
      <c r="AH344" s="88"/>
      <c r="AI344" s="88"/>
      <c r="AJ344" s="88"/>
      <c r="AK344" s="88"/>
      <c r="AL344" s="39"/>
      <c r="BN344" s="12" t="s">
        <v>578</v>
      </c>
    </row>
    <row r="345" spans="1:66" ht="12.75">
      <c r="A345" s="3"/>
      <c r="B345" s="60"/>
      <c r="C345" s="60"/>
      <c r="D345" s="60"/>
      <c r="E345" s="60"/>
      <c r="F345" s="60"/>
      <c r="G345" s="60"/>
      <c r="H345" s="88"/>
      <c r="I345" s="7" t="s">
        <v>92</v>
      </c>
      <c r="P345" s="2288"/>
      <c r="Q345" s="2288"/>
      <c r="R345" s="2288"/>
      <c r="S345" s="2288"/>
      <c r="T345" s="2288"/>
      <c r="U345" s="2288"/>
      <c r="V345" s="2288"/>
      <c r="W345" s="2288"/>
      <c r="X345" s="2288"/>
      <c r="Y345" s="2288"/>
      <c r="Z345" s="2288"/>
      <c r="AA345" s="2288"/>
      <c r="AB345" s="2288"/>
      <c r="AC345" s="2288"/>
      <c r="AD345" s="2288"/>
      <c r="AE345" s="2288"/>
      <c r="AF345" s="88"/>
      <c r="AG345" s="88"/>
      <c r="AH345" s="88"/>
      <c r="AI345" s="88"/>
      <c r="AJ345" s="88"/>
      <c r="AK345" s="88"/>
      <c r="AL345" s="39"/>
    </row>
    <row r="346" spans="1:66" ht="12.75">
      <c r="A346" s="3"/>
      <c r="B346" s="60"/>
      <c r="C346" s="60"/>
      <c r="D346" s="60"/>
      <c r="E346" s="60"/>
      <c r="F346" s="60"/>
      <c r="G346" s="60"/>
      <c r="H346" s="465"/>
      <c r="I346" s="7" t="s">
        <v>93</v>
      </c>
      <c r="P346" s="2057"/>
      <c r="Q346" s="2057"/>
      <c r="R346" s="2057"/>
      <c r="S346" s="2057"/>
      <c r="T346" s="2057"/>
      <c r="U346" s="2057"/>
      <c r="V346" s="2057"/>
      <c r="W346" s="2057"/>
      <c r="X346" s="2057"/>
      <c r="Y346" s="2057"/>
      <c r="Z346" s="2057"/>
      <c r="AA346" s="7" t="s">
        <v>212</v>
      </c>
      <c r="AB346" s="7"/>
      <c r="AC346" s="2066"/>
      <c r="AD346" s="2066"/>
      <c r="AE346" s="2066"/>
      <c r="AF346" s="465"/>
      <c r="AG346" s="60"/>
      <c r="AH346" s="60"/>
      <c r="AI346" s="406"/>
      <c r="AJ346" s="406"/>
      <c r="AK346" s="406"/>
      <c r="AL346" s="39"/>
    </row>
    <row r="347" spans="1:66" ht="12.75" customHeight="1">
      <c r="A347" s="3"/>
      <c r="B347" s="60"/>
      <c r="C347" s="60"/>
      <c r="D347" s="60"/>
      <c r="E347" s="60"/>
      <c r="F347" s="60"/>
      <c r="G347" s="60"/>
      <c r="H347" s="465"/>
      <c r="I347" s="7" t="s">
        <v>94</v>
      </c>
      <c r="P347" s="2057"/>
      <c r="Q347" s="2057"/>
      <c r="R347" s="2057"/>
      <c r="S347" s="2057"/>
      <c r="T347" s="2057"/>
      <c r="U347" s="2057"/>
      <c r="V347" s="2057"/>
      <c r="W347" s="2057"/>
      <c r="X347" s="2057"/>
      <c r="Y347" s="2057"/>
      <c r="Z347" s="2057"/>
      <c r="AF347" s="465"/>
      <c r="AG347" s="60"/>
      <c r="AH347" s="60"/>
      <c r="AI347" s="62"/>
      <c r="AJ347" s="62"/>
      <c r="AK347" s="62"/>
      <c r="AL347" s="39"/>
    </row>
    <row r="348" spans="1:66" ht="12.75">
      <c r="A348" s="3"/>
      <c r="B348" s="60"/>
      <c r="C348" s="406"/>
      <c r="D348" s="406"/>
      <c r="E348" s="406"/>
      <c r="F348" s="406"/>
      <c r="G348" s="406"/>
      <c r="H348" s="88"/>
      <c r="I348" s="7" t="s">
        <v>80</v>
      </c>
      <c r="P348" s="2055"/>
      <c r="Q348" s="2055"/>
      <c r="R348" s="2055"/>
      <c r="S348" s="2055"/>
      <c r="T348" s="2055"/>
      <c r="U348" s="2055"/>
      <c r="V348" s="2055"/>
      <c r="W348" s="2055"/>
      <c r="X348" s="2055"/>
      <c r="Y348" s="2055"/>
      <c r="Z348" s="2055"/>
      <c r="AA348" s="2055"/>
      <c r="AB348" s="2055"/>
      <c r="AC348" s="2055"/>
      <c r="AD348" s="2055"/>
      <c r="AE348" s="205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8" t="s">
        <v>575</v>
      </c>
      <c r="B350" s="2378"/>
      <c r="C350" s="2378"/>
      <c r="D350" s="2378"/>
      <c r="E350" s="2378"/>
      <c r="F350" s="2378"/>
      <c r="G350" s="2378"/>
      <c r="H350" s="2378"/>
      <c r="I350" s="2378"/>
      <c r="J350" s="2378"/>
      <c r="K350" s="2378"/>
      <c r="L350" s="2378"/>
      <c r="M350" s="2378"/>
      <c r="N350" s="2378"/>
      <c r="O350" s="2378"/>
      <c r="P350" s="2378"/>
      <c r="Q350" s="2378"/>
      <c r="R350" s="2378"/>
      <c r="S350" s="2378"/>
      <c r="T350" s="2378"/>
      <c r="U350" s="2378"/>
      <c r="V350" s="2378"/>
      <c r="W350" s="2378"/>
      <c r="X350" s="2378"/>
      <c r="Y350" s="2378"/>
      <c r="Z350" s="2378"/>
      <c r="AA350" s="2378"/>
      <c r="AB350" s="2378"/>
      <c r="AC350" s="2378"/>
      <c r="AD350" s="2378"/>
      <c r="AE350" s="2378"/>
      <c r="AF350" s="2378"/>
      <c r="AG350" s="2378"/>
      <c r="AH350" s="2378"/>
      <c r="AI350" s="2378"/>
      <c r="AJ350" s="2378"/>
      <c r="AK350" s="2378"/>
      <c r="AL350" s="2378"/>
      <c r="AM350" s="144"/>
      <c r="AN350" s="144"/>
      <c r="AO350" s="144"/>
      <c r="AP350" s="144"/>
      <c r="AQ350" s="144"/>
      <c r="AR350" s="144"/>
      <c r="AS350" s="144"/>
      <c r="AT350" s="144"/>
      <c r="AU350" s="144"/>
      <c r="AV350" s="144"/>
      <c r="AW350" s="144"/>
      <c r="AX350" s="144"/>
      <c r="AY350" s="144"/>
    </row>
    <row r="351" spans="1:66" ht="13.5" thickBot="1">
      <c r="A351" s="2379"/>
      <c r="B351" s="2379"/>
      <c r="C351" s="2379"/>
      <c r="D351" s="2379"/>
      <c r="E351" s="2379"/>
      <c r="F351" s="2379"/>
      <c r="G351" s="2379"/>
      <c r="H351" s="2379"/>
      <c r="I351" s="2379"/>
      <c r="J351" s="2379"/>
      <c r="K351" s="2379"/>
      <c r="L351" s="2379"/>
      <c r="M351" s="2379"/>
      <c r="N351" s="2379"/>
      <c r="O351" s="2379"/>
      <c r="P351" s="2379"/>
      <c r="Q351" s="2379"/>
      <c r="R351" s="2379"/>
      <c r="S351" s="2379"/>
      <c r="T351" s="2379"/>
      <c r="U351" s="2379"/>
      <c r="V351" s="2379"/>
      <c r="W351" s="2379"/>
      <c r="X351" s="2379"/>
      <c r="Y351" s="2379"/>
      <c r="Z351" s="2379"/>
      <c r="AA351" s="2379"/>
      <c r="AB351" s="2379"/>
      <c r="AC351" s="2379"/>
      <c r="AD351" s="2379"/>
      <c r="AE351" s="2379"/>
      <c r="AF351" s="2379"/>
      <c r="AG351" s="2379"/>
      <c r="AH351" s="2379"/>
      <c r="AI351" s="2379"/>
      <c r="AJ351" s="2379"/>
      <c r="AK351" s="2379"/>
      <c r="AL351" s="2379"/>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28" t="s">
        <v>578</v>
      </c>
      <c r="N354" s="2028"/>
      <c r="P354" s="12" t="s">
        <v>2004</v>
      </c>
      <c r="AJ354" s="2028" t="s">
        <v>578</v>
      </c>
      <c r="AK354" s="2028"/>
    </row>
    <row r="355" spans="1:37" ht="12.75" customHeight="1">
      <c r="D355" s="58" t="s">
        <v>1993</v>
      </c>
      <c r="M355" s="2028" t="s">
        <v>626</v>
      </c>
      <c r="N355" s="2028"/>
      <c r="P355" s="58" t="s">
        <v>2218</v>
      </c>
      <c r="AJ355" s="2041"/>
      <c r="AK355" s="2041"/>
    </row>
    <row r="356" spans="1:37" ht="12.75" customHeight="1">
      <c r="D356" s="12" t="s">
        <v>745</v>
      </c>
      <c r="M356" s="2028" t="s">
        <v>626</v>
      </c>
      <c r="N356" s="2028"/>
      <c r="P356" s="719" t="s">
        <v>2003</v>
      </c>
      <c r="AJ356" s="2028" t="s">
        <v>706</v>
      </c>
      <c r="AK356" s="2028"/>
    </row>
    <row r="357" spans="1:37" ht="12.75" customHeight="1">
      <c r="D357" s="12" t="s">
        <v>746</v>
      </c>
      <c r="M357" s="2028" t="s">
        <v>626</v>
      </c>
      <c r="N357" s="2028"/>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28" t="s">
        <v>626</v>
      </c>
      <c r="O362" s="2028"/>
      <c r="P362" s="69"/>
      <c r="Q362" s="69"/>
      <c r="R362" s="69"/>
      <c r="S362" s="69"/>
      <c r="T362" s="69"/>
      <c r="U362" s="69"/>
      <c r="V362" s="69"/>
      <c r="W362" s="69"/>
      <c r="X362" s="69"/>
      <c r="Y362" s="70"/>
      <c r="Z362" s="70"/>
      <c r="AC362" s="69"/>
      <c r="AD362" s="69"/>
      <c r="AE362" s="69"/>
    </row>
    <row r="363" spans="1:37" ht="12.75" customHeight="1">
      <c r="E363" s="12" t="s">
        <v>381</v>
      </c>
      <c r="Y363" s="2028" t="s">
        <v>626</v>
      </c>
      <c r="Z363" s="2028"/>
    </row>
    <row r="364" spans="1:37" ht="12.75" customHeight="1">
      <c r="D364" s="7" t="s">
        <v>1059</v>
      </c>
      <c r="Q364" s="2055" t="s">
        <v>626</v>
      </c>
      <c r="R364" s="2055"/>
      <c r="S364" s="2055"/>
      <c r="T364" s="2055"/>
      <c r="U364" s="2055"/>
      <c r="V364" s="2055"/>
      <c r="W364" s="2055"/>
      <c r="X364" s="2055"/>
      <c r="Y364" s="2055"/>
      <c r="Z364" s="2055"/>
      <c r="AA364" s="2055"/>
      <c r="AB364" s="2055"/>
      <c r="AC364" s="2055"/>
      <c r="AD364" s="2055"/>
      <c r="AE364" s="2055"/>
      <c r="AF364" s="2055"/>
      <c r="AG364" s="2055"/>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28" t="s">
        <v>626</v>
      </c>
      <c r="K366" s="2028"/>
      <c r="L366" s="69"/>
      <c r="M366" s="69"/>
      <c r="N366" s="69"/>
      <c r="O366" s="69"/>
      <c r="P366" s="69"/>
      <c r="Q366" s="69"/>
      <c r="R366" s="69"/>
      <c r="S366" s="69"/>
      <c r="T366" s="69"/>
      <c r="U366" s="69"/>
      <c r="V366" s="69"/>
      <c r="W366" s="69"/>
      <c r="X366" s="69"/>
      <c r="Y366" s="69"/>
      <c r="Z366" s="69"/>
      <c r="AC366" s="69"/>
      <c r="AD366" s="69"/>
      <c r="AE366" s="69"/>
    </row>
    <row r="367" spans="1:37" ht="12.75" customHeight="1">
      <c r="E367" s="2348" t="s">
        <v>747</v>
      </c>
      <c r="F367" s="2348"/>
      <c r="G367" s="2348"/>
      <c r="H367" s="2348"/>
      <c r="I367" s="2348"/>
      <c r="J367" s="2348"/>
      <c r="K367" s="2348"/>
      <c r="L367" s="2348"/>
      <c r="M367" s="2348"/>
      <c r="N367" s="2348"/>
      <c r="O367" s="2348"/>
      <c r="P367" s="2348"/>
      <c r="Q367" s="2348"/>
      <c r="R367" s="2348"/>
      <c r="S367" s="2348"/>
      <c r="T367" s="2348"/>
      <c r="U367" s="2348"/>
      <c r="V367" s="2348"/>
      <c r="W367" s="2348"/>
      <c r="X367" s="2348"/>
      <c r="Y367" s="2348"/>
      <c r="Z367" s="2348"/>
      <c r="AA367" s="2348"/>
      <c r="AB367" s="2348"/>
      <c r="AC367" s="2348"/>
      <c r="AD367" s="2348"/>
      <c r="AE367" s="2348"/>
      <c r="AF367" s="2348"/>
      <c r="AG367" s="2348"/>
      <c r="AH367" s="2348"/>
    </row>
    <row r="368" spans="1:37" ht="12.75" customHeight="1">
      <c r="E368" s="2348"/>
      <c r="F368" s="2348"/>
      <c r="G368" s="2348"/>
      <c r="H368" s="2348"/>
      <c r="I368" s="2348"/>
      <c r="J368" s="2348"/>
      <c r="K368" s="2348"/>
      <c r="L368" s="2348"/>
      <c r="M368" s="2348"/>
      <c r="N368" s="2348"/>
      <c r="O368" s="2348"/>
      <c r="P368" s="2348"/>
      <c r="Q368" s="2348"/>
      <c r="R368" s="2348"/>
      <c r="S368" s="2348"/>
      <c r="T368" s="2348"/>
      <c r="U368" s="2348"/>
      <c r="V368" s="2348"/>
      <c r="W368" s="2348"/>
      <c r="X368" s="2348"/>
      <c r="Y368" s="2348"/>
      <c r="Z368" s="2348"/>
      <c r="AA368" s="2348"/>
      <c r="AB368" s="2348"/>
      <c r="AC368" s="2348"/>
      <c r="AD368" s="2348"/>
      <c r="AE368" s="2348"/>
      <c r="AF368" s="2348"/>
      <c r="AG368" s="2348"/>
      <c r="AH368" s="2348"/>
    </row>
    <row r="369" spans="1:36" ht="12.75" customHeight="1">
      <c r="E369" s="7" t="s">
        <v>479</v>
      </c>
      <c r="F369" s="7"/>
      <c r="G369" s="7"/>
      <c r="H369" s="7"/>
      <c r="I369" s="7"/>
      <c r="J369" s="7"/>
      <c r="K369" s="7"/>
      <c r="L369" s="7"/>
      <c r="N369" s="2351"/>
      <c r="O369" s="2351"/>
      <c r="P369" s="2351"/>
      <c r="Q369" s="2351"/>
      <c r="R369" s="7"/>
      <c r="U369" s="7" t="s">
        <v>480</v>
      </c>
      <c r="V369" s="7"/>
      <c r="W369" s="7"/>
      <c r="X369" s="7"/>
      <c r="Y369" s="7"/>
      <c r="Z369" s="7"/>
      <c r="AA369" s="7"/>
      <c r="AB369" s="7"/>
      <c r="AC369" s="2351"/>
      <c r="AD369" s="2351"/>
      <c r="AE369" s="2351"/>
      <c r="AF369" s="2351"/>
    </row>
    <row r="370" spans="1:36" ht="12.75" customHeight="1">
      <c r="E370" s="7" t="s">
        <v>481</v>
      </c>
      <c r="F370" s="7"/>
      <c r="G370" s="7"/>
      <c r="H370" s="7"/>
      <c r="I370" s="7"/>
      <c r="J370" s="7"/>
      <c r="K370" s="7"/>
      <c r="L370" s="7"/>
      <c r="N370" s="2351"/>
      <c r="O370" s="2351"/>
      <c r="P370" s="2351"/>
      <c r="Q370" s="2351"/>
      <c r="R370" s="7"/>
      <c r="U370" s="7" t="s">
        <v>0</v>
      </c>
      <c r="V370" s="7"/>
      <c r="W370" s="7"/>
      <c r="X370" s="7"/>
      <c r="Y370" s="7"/>
      <c r="Z370" s="7"/>
      <c r="AA370" s="7"/>
      <c r="AB370" s="7"/>
      <c r="AC370" s="2351"/>
      <c r="AD370" s="2351"/>
      <c r="AE370" s="2351"/>
      <c r="AF370" s="2351"/>
    </row>
    <row r="371" spans="1:36" ht="12.75" customHeight="1">
      <c r="E371" s="7" t="s">
        <v>1</v>
      </c>
      <c r="F371" s="7"/>
      <c r="G371" s="7"/>
      <c r="H371" s="7"/>
      <c r="I371" s="7"/>
      <c r="J371" s="7"/>
      <c r="K371" s="7"/>
      <c r="L371" s="7"/>
      <c r="N371" s="2351"/>
      <c r="O371" s="2351"/>
      <c r="P371" s="2351"/>
      <c r="Q371" s="2351"/>
      <c r="R371" s="7"/>
      <c r="V371" s="7"/>
      <c r="W371" s="7"/>
      <c r="X371" s="7"/>
      <c r="Y371" s="7"/>
      <c r="Z371" s="7"/>
      <c r="AA371" s="7"/>
      <c r="AB371" s="7"/>
    </row>
    <row r="372" spans="1:36" ht="12.75" customHeight="1">
      <c r="E372" s="7" t="s">
        <v>2</v>
      </c>
      <c r="F372" s="7"/>
      <c r="G372" s="7"/>
      <c r="H372" s="7"/>
      <c r="I372" s="7"/>
      <c r="J372" s="7"/>
      <c r="K372" s="7"/>
      <c r="L372" s="7"/>
      <c r="N372" s="2551"/>
      <c r="O372" s="2551"/>
      <c r="P372" s="2551"/>
      <c r="Q372" s="2551"/>
      <c r="R372" s="2551"/>
      <c r="S372" s="2551"/>
      <c r="T372" s="2551"/>
      <c r="U372" s="2551"/>
      <c r="V372" s="2551"/>
      <c r="W372" s="2551"/>
      <c r="X372" s="2551"/>
      <c r="Y372" s="2551"/>
      <c r="Z372" s="2551"/>
      <c r="AA372" s="2551"/>
      <c r="AB372" s="2551"/>
      <c r="AC372" s="2551"/>
      <c r="AD372" s="2551"/>
      <c r="AE372" s="2551"/>
      <c r="AF372" s="2551"/>
    </row>
    <row r="373" spans="1:36" ht="12.75" customHeight="1">
      <c r="E373" s="7"/>
      <c r="F373" s="7"/>
      <c r="G373" s="7"/>
      <c r="H373" s="7"/>
      <c r="I373" s="7"/>
      <c r="J373" s="7"/>
      <c r="K373" s="7"/>
      <c r="L373" s="7"/>
      <c r="N373" s="2552"/>
      <c r="O373" s="2552"/>
      <c r="P373" s="2552"/>
      <c r="Q373" s="2552"/>
      <c r="R373" s="2552"/>
      <c r="S373" s="2552"/>
      <c r="T373" s="2552"/>
      <c r="U373" s="2552"/>
      <c r="V373" s="2552"/>
      <c r="W373" s="2552"/>
      <c r="X373" s="2552"/>
      <c r="Y373" s="2552"/>
      <c r="Z373" s="2552"/>
      <c r="AA373" s="2552"/>
      <c r="AB373" s="2552"/>
      <c r="AC373" s="2552"/>
      <c r="AD373" s="2552"/>
      <c r="AE373" s="2552"/>
      <c r="AF373" s="2552"/>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66"/>
      <c r="T376" s="2466"/>
      <c r="U376" s="4" t="s">
        <v>315</v>
      </c>
      <c r="V376" s="2466"/>
      <c r="W376" s="2466"/>
      <c r="Y376" s="25" t="s">
        <v>313</v>
      </c>
      <c r="AA376" s="25"/>
      <c r="AB376" s="25" t="s">
        <v>314</v>
      </c>
      <c r="AD376" s="2466"/>
      <c r="AE376" s="2466"/>
      <c r="AF376" s="4" t="s">
        <v>315</v>
      </c>
      <c r="AG376" s="2466"/>
      <c r="AH376" s="2466"/>
    </row>
    <row r="377" spans="1:36" ht="12.75" customHeight="1">
      <c r="E377" s="7" t="s">
        <v>1090</v>
      </c>
      <c r="F377" s="7"/>
      <c r="G377" s="7"/>
      <c r="H377" s="7"/>
      <c r="I377" s="7"/>
      <c r="J377" s="7"/>
      <c r="K377" s="7"/>
      <c r="L377" s="7"/>
      <c r="N377" s="2466"/>
      <c r="O377" s="2466"/>
      <c r="P377" s="2466"/>
    </row>
    <row r="378" spans="1:36" ht="12.75" customHeight="1">
      <c r="E378" s="382" t="s">
        <v>1091</v>
      </c>
      <c r="F378" s="7"/>
      <c r="G378" s="7"/>
      <c r="H378" s="7"/>
      <c r="I378" s="7"/>
      <c r="J378" s="7"/>
      <c r="K378" s="7"/>
      <c r="L378" s="7"/>
      <c r="AG378" s="2424" t="s">
        <v>626</v>
      </c>
      <c r="AH378" s="2424"/>
    </row>
    <row r="379" spans="1:36" ht="12.75" customHeight="1">
      <c r="E379" s="7"/>
      <c r="F379" s="7"/>
      <c r="G379" s="7" t="s">
        <v>1112</v>
      </c>
      <c r="H379" s="7"/>
      <c r="I379" s="7"/>
      <c r="J379" s="7"/>
      <c r="K379" s="7"/>
      <c r="L379" s="7"/>
      <c r="AG379" s="2424" t="s">
        <v>626</v>
      </c>
      <c r="AH379" s="2424"/>
    </row>
    <row r="380" spans="1:36" ht="12.75" customHeight="1">
      <c r="E380" s="7"/>
      <c r="F380" s="7"/>
      <c r="G380" s="509" t="s">
        <v>1092</v>
      </c>
      <c r="H380" s="7"/>
      <c r="I380" s="7"/>
      <c r="J380" s="7"/>
      <c r="K380" s="7"/>
      <c r="L380" s="7"/>
      <c r="V380" s="2028" t="s">
        <v>626</v>
      </c>
      <c r="W380" s="2028"/>
      <c r="Y380" s="35" t="s">
        <v>1061</v>
      </c>
    </row>
    <row r="381" spans="1:36" ht="12.75" customHeight="1">
      <c r="E381" s="7" t="s">
        <v>1062</v>
      </c>
      <c r="F381" s="7"/>
      <c r="G381" s="7"/>
      <c r="H381" s="7"/>
      <c r="I381" s="7"/>
      <c r="J381" s="7"/>
      <c r="K381" s="7"/>
      <c r="L381" s="7"/>
      <c r="V381" s="2028" t="s">
        <v>626</v>
      </c>
      <c r="W381" s="2028"/>
      <c r="Y381" s="7" t="s">
        <v>1063</v>
      </c>
    </row>
    <row r="382" spans="1:36" ht="12.75" customHeight="1"/>
    <row r="383" spans="1:36" ht="12.75" customHeight="1">
      <c r="A383" s="50" t="s">
        <v>82</v>
      </c>
      <c r="B383" s="50"/>
    </row>
    <row r="384" spans="1:36" ht="12.75" customHeight="1">
      <c r="D384" s="12" t="s">
        <v>449</v>
      </c>
      <c r="J384" s="2055" t="s">
        <v>2625</v>
      </c>
      <c r="K384" s="2055"/>
      <c r="L384" s="2055"/>
      <c r="M384" s="2055"/>
      <c r="N384" s="2055"/>
      <c r="O384" s="2055"/>
      <c r="P384" s="2055"/>
      <c r="Q384" s="2055"/>
      <c r="R384" s="2055"/>
      <c r="S384" s="2055"/>
      <c r="T384" s="2055"/>
      <c r="U384" s="2055"/>
      <c r="V384" s="14" t="s">
        <v>88</v>
      </c>
      <c r="W384" s="14"/>
      <c r="X384" s="14"/>
      <c r="Y384" s="14"/>
      <c r="Z384" s="14"/>
      <c r="AA384" s="14"/>
      <c r="AB384" s="14"/>
      <c r="AC384" s="2055"/>
      <c r="AD384" s="2055"/>
      <c r="AE384" s="2055"/>
      <c r="AF384" s="2055"/>
      <c r="AG384" s="2055"/>
      <c r="AH384" s="2055"/>
      <c r="AI384" s="2055"/>
      <c r="AJ384" s="2055"/>
    </row>
    <row r="385" spans="1:96" ht="12.75" customHeight="1">
      <c r="A385" s="719"/>
      <c r="B385" s="719"/>
      <c r="C385" s="719"/>
      <c r="D385" s="58" t="s">
        <v>1382</v>
      </c>
      <c r="E385" s="719"/>
      <c r="F385" s="719"/>
      <c r="G385" s="719"/>
      <c r="H385" s="719"/>
      <c r="I385" s="719"/>
      <c r="J385" s="2288"/>
      <c r="K385" s="2288"/>
      <c r="L385" s="2288"/>
      <c r="M385" s="2288"/>
      <c r="N385" s="2288"/>
      <c r="O385" s="2288"/>
      <c r="P385" s="2288"/>
      <c r="Q385" s="2288"/>
      <c r="R385" s="2288"/>
      <c r="S385" s="2288"/>
      <c r="T385" s="2288"/>
      <c r="U385" s="2288"/>
      <c r="V385" s="58" t="s">
        <v>1382</v>
      </c>
      <c r="W385" s="14"/>
      <c r="X385" s="14"/>
      <c r="Y385" s="14"/>
      <c r="Z385" s="14"/>
      <c r="AA385" s="14"/>
      <c r="AB385" s="14"/>
      <c r="AC385" s="2055"/>
      <c r="AD385" s="2055"/>
      <c r="AE385" s="2055"/>
      <c r="AF385" s="2055"/>
      <c r="AG385" s="2055"/>
      <c r="AH385" s="2055"/>
      <c r="AI385" s="2055"/>
      <c r="AJ385" s="2055"/>
      <c r="AK385" s="719"/>
      <c r="AL385" s="719"/>
    </row>
    <row r="386" spans="1:96" ht="12.75" customHeight="1">
      <c r="A386" s="719"/>
      <c r="B386" s="719"/>
      <c r="C386" s="719"/>
      <c r="D386" s="58" t="s">
        <v>464</v>
      </c>
      <c r="E386" s="719"/>
      <c r="F386" s="719"/>
      <c r="G386" s="719"/>
      <c r="H386" s="719"/>
      <c r="I386" s="719"/>
      <c r="J386" s="2288"/>
      <c r="K386" s="2288"/>
      <c r="L386" s="2288"/>
      <c r="M386" s="2288"/>
      <c r="N386" s="2288"/>
      <c r="O386" s="2288"/>
      <c r="P386" s="2288"/>
      <c r="Q386" s="2288"/>
      <c r="R386" s="2288"/>
      <c r="S386" s="2288"/>
      <c r="T386" s="2288"/>
      <c r="U386" s="2288"/>
      <c r="V386" s="58" t="s">
        <v>464</v>
      </c>
      <c r="W386" s="14"/>
      <c r="X386" s="14"/>
      <c r="Y386" s="14"/>
      <c r="Z386" s="14"/>
      <c r="AA386" s="14"/>
      <c r="AB386" s="14"/>
      <c r="AC386" s="2055"/>
      <c r="AD386" s="2055"/>
      <c r="AE386" s="2055"/>
      <c r="AF386" s="2055"/>
      <c r="AG386" s="2055"/>
      <c r="AH386" s="2055"/>
      <c r="AI386" s="2055"/>
      <c r="AJ386" s="2055"/>
      <c r="AK386" s="719"/>
      <c r="AL386" s="719"/>
    </row>
    <row r="387" spans="1:96" ht="12.75" customHeight="1">
      <c r="A387" s="719"/>
      <c r="B387" s="719"/>
      <c r="C387" s="719"/>
      <c r="D387" s="479" t="s">
        <v>1378</v>
      </c>
      <c r="E387" s="719"/>
      <c r="F387" s="719"/>
      <c r="G387" s="719"/>
      <c r="H387" s="719"/>
      <c r="I387" s="88"/>
      <c r="J387" s="2250"/>
      <c r="K387" s="2250"/>
      <c r="L387" s="2250"/>
      <c r="M387" s="2250"/>
      <c r="N387" s="2250"/>
      <c r="O387" s="2250"/>
      <c r="P387" s="2250"/>
      <c r="Q387" s="2250"/>
      <c r="R387" s="2250"/>
      <c r="S387" s="2250"/>
      <c r="T387" s="2250"/>
      <c r="U387" s="2250"/>
      <c r="V387" s="2055"/>
      <c r="W387" s="2055"/>
      <c r="X387" s="2055"/>
      <c r="Y387" s="2055"/>
      <c r="Z387" s="2055"/>
      <c r="AA387" s="2055"/>
      <c r="AB387" s="2055"/>
      <c r="AC387" s="2055"/>
      <c r="AD387" s="2055"/>
      <c r="AE387" s="2055"/>
      <c r="AF387" s="2055"/>
      <c r="AG387" s="2055"/>
      <c r="AH387" s="2055"/>
      <c r="AI387" s="2055"/>
      <c r="AJ387" s="2055"/>
      <c r="AK387" s="719"/>
      <c r="AL387" s="719"/>
    </row>
    <row r="388" spans="1:96" ht="12.75" customHeight="1">
      <c r="D388" s="12" t="s">
        <v>4</v>
      </c>
      <c r="Q388" s="2427"/>
      <c r="R388" s="2427"/>
      <c r="S388" s="2427"/>
      <c r="T388" s="2427"/>
      <c r="U388" s="2427"/>
      <c r="V388" s="12" t="s">
        <v>318</v>
      </c>
      <c r="AI388" s="2028" t="s">
        <v>706</v>
      </c>
      <c r="AJ388" s="2028"/>
    </row>
    <row r="389" spans="1:96" ht="12.75" customHeight="1">
      <c r="D389" s="12" t="s">
        <v>5</v>
      </c>
      <c r="Q389" s="2240"/>
      <c r="R389" s="2347"/>
      <c r="S389" s="2347"/>
      <c r="T389" s="2347"/>
      <c r="U389" s="2347"/>
      <c r="W389" s="33" t="s">
        <v>78</v>
      </c>
      <c r="AG389" s="2464"/>
      <c r="AH389" s="2464"/>
      <c r="AI389" s="2464"/>
      <c r="AJ389" s="2464"/>
    </row>
    <row r="390" spans="1:96" ht="12.75" customHeight="1">
      <c r="D390" s="12" t="s">
        <v>448</v>
      </c>
      <c r="Q390" s="2465">
        <v>13250000</v>
      </c>
      <c r="R390" s="2465"/>
      <c r="S390" s="2465"/>
      <c r="T390" s="2465"/>
      <c r="U390" s="2465"/>
      <c r="V390" s="58" t="s">
        <v>1381</v>
      </c>
      <c r="AG390" s="2550"/>
      <c r="AH390" s="2550"/>
      <c r="AI390" s="2550"/>
      <c r="AJ390" s="2550"/>
    </row>
    <row r="391" spans="1:96" ht="12.75" customHeight="1">
      <c r="D391" s="12" t="s">
        <v>93</v>
      </c>
      <c r="I391" s="2352"/>
      <c r="J391" s="2352"/>
      <c r="K391" s="2352"/>
      <c r="L391" s="2352"/>
      <c r="M391" s="2352"/>
      <c r="N391" s="2352"/>
      <c r="Q391" s="57" t="s">
        <v>212</v>
      </c>
      <c r="S391" s="2426"/>
      <c r="T391" s="2426"/>
      <c r="U391" s="2426"/>
      <c r="V391" s="12" t="s">
        <v>77</v>
      </c>
      <c r="AI391" s="2028" t="s">
        <v>706</v>
      </c>
      <c r="AJ391" s="2028"/>
    </row>
    <row r="392" spans="1:96" ht="12.75" customHeight="1">
      <c r="D392" s="12" t="s">
        <v>319</v>
      </c>
      <c r="Q392" s="2203"/>
      <c r="R392" s="2203"/>
      <c r="S392" s="2203"/>
      <c r="T392" s="2203"/>
      <c r="U392" s="2203"/>
      <c r="V392" s="12" t="s">
        <v>320</v>
      </c>
      <c r="AG392" s="2464"/>
      <c r="AH392" s="2464"/>
      <c r="AI392" s="2464"/>
      <c r="AJ392" s="2464"/>
    </row>
    <row r="393" spans="1:96" ht="12.75" customHeight="1">
      <c r="D393" s="12" t="s">
        <v>321</v>
      </c>
      <c r="Q393" s="2487"/>
      <c r="R393" s="2487"/>
      <c r="S393" s="2487"/>
      <c r="T393" s="2487"/>
      <c r="U393" s="2487"/>
      <c r="V393" s="719" t="s">
        <v>1358</v>
      </c>
      <c r="AG393" s="2464">
        <v>0</v>
      </c>
      <c r="AH393" s="2464"/>
      <c r="AI393" s="2464"/>
      <c r="AJ393" s="2464"/>
    </row>
    <row r="394" spans="1:96" ht="12.75">
      <c r="D394" s="719" t="s">
        <v>1357</v>
      </c>
      <c r="V394" s="719"/>
      <c r="AG394" s="2464"/>
      <c r="AH394" s="2464"/>
      <c r="AI394" s="2464"/>
      <c r="AJ394" s="2464"/>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2022</v>
      </c>
      <c r="AG396" s="748"/>
      <c r="AH396" s="748"/>
      <c r="AI396" s="2028" t="s">
        <v>706</v>
      </c>
      <c r="AJ396" s="2028"/>
      <c r="AM396" s="39"/>
      <c r="AN396" s="39"/>
      <c r="AO396" s="39"/>
      <c r="AP396" s="39"/>
      <c r="AQ396" s="39"/>
      <c r="AR396" s="39"/>
      <c r="AS396" s="39"/>
      <c r="AT396" s="39"/>
      <c r="AU396" s="39"/>
      <c r="AV396" s="39"/>
      <c r="AW396" s="39"/>
      <c r="AX396" s="39"/>
      <c r="AY396" s="39"/>
      <c r="CR396" s="25"/>
    </row>
    <row r="397" spans="1:96" s="719" customFormat="1" ht="12.75">
      <c r="D397" s="58" t="s">
        <v>2024</v>
      </c>
      <c r="T397" s="2519"/>
      <c r="U397" s="2519"/>
      <c r="V397" s="2519"/>
      <c r="W397" s="2519"/>
      <c r="X397" s="2519"/>
      <c r="Y397" s="2519"/>
      <c r="Z397" s="2519"/>
      <c r="AA397" s="2519"/>
      <c r="AB397" s="2519"/>
      <c r="AC397" s="2519"/>
      <c r="AD397" s="2519"/>
      <c r="AE397" s="2519"/>
      <c r="AF397" s="2519"/>
      <c r="AG397" s="2519"/>
      <c r="AH397" s="2519"/>
      <c r="AI397" s="2519"/>
      <c r="AJ397" s="2519"/>
      <c r="AM397" s="39"/>
      <c r="AN397" s="39"/>
      <c r="AO397" s="39"/>
      <c r="AP397" s="39"/>
      <c r="AQ397" s="39"/>
      <c r="AR397" s="39"/>
      <c r="AS397" s="39"/>
      <c r="AT397" s="39"/>
      <c r="AU397" s="39"/>
      <c r="AV397" s="39"/>
      <c r="AW397" s="39"/>
      <c r="AX397" s="39"/>
      <c r="AY397" s="39"/>
      <c r="CR397" s="25"/>
    </row>
    <row r="398" spans="1:96" s="719" customFormat="1" ht="12.75">
      <c r="D398" s="58" t="s">
        <v>2023</v>
      </c>
      <c r="T398" s="2519"/>
      <c r="U398" s="2519"/>
      <c r="V398" s="2519"/>
      <c r="W398" s="2519"/>
      <c r="X398" s="2519"/>
      <c r="Y398" s="2519"/>
      <c r="Z398" s="2519"/>
      <c r="AA398" s="2519"/>
      <c r="AB398" s="2519"/>
      <c r="AC398" s="2519"/>
      <c r="AD398" s="2519"/>
      <c r="AE398" s="2519"/>
      <c r="AF398" s="2519"/>
      <c r="AG398" s="2519"/>
      <c r="AH398" s="2519"/>
      <c r="AI398" s="2519"/>
      <c r="AJ398" s="2519"/>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2016</v>
      </c>
      <c r="E400" s="719"/>
      <c r="F400" s="719"/>
      <c r="G400" s="719"/>
      <c r="H400" s="719"/>
      <c r="I400" s="719"/>
      <c r="J400" s="719"/>
      <c r="K400" s="719"/>
      <c r="L400" s="719"/>
      <c r="M400" s="719"/>
      <c r="N400" s="719"/>
      <c r="O400" s="719"/>
      <c r="P400" s="719"/>
      <c r="Q400" s="719"/>
      <c r="R400" s="719"/>
      <c r="S400" s="2519" t="s">
        <v>706</v>
      </c>
      <c r="T400" s="2519"/>
      <c r="U400" s="2519"/>
      <c r="V400" s="479" t="s">
        <v>2017</v>
      </c>
      <c r="W400" s="719"/>
      <c r="X400" s="719"/>
      <c r="Y400" s="719"/>
      <c r="Z400" s="719"/>
      <c r="AA400" s="719"/>
      <c r="AB400" s="39"/>
      <c r="AC400" s="39"/>
      <c r="AD400" s="39"/>
      <c r="AE400" s="39"/>
      <c r="AF400" s="39"/>
      <c r="AG400" s="2521"/>
      <c r="AH400" s="2521"/>
      <c r="AI400" s="2521"/>
      <c r="AJ400" s="2521"/>
      <c r="AK400" s="39"/>
      <c r="AL400" s="719"/>
    </row>
    <row r="401" spans="1:96" s="719" customFormat="1" ht="12.75">
      <c r="D401" s="58" t="s">
        <v>2013</v>
      </c>
      <c r="S401" s="2519" t="s">
        <v>626</v>
      </c>
      <c r="T401" s="2519"/>
      <c r="U401" s="2519"/>
      <c r="V401" s="479" t="s">
        <v>2019</v>
      </c>
      <c r="AB401" s="39"/>
      <c r="AC401" s="39"/>
      <c r="AD401" s="39"/>
      <c r="AE401" s="2525"/>
      <c r="AF401" s="2525"/>
      <c r="AG401" s="2525"/>
      <c r="AH401" s="2525"/>
      <c r="AI401" s="2525"/>
      <c r="AJ401" s="2525"/>
      <c r="AK401" s="39"/>
      <c r="AM401" s="39"/>
      <c r="AN401" s="39"/>
      <c r="AO401" s="39"/>
      <c r="AP401" s="39"/>
      <c r="AQ401" s="39"/>
      <c r="AR401" s="39"/>
      <c r="AS401" s="39"/>
      <c r="AT401" s="39"/>
      <c r="AU401" s="39"/>
      <c r="AV401" s="39"/>
      <c r="AW401" s="39"/>
      <c r="AX401" s="39"/>
      <c r="AY401" s="39"/>
      <c r="CR401" s="25"/>
    </row>
    <row r="402" spans="1:96" s="719" customFormat="1" ht="12.75">
      <c r="D402" s="58" t="s">
        <v>2015</v>
      </c>
      <c r="K402" s="2526"/>
      <c r="L402" s="2526"/>
      <c r="M402" s="2526"/>
      <c r="N402" s="2526"/>
      <c r="O402" s="2526"/>
      <c r="P402" s="2526"/>
      <c r="Q402" s="2526"/>
      <c r="R402" s="2526"/>
      <c r="S402" s="2526"/>
      <c r="T402" s="2526"/>
      <c r="U402" s="2526"/>
      <c r="V402" s="2526"/>
      <c r="W402" s="2526"/>
      <c r="X402" s="2526"/>
      <c r="Y402" s="2526"/>
      <c r="Z402" s="2526"/>
      <c r="AA402" s="2526"/>
      <c r="AB402" s="2526"/>
      <c r="AC402" s="2526"/>
      <c r="AD402" s="2526"/>
      <c r="AE402" s="2526"/>
      <c r="AF402" s="2526"/>
      <c r="AG402" s="2526"/>
      <c r="AH402" s="2526"/>
      <c r="AI402" s="2526"/>
      <c r="AJ402" s="2526"/>
      <c r="AK402" s="39"/>
      <c r="AM402" s="39"/>
      <c r="AN402" s="39"/>
      <c r="AO402" s="39"/>
      <c r="AP402" s="39"/>
      <c r="AQ402" s="39"/>
      <c r="AR402" s="39"/>
      <c r="AS402" s="39"/>
      <c r="AT402" s="39"/>
      <c r="AU402" s="39"/>
      <c r="AV402" s="39"/>
      <c r="AW402" s="39"/>
      <c r="AX402" s="39"/>
      <c r="AY402" s="39"/>
      <c r="CR402" s="25"/>
    </row>
    <row r="403" spans="1:96" s="719" customFormat="1" ht="12.75">
      <c r="D403" s="58" t="s">
        <v>2018</v>
      </c>
      <c r="K403" s="2526"/>
      <c r="L403" s="2526"/>
      <c r="M403" s="2526"/>
      <c r="N403" s="2526"/>
      <c r="O403" s="2526"/>
      <c r="P403" s="2526"/>
      <c r="Q403" s="2526"/>
      <c r="R403" s="2526"/>
      <c r="S403" s="2526"/>
      <c r="T403" s="2526"/>
      <c r="U403" s="2526"/>
      <c r="V403" s="2526"/>
      <c r="W403" s="2526"/>
      <c r="X403" s="2526"/>
      <c r="Y403" s="2526"/>
      <c r="Z403" s="2526"/>
      <c r="AA403" s="2526"/>
      <c r="AB403" s="2526"/>
      <c r="AC403" s="2526"/>
      <c r="AD403" s="2526"/>
      <c r="AE403" s="2526"/>
      <c r="AF403" s="2526"/>
      <c r="AG403" s="2526"/>
      <c r="AH403" s="2526"/>
      <c r="AI403" s="2526"/>
      <c r="AJ403" s="2526"/>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7"/>
      <c r="F404" s="1517"/>
      <c r="G404" s="1517"/>
      <c r="H404" s="1517"/>
      <c r="I404" s="1517"/>
      <c r="J404" s="1517"/>
      <c r="K404" s="1517"/>
      <c r="L404" s="1517"/>
      <c r="M404" s="1517"/>
      <c r="N404" s="1517"/>
      <c r="O404" s="1517"/>
      <c r="P404" s="1517"/>
      <c r="Q404" s="1517"/>
      <c r="R404" s="1517"/>
      <c r="S404" s="2528" t="s">
        <v>2624</v>
      </c>
      <c r="T404" s="2528"/>
      <c r="U404" s="2528"/>
      <c r="V404" s="2528"/>
      <c r="W404" s="2528"/>
      <c r="X404" s="2528"/>
      <c r="Y404" s="2528"/>
      <c r="Z404" s="2528"/>
      <c r="AA404" s="2528"/>
      <c r="AB404" s="2528"/>
      <c r="AC404" s="2528"/>
      <c r="AD404" s="2528"/>
      <c r="AE404" s="2528"/>
      <c r="AF404" s="2528"/>
      <c r="AG404" s="2528"/>
      <c r="AH404" s="2528"/>
      <c r="AI404" s="2528"/>
      <c r="AJ404" s="2528"/>
      <c r="AK404" s="39"/>
      <c r="AL404" s="39"/>
      <c r="AM404" s="39"/>
      <c r="AN404" s="39"/>
      <c r="AO404" s="39"/>
      <c r="AP404" s="39"/>
      <c r="AQ404" s="39"/>
      <c r="AR404" s="39"/>
      <c r="AS404" s="39"/>
      <c r="AT404" s="39"/>
      <c r="AU404" s="39"/>
      <c r="AV404" s="39"/>
      <c r="AW404" s="39"/>
      <c r="AX404" s="39"/>
      <c r="AY404" s="39"/>
      <c r="CR404" s="25"/>
    </row>
    <row r="405" spans="1:96" s="719" customFormat="1" ht="12.75">
      <c r="D405" s="2527" t="s">
        <v>2020</v>
      </c>
      <c r="E405" s="2527"/>
      <c r="F405" s="2527"/>
      <c r="G405" s="2527"/>
      <c r="H405" s="2527"/>
      <c r="I405" s="2527"/>
      <c r="J405" s="2527"/>
      <c r="K405" s="2527"/>
      <c r="L405" s="2527"/>
      <c r="M405" s="2527"/>
      <c r="N405" s="2527"/>
      <c r="O405" s="2527"/>
      <c r="P405" s="2527"/>
      <c r="Q405" s="2527"/>
      <c r="R405" s="2527"/>
      <c r="S405" s="2527"/>
      <c r="T405" s="2527"/>
      <c r="U405" s="2527"/>
      <c r="V405" s="2527"/>
      <c r="W405" s="2527"/>
      <c r="X405" s="2527"/>
      <c r="Y405" s="2527"/>
      <c r="Z405" s="2527"/>
      <c r="AA405" s="2527"/>
      <c r="AB405" s="2527"/>
      <c r="AC405" s="2527"/>
      <c r="AD405" s="2527"/>
      <c r="AE405" s="2527"/>
      <c r="AF405" s="2527"/>
      <c r="AG405" s="2527"/>
      <c r="AH405" s="2527"/>
      <c r="AI405" s="2527"/>
      <c r="AJ405" s="2527"/>
      <c r="AK405" s="39"/>
      <c r="AL405" s="39"/>
      <c r="AM405" s="39"/>
      <c r="AN405" s="39"/>
      <c r="AO405" s="39"/>
      <c r="AP405" s="39"/>
      <c r="AQ405" s="39"/>
      <c r="AR405" s="39"/>
      <c r="AS405" s="39"/>
      <c r="AT405" s="39"/>
      <c r="AU405" s="39"/>
      <c r="AV405" s="39"/>
      <c r="AW405" s="39"/>
      <c r="AX405" s="39"/>
      <c r="AY405" s="39"/>
      <c r="CR405" s="25"/>
    </row>
    <row r="406" spans="1:96" s="719" customFormat="1" ht="12.75">
      <c r="D406" s="2527"/>
      <c r="E406" s="2527"/>
      <c r="F406" s="2527"/>
      <c r="G406" s="2527"/>
      <c r="H406" s="2527"/>
      <c r="I406" s="2527"/>
      <c r="J406" s="2527"/>
      <c r="K406" s="2527"/>
      <c r="L406" s="2527"/>
      <c r="M406" s="2527"/>
      <c r="N406" s="2527"/>
      <c r="O406" s="2527"/>
      <c r="P406" s="2527"/>
      <c r="Q406" s="2527"/>
      <c r="R406" s="2527"/>
      <c r="S406" s="2527"/>
      <c r="T406" s="2527"/>
      <c r="U406" s="2527"/>
      <c r="V406" s="2527"/>
      <c r="W406" s="2527"/>
      <c r="X406" s="2527"/>
      <c r="Y406" s="2527"/>
      <c r="Z406" s="2527"/>
      <c r="AA406" s="2527"/>
      <c r="AB406" s="2527"/>
      <c r="AC406" s="2527"/>
      <c r="AD406" s="2527"/>
      <c r="AE406" s="2527"/>
      <c r="AF406" s="2527"/>
      <c r="AG406" s="2527"/>
      <c r="AH406" s="2527"/>
      <c r="AI406" s="2527"/>
      <c r="AJ406" s="2527"/>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296" t="s">
        <v>2595</v>
      </c>
      <c r="J409" s="2296"/>
      <c r="K409" s="2296"/>
      <c r="L409" s="2296"/>
      <c r="M409" s="2296"/>
      <c r="N409" s="2296"/>
      <c r="O409" s="2296"/>
      <c r="P409" s="2296"/>
      <c r="Q409" s="2296"/>
      <c r="R409" s="2296"/>
      <c r="S409" s="2296"/>
      <c r="T409" s="2296"/>
      <c r="U409" s="2296"/>
      <c r="V409" s="2296"/>
      <c r="W409" s="2296"/>
      <c r="X409" s="2296"/>
      <c r="Y409" s="2296"/>
      <c r="Z409" s="2296"/>
      <c r="AA409" s="2296"/>
      <c r="AB409" s="2296"/>
      <c r="AC409" s="2296"/>
      <c r="AD409" s="2296"/>
      <c r="AE409" s="2296"/>
    </row>
    <row r="410" spans="1:96" ht="12.75" customHeight="1">
      <c r="C410" s="25"/>
      <c r="D410" s="25"/>
      <c r="E410" s="12" t="s">
        <v>111</v>
      </c>
      <c r="F410" s="25"/>
      <c r="G410" s="25"/>
      <c r="H410" s="25"/>
      <c r="I410" s="25"/>
      <c r="J410" s="25"/>
      <c r="K410" s="25"/>
      <c r="L410" s="25"/>
      <c r="M410" s="25"/>
      <c r="N410" s="25"/>
      <c r="O410" s="25"/>
      <c r="P410" s="719"/>
      <c r="Q410" s="719"/>
      <c r="R410" s="2028" t="s">
        <v>626</v>
      </c>
      <c r="S410" s="2028"/>
      <c r="T410" s="12" t="s">
        <v>604</v>
      </c>
      <c r="U410" s="719"/>
      <c r="V410" s="719"/>
      <c r="W410" s="719"/>
      <c r="X410" s="719"/>
      <c r="Y410" s="719"/>
      <c r="Z410" s="719"/>
      <c r="AA410" s="719"/>
      <c r="AB410" s="719"/>
      <c r="AC410" s="719"/>
      <c r="AD410" s="2351">
        <v>0</v>
      </c>
      <c r="AE410" s="2351"/>
      <c r="AF410" s="719"/>
    </row>
    <row r="411" spans="1:96" ht="12.75">
      <c r="C411" s="25"/>
      <c r="E411" s="12" t="s">
        <v>112</v>
      </c>
      <c r="F411" s="719"/>
      <c r="G411" s="719"/>
      <c r="H411" s="719"/>
      <c r="I411" s="719"/>
      <c r="J411" s="719"/>
      <c r="K411" s="719"/>
      <c r="L411" s="719"/>
      <c r="M411" s="719"/>
      <c r="N411" s="25"/>
      <c r="O411" s="25"/>
      <c r="P411" s="719"/>
      <c r="Q411" s="719"/>
      <c r="R411" s="2028" t="s">
        <v>578</v>
      </c>
      <c r="S411" s="2028"/>
      <c r="T411" s="12" t="s">
        <v>604</v>
      </c>
      <c r="U411" s="719"/>
      <c r="V411" s="719"/>
      <c r="W411" s="719"/>
      <c r="X411" s="719"/>
      <c r="Y411" s="719"/>
      <c r="Z411" s="719"/>
      <c r="AA411" s="719"/>
      <c r="AB411" s="719"/>
      <c r="AC411" s="719"/>
      <c r="AD411" s="2351">
        <v>3</v>
      </c>
      <c r="AE411" s="2351"/>
      <c r="AF411" s="719"/>
    </row>
    <row r="412" spans="1:96" ht="12.75" customHeight="1">
      <c r="C412" s="25"/>
      <c r="E412" s="12" t="s">
        <v>113</v>
      </c>
      <c r="F412" s="719"/>
      <c r="G412" s="719"/>
      <c r="H412" s="719"/>
      <c r="I412" s="719"/>
      <c r="J412" s="719"/>
      <c r="K412" s="719"/>
      <c r="L412" s="719"/>
      <c r="M412" s="719"/>
      <c r="N412" s="25"/>
      <c r="O412" s="25"/>
      <c r="P412" s="719"/>
      <c r="Q412" s="719"/>
      <c r="R412" s="719"/>
      <c r="S412" s="2028" t="s">
        <v>626</v>
      </c>
      <c r="T412" s="2028"/>
      <c r="U412" s="719"/>
      <c r="V412" s="719"/>
      <c r="W412" s="719"/>
      <c r="X412" s="719"/>
      <c r="Y412" s="719"/>
      <c r="Z412" s="719"/>
      <c r="AA412" s="719"/>
      <c r="AB412" s="719"/>
      <c r="AC412" s="719"/>
      <c r="AD412" s="719"/>
      <c r="AE412" s="719"/>
      <c r="AF412" s="719"/>
    </row>
    <row r="413" spans="1:96" ht="12.75" customHeight="1">
      <c r="E413" s="12" t="s">
        <v>175</v>
      </c>
      <c r="F413" s="719"/>
      <c r="G413" s="719"/>
      <c r="H413" s="2485" t="s">
        <v>2596</v>
      </c>
      <c r="I413" s="2485"/>
      <c r="J413" s="2485"/>
      <c r="K413" s="2485"/>
      <c r="L413" s="2485"/>
      <c r="M413" s="2485"/>
      <c r="N413" s="2485"/>
      <c r="O413" s="2485"/>
      <c r="P413" s="2485"/>
      <c r="Q413" s="2485"/>
      <c r="R413" s="2485"/>
      <c r="S413" s="2485"/>
      <c r="T413" s="2485"/>
      <c r="U413" s="2485"/>
      <c r="V413" s="2485"/>
      <c r="W413" s="2485"/>
      <c r="X413" s="2485"/>
      <c r="Y413" s="2485"/>
      <c r="Z413" s="2485"/>
      <c r="AA413" s="2485"/>
      <c r="AB413" s="2485"/>
      <c r="AC413" s="2485"/>
      <c r="AD413" s="2485"/>
      <c r="AE413" s="2485"/>
      <c r="AF413" s="719"/>
    </row>
    <row r="414" spans="1:96" ht="12.75" customHeight="1">
      <c r="E414" s="25"/>
      <c r="F414" s="719"/>
      <c r="G414" s="719"/>
      <c r="H414" s="2486"/>
      <c r="I414" s="2486"/>
      <c r="J414" s="2486"/>
      <c r="K414" s="2486"/>
      <c r="L414" s="2486"/>
      <c r="M414" s="2486"/>
      <c r="N414" s="2486"/>
      <c r="O414" s="2486"/>
      <c r="P414" s="2486"/>
      <c r="Q414" s="2486"/>
      <c r="R414" s="2486"/>
      <c r="S414" s="2486"/>
      <c r="T414" s="2486"/>
      <c r="U414" s="2486"/>
      <c r="V414" s="2486"/>
      <c r="W414" s="2486"/>
      <c r="X414" s="2486"/>
      <c r="Y414" s="2486"/>
      <c r="Z414" s="2486"/>
      <c r="AA414" s="2486"/>
      <c r="AB414" s="2486"/>
      <c r="AC414" s="2486"/>
      <c r="AD414" s="2486"/>
      <c r="AE414" s="2486"/>
      <c r="AF414" s="719"/>
    </row>
    <row r="415" spans="1:96" ht="12.75" customHeight="1"/>
    <row r="416" spans="1:96" ht="12.75" customHeight="1">
      <c r="A416" s="50" t="s">
        <v>625</v>
      </c>
      <c r="B416" s="50"/>
      <c r="C416" s="50"/>
      <c r="D416" s="50" t="s">
        <v>119</v>
      </c>
      <c r="AF416" s="50" t="s">
        <v>1036</v>
      </c>
    </row>
    <row r="417" spans="1:96" ht="12.75" customHeight="1">
      <c r="E417" s="2466"/>
      <c r="F417" s="2466"/>
      <c r="G417" s="2466"/>
      <c r="H417" s="23" t="s">
        <v>120</v>
      </c>
      <c r="I417" s="2466"/>
      <c r="J417" s="2466"/>
      <c r="K417" s="2466"/>
      <c r="L417" s="12" t="s">
        <v>121</v>
      </c>
      <c r="N417" s="141" t="s">
        <v>610</v>
      </c>
      <c r="P417" s="2425">
        <v>7.52</v>
      </c>
      <c r="Q417" s="2425"/>
      <c r="R417" s="2425"/>
      <c r="S417" s="12" t="s">
        <v>122</v>
      </c>
      <c r="W417" s="2553">
        <f>IF(E417&gt;0,(E417*I417),(P417*43560))</f>
        <v>327571.19999999995</v>
      </c>
      <c r="X417" s="2553"/>
      <c r="Y417" s="2553"/>
      <c r="Z417" s="12" t="s">
        <v>123</v>
      </c>
      <c r="AF417" s="2479">
        <f>IF(P417&gt;0,(AG436/P417),(AG436/(W417/43560)))</f>
        <v>33.111702127659576</v>
      </c>
      <c r="AG417" s="2479"/>
      <c r="AH417" s="2479"/>
      <c r="AM417" s="239"/>
    </row>
    <row r="418" spans="1:96" ht="12.75">
      <c r="E418" s="12" t="s">
        <v>54</v>
      </c>
    </row>
    <row r="419" spans="1:96" ht="12.75" customHeight="1">
      <c r="E419" s="2541"/>
      <c r="F419" s="2541"/>
      <c r="G419" s="2541"/>
      <c r="H419" s="2541"/>
      <c r="I419" s="2541"/>
      <c r="J419" s="2541"/>
      <c r="K419" s="2541"/>
      <c r="L419" s="2541"/>
      <c r="M419" s="2541"/>
      <c r="N419" s="2541"/>
      <c r="O419" s="2541"/>
      <c r="P419" s="2541"/>
      <c r="Q419" s="2541"/>
      <c r="R419" s="2541"/>
      <c r="S419" s="2541"/>
      <c r="T419" s="2541"/>
      <c r="U419" s="2541"/>
      <c r="V419" s="2541"/>
      <c r="W419" s="2541"/>
      <c r="X419" s="2541"/>
      <c r="Y419" s="2541"/>
      <c r="Z419" s="2541"/>
      <c r="AA419" s="2541"/>
      <c r="AB419" s="2541"/>
      <c r="AC419" s="2541"/>
      <c r="AD419" s="2541"/>
      <c r="AE419" s="2541"/>
      <c r="AF419" s="2541"/>
      <c r="AG419" s="2541"/>
      <c r="AH419" s="2541"/>
      <c r="AI419" s="2541"/>
      <c r="AJ419" s="2541"/>
    </row>
    <row r="420" spans="1:96" s="39" customFormat="1" ht="12.75" customHeight="1">
      <c r="E420" s="254" t="s">
        <v>2235</v>
      </c>
      <c r="F420" s="1805"/>
      <c r="G420" s="1805"/>
      <c r="H420" s="1805"/>
      <c r="I420" s="2353">
        <v>7.52</v>
      </c>
      <c r="J420" s="2353"/>
      <c r="K420" s="2353"/>
      <c r="L420" s="1805"/>
      <c r="M420" s="254"/>
      <c r="N420" s="1805"/>
      <c r="O420" s="1805"/>
      <c r="P420" s="2310">
        <f>(CS637+CS645+CS661)/I420</f>
        <v>65.292553191489361</v>
      </c>
      <c r="Q420" s="2310"/>
      <c r="R420" s="2310"/>
      <c r="S420" s="254" t="s">
        <v>2236</v>
      </c>
      <c r="T420" s="1805"/>
      <c r="U420" s="1805"/>
      <c r="V420" s="1805"/>
      <c r="W420" s="1805"/>
      <c r="X420" s="1805"/>
      <c r="Y420" s="1805"/>
      <c r="Z420" s="1805"/>
      <c r="AA420" s="1805"/>
      <c r="AB420" s="1805"/>
      <c r="AC420" s="1805"/>
      <c r="AD420" s="1805"/>
      <c r="AE420" s="1805"/>
      <c r="AF420" s="1805"/>
      <c r="AG420" s="1805"/>
      <c r="AH420" s="1805"/>
      <c r="AI420" s="1805"/>
      <c r="AJ420" s="1805"/>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28">
        <v>15</v>
      </c>
      <c r="Q423" s="2028"/>
      <c r="S423" s="12" t="s">
        <v>195</v>
      </c>
      <c r="AE423" s="2028">
        <v>14</v>
      </c>
      <c r="AF423" s="2028"/>
    </row>
    <row r="424" spans="1:96" ht="12.75">
      <c r="E424" s="12" t="s">
        <v>196</v>
      </c>
      <c r="P424" s="2028">
        <v>1</v>
      </c>
      <c r="Q424" s="2028"/>
      <c r="S424" s="12" t="s">
        <v>136</v>
      </c>
      <c r="AE424" s="2028" t="s">
        <v>626</v>
      </c>
      <c r="AF424" s="2028"/>
    </row>
    <row r="425" spans="1:96" ht="12.75">
      <c r="F425" s="67" t="s">
        <v>137</v>
      </c>
    </row>
    <row r="426" spans="1:96" ht="12.75">
      <c r="F426" s="2452"/>
      <c r="G426" s="2452"/>
      <c r="H426" s="2452"/>
      <c r="I426" s="2452"/>
      <c r="J426" s="2452"/>
      <c r="K426" s="2452"/>
      <c r="L426" s="2452"/>
      <c r="M426" s="2452"/>
      <c r="N426" s="2452"/>
      <c r="O426" s="2452"/>
      <c r="P426" s="2452"/>
      <c r="Q426" s="2452"/>
      <c r="R426" s="2452"/>
      <c r="S426" s="2452"/>
      <c r="T426" s="2452"/>
      <c r="U426" s="2452"/>
      <c r="V426" s="2452"/>
      <c r="W426" s="2452"/>
      <c r="X426" s="2452"/>
      <c r="Y426" s="2452"/>
      <c r="Z426" s="2452"/>
      <c r="AA426" s="2452"/>
      <c r="AB426" s="2452"/>
      <c r="AC426" s="2452"/>
      <c r="AD426" s="2452"/>
      <c r="AE426" s="2452"/>
      <c r="AF426" s="2452"/>
      <c r="AG426" s="2452"/>
      <c r="AH426" s="2452"/>
    </row>
    <row r="427" spans="1:96" ht="12.75" customHeight="1">
      <c r="F427" s="2453"/>
      <c r="G427" s="2453"/>
      <c r="H427" s="2453"/>
      <c r="I427" s="2453"/>
      <c r="J427" s="2453"/>
      <c r="K427" s="2453"/>
      <c r="L427" s="2453"/>
      <c r="M427" s="2453"/>
      <c r="N427" s="2453"/>
      <c r="O427" s="2453"/>
      <c r="P427" s="2453"/>
      <c r="Q427" s="2453"/>
      <c r="R427" s="2453"/>
      <c r="S427" s="2453"/>
      <c r="T427" s="2453"/>
      <c r="U427" s="2453"/>
      <c r="V427" s="2453"/>
      <c r="W427" s="2453"/>
      <c r="X427" s="2453"/>
      <c r="Y427" s="2453"/>
      <c r="Z427" s="2453"/>
      <c r="AA427" s="2453"/>
      <c r="AB427" s="2453"/>
      <c r="AC427" s="2453"/>
      <c r="AD427" s="2453"/>
      <c r="AE427" s="2453"/>
      <c r="AF427" s="2453"/>
      <c r="AG427" s="2453"/>
      <c r="AH427" s="2453"/>
    </row>
    <row r="428" spans="1:96" ht="12.75" customHeight="1">
      <c r="E428" s="12" t="s">
        <v>643</v>
      </c>
      <c r="N428" s="39"/>
      <c r="O428" s="39"/>
      <c r="P428" s="235"/>
      <c r="Q428" s="2028" t="s">
        <v>578</v>
      </c>
      <c r="R428" s="2028"/>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28" t="s">
        <v>626</v>
      </c>
      <c r="AG429" s="2549"/>
    </row>
    <row r="430" spans="1:96" ht="12.75" customHeight="1">
      <c r="S430" s="25"/>
      <c r="T430" s="25"/>
    </row>
    <row r="431" spans="1:96" ht="12.75" customHeight="1">
      <c r="A431" s="50"/>
      <c r="B431" s="50"/>
      <c r="C431" s="50"/>
      <c r="E431" s="7" t="s">
        <v>317</v>
      </c>
      <c r="Z431" s="2028" t="s">
        <v>706</v>
      </c>
      <c r="AA431" s="202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28" t="s">
        <v>626</v>
      </c>
      <c r="AA433" s="2028"/>
    </row>
    <row r="434" spans="1:110" ht="12.75" customHeight="1"/>
    <row r="435" spans="1:110" ht="12.75" customHeight="1">
      <c r="A435" s="50" t="s">
        <v>500</v>
      </c>
      <c r="B435" s="50"/>
      <c r="C435" s="50"/>
      <c r="D435" s="50" t="s">
        <v>822</v>
      </c>
      <c r="AF435" s="80"/>
    </row>
    <row r="436" spans="1:110" ht="12.75" customHeight="1">
      <c r="D436" s="2247" t="s">
        <v>46</v>
      </c>
      <c r="E436" s="2248"/>
      <c r="F436" s="2248"/>
      <c r="G436" s="2248"/>
      <c r="H436" s="2248"/>
      <c r="I436" s="2248"/>
      <c r="J436" s="2248"/>
      <c r="K436" s="2248"/>
      <c r="L436" s="2248"/>
      <c r="M436" s="2248"/>
      <c r="N436" s="2248"/>
      <c r="O436" s="2248"/>
      <c r="P436" s="2248"/>
      <c r="Q436" s="2248"/>
      <c r="R436" s="2248"/>
      <c r="S436" s="2248"/>
      <c r="T436" s="2248"/>
      <c r="U436" s="2248"/>
      <c r="V436" s="2248"/>
      <c r="W436" s="2248"/>
      <c r="X436" s="2248"/>
      <c r="Y436" s="2248"/>
      <c r="Z436" s="2248"/>
      <c r="AA436" s="2248"/>
      <c r="AB436" s="2248"/>
      <c r="AC436" s="2248"/>
      <c r="AD436" s="2248"/>
      <c r="AE436" s="2248"/>
      <c r="AF436" s="2542"/>
      <c r="AG436" s="2522">
        <v>249</v>
      </c>
      <c r="AH436" s="2522"/>
      <c r="AI436" s="2522"/>
      <c r="AJ436" s="2522"/>
    </row>
    <row r="437" spans="1:110" ht="12.75" customHeight="1">
      <c r="D437" s="2491" t="s">
        <v>1437</v>
      </c>
      <c r="E437" s="2492"/>
      <c r="F437" s="2492"/>
      <c r="G437" s="2492"/>
      <c r="H437" s="2492"/>
      <c r="I437" s="2492"/>
      <c r="J437" s="2492"/>
      <c r="K437" s="2492"/>
      <c r="L437" s="2492"/>
      <c r="M437" s="2492"/>
      <c r="N437" s="2492"/>
      <c r="O437" s="2492"/>
      <c r="P437" s="2492"/>
      <c r="Q437" s="2492"/>
      <c r="R437" s="2492"/>
      <c r="S437" s="2492"/>
      <c r="T437" s="2492"/>
      <c r="U437" s="2492"/>
      <c r="V437" s="2492"/>
      <c r="W437" s="2492"/>
      <c r="X437" s="2492"/>
      <c r="Y437" s="2492"/>
      <c r="Z437" s="2492"/>
      <c r="AA437" s="2492"/>
      <c r="AB437" s="2492"/>
      <c r="AC437" s="2492"/>
      <c r="AD437" s="2492"/>
      <c r="AE437" s="2492"/>
      <c r="AF437" s="2493"/>
      <c r="AG437" s="2557"/>
      <c r="AH437" s="2195"/>
      <c r="AI437" s="2195"/>
      <c r="AJ437" s="2195"/>
    </row>
    <row r="438" spans="1:110" ht="12.75" customHeight="1">
      <c r="D438" s="2491" t="s">
        <v>1145</v>
      </c>
      <c r="E438" s="2492"/>
      <c r="F438" s="2492"/>
      <c r="G438" s="2492"/>
      <c r="H438" s="2492"/>
      <c r="I438" s="2492"/>
      <c r="J438" s="2492"/>
      <c r="K438" s="2492"/>
      <c r="L438" s="2492"/>
      <c r="M438" s="2492"/>
      <c r="N438" s="2492"/>
      <c r="O438" s="2492"/>
      <c r="P438" s="2492"/>
      <c r="Q438" s="2492"/>
      <c r="R438" s="2492"/>
      <c r="S438" s="2492"/>
      <c r="T438" s="2492"/>
      <c r="U438" s="2492"/>
      <c r="V438" s="2492"/>
      <c r="W438" s="2492"/>
      <c r="X438" s="2492"/>
      <c r="Y438" s="2492"/>
      <c r="Z438" s="2492"/>
      <c r="AA438" s="2492"/>
      <c r="AB438" s="2492"/>
      <c r="AC438" s="2492"/>
      <c r="AD438" s="2492"/>
      <c r="AE438" s="2492"/>
      <c r="AF438" s="2493"/>
      <c r="AG438" s="2522">
        <v>246</v>
      </c>
      <c r="AH438" s="2522"/>
      <c r="AI438" s="2522"/>
      <c r="AJ438" s="2522"/>
    </row>
    <row r="439" spans="1:110" ht="12.75" customHeight="1">
      <c r="D439" s="2491" t="s">
        <v>1146</v>
      </c>
      <c r="E439" s="2492"/>
      <c r="F439" s="2492"/>
      <c r="G439" s="2492"/>
      <c r="H439" s="2492"/>
      <c r="I439" s="2492"/>
      <c r="J439" s="2492"/>
      <c r="K439" s="2492"/>
      <c r="L439" s="2492"/>
      <c r="M439" s="2492"/>
      <c r="N439" s="2492"/>
      <c r="O439" s="2492"/>
      <c r="P439" s="2492"/>
      <c r="Q439" s="2492"/>
      <c r="R439" s="2492"/>
      <c r="S439" s="2492"/>
      <c r="T439" s="2492"/>
      <c r="U439" s="2492"/>
      <c r="V439" s="2492"/>
      <c r="W439" s="2492"/>
      <c r="X439" s="2492"/>
      <c r="Y439" s="2492"/>
      <c r="Z439" s="2492"/>
      <c r="AA439" s="2492"/>
      <c r="AB439" s="2492"/>
      <c r="AC439" s="2492"/>
      <c r="AD439" s="2492"/>
      <c r="AE439" s="2492"/>
      <c r="AF439" s="2493"/>
      <c r="AG439" s="2522">
        <v>246</v>
      </c>
      <c r="AH439" s="2522"/>
      <c r="AI439" s="2522"/>
      <c r="AJ439" s="2522"/>
    </row>
    <row r="440" spans="1:110" ht="12.75" customHeight="1">
      <c r="D440" s="2491" t="s">
        <v>1148</v>
      </c>
      <c r="E440" s="2492"/>
      <c r="F440" s="2492"/>
      <c r="G440" s="2492"/>
      <c r="H440" s="2492"/>
      <c r="I440" s="2492"/>
      <c r="J440" s="2492"/>
      <c r="K440" s="2492"/>
      <c r="L440" s="2492"/>
      <c r="M440" s="2492"/>
      <c r="N440" s="2492"/>
      <c r="O440" s="2492"/>
      <c r="P440" s="2492"/>
      <c r="Q440" s="2492"/>
      <c r="R440" s="2492"/>
      <c r="S440" s="2492"/>
      <c r="T440" s="2492"/>
      <c r="U440" s="2492"/>
      <c r="V440" s="2492"/>
      <c r="W440" s="2492"/>
      <c r="X440" s="2492"/>
      <c r="Y440" s="2492"/>
      <c r="Z440" s="2492"/>
      <c r="AA440" s="2492"/>
      <c r="AB440" s="2492"/>
      <c r="AC440" s="2492"/>
      <c r="AD440" s="2492"/>
      <c r="AE440" s="2492"/>
      <c r="AF440" s="2493"/>
      <c r="AG440" s="2523">
        <f>IF(ISERROR(AG439/AG438),"",AG439/AG438)</f>
        <v>1</v>
      </c>
      <c r="AH440" s="2523"/>
      <c r="AI440" s="2523"/>
      <c r="AJ440" s="2523"/>
    </row>
    <row r="441" spans="1:110" ht="12.75" customHeight="1">
      <c r="D441" s="2491" t="s">
        <v>1147</v>
      </c>
      <c r="E441" s="2492"/>
      <c r="F441" s="2492"/>
      <c r="G441" s="2492"/>
      <c r="H441" s="2492"/>
      <c r="I441" s="2492"/>
      <c r="J441" s="2492"/>
      <c r="K441" s="2492"/>
      <c r="L441" s="2492"/>
      <c r="M441" s="2492"/>
      <c r="N441" s="2492"/>
      <c r="O441" s="2492"/>
      <c r="P441" s="2492"/>
      <c r="Q441" s="2492"/>
      <c r="R441" s="2492"/>
      <c r="S441" s="2492"/>
      <c r="T441" s="2492"/>
      <c r="U441" s="2492"/>
      <c r="V441" s="2492"/>
      <c r="W441" s="2492"/>
      <c r="X441" s="2492"/>
      <c r="Y441" s="2492"/>
      <c r="Z441" s="2492"/>
      <c r="AA441" s="2492"/>
      <c r="AB441" s="2492"/>
      <c r="AC441" s="2492"/>
      <c r="AD441" s="2492"/>
      <c r="AE441" s="2492"/>
      <c r="AF441" s="2493"/>
      <c r="AG441" s="2480">
        <v>190352</v>
      </c>
      <c r="AH441" s="2480"/>
      <c r="AI441" s="2480"/>
      <c r="AJ441" s="2480"/>
    </row>
    <row r="442" spans="1:110" ht="12.75" customHeight="1">
      <c r="D442" s="2491" t="s">
        <v>1149</v>
      </c>
      <c r="E442" s="2492"/>
      <c r="F442" s="2492"/>
      <c r="G442" s="2492"/>
      <c r="H442" s="2492"/>
      <c r="I442" s="2492"/>
      <c r="J442" s="2492"/>
      <c r="K442" s="2492"/>
      <c r="L442" s="2492"/>
      <c r="M442" s="2492"/>
      <c r="N442" s="2492"/>
      <c r="O442" s="2492"/>
      <c r="P442" s="2492"/>
      <c r="Q442" s="2492"/>
      <c r="R442" s="2492"/>
      <c r="S442" s="2492"/>
      <c r="T442" s="2492"/>
      <c r="U442" s="2492"/>
      <c r="V442" s="2492"/>
      <c r="W442" s="2492"/>
      <c r="X442" s="2492"/>
      <c r="Y442" s="2492"/>
      <c r="Z442" s="2492"/>
      <c r="AA442" s="2492"/>
      <c r="AB442" s="2492"/>
      <c r="AC442" s="2492"/>
      <c r="AD442" s="2492"/>
      <c r="AE442" s="2492"/>
      <c r="AF442" s="2493"/>
      <c r="AG442" s="2480">
        <v>190352</v>
      </c>
      <c r="AH442" s="2480"/>
      <c r="AI442" s="2480"/>
      <c r="AJ442" s="2480"/>
    </row>
    <row r="443" spans="1:110" ht="12.75" customHeight="1">
      <c r="D443" s="2491" t="s">
        <v>1150</v>
      </c>
      <c r="E443" s="2492"/>
      <c r="F443" s="2492"/>
      <c r="G443" s="2492"/>
      <c r="H443" s="2492"/>
      <c r="I443" s="2492"/>
      <c r="J443" s="2492"/>
      <c r="K443" s="2492"/>
      <c r="L443" s="2492"/>
      <c r="M443" s="2492"/>
      <c r="N443" s="2492"/>
      <c r="O443" s="2492"/>
      <c r="P443" s="2492"/>
      <c r="Q443" s="2492"/>
      <c r="R443" s="2492"/>
      <c r="S443" s="2492"/>
      <c r="T443" s="2492"/>
      <c r="U443" s="2492"/>
      <c r="V443" s="2492"/>
      <c r="W443" s="2492"/>
      <c r="X443" s="2492"/>
      <c r="Y443" s="2492"/>
      <c r="Z443" s="2492"/>
      <c r="AA443" s="2492"/>
      <c r="AB443" s="2492"/>
      <c r="AC443" s="2492"/>
      <c r="AD443" s="2492"/>
      <c r="AE443" s="2492"/>
      <c r="AF443" s="2493"/>
      <c r="AG443" s="2523">
        <f>IF(ISERROR(AG442/AG441),"",AG442/AG441)</f>
        <v>1</v>
      </c>
      <c r="AH443" s="2523"/>
      <c r="AI443" s="2523"/>
      <c r="AJ443" s="2523"/>
    </row>
    <row r="444" spans="1:110" ht="12.75" customHeight="1">
      <c r="D444" s="2491" t="s">
        <v>1151</v>
      </c>
      <c r="E444" s="2492"/>
      <c r="F444" s="2492"/>
      <c r="G444" s="2492"/>
      <c r="H444" s="2492"/>
      <c r="I444" s="2492"/>
      <c r="J444" s="2492"/>
      <c r="K444" s="2492"/>
      <c r="L444" s="2492"/>
      <c r="M444" s="2492"/>
      <c r="N444" s="2492"/>
      <c r="O444" s="2492"/>
      <c r="P444" s="2492"/>
      <c r="Q444" s="2492"/>
      <c r="R444" s="2492"/>
      <c r="S444" s="2492"/>
      <c r="T444" s="2492"/>
      <c r="U444" s="2492"/>
      <c r="V444" s="2492"/>
      <c r="W444" s="2492"/>
      <c r="X444" s="2492"/>
      <c r="Y444" s="2492"/>
      <c r="Z444" s="2492"/>
      <c r="AA444" s="2492"/>
      <c r="AB444" s="2492"/>
      <c r="AC444" s="2492"/>
      <c r="AD444" s="2492"/>
      <c r="AE444" s="2492"/>
      <c r="AF444" s="2493"/>
      <c r="AG444" s="2523">
        <f>MIN(IF(AG440&gt;AG443,AG443,AG440),1)</f>
        <v>1</v>
      </c>
      <c r="AH444" s="2523"/>
      <c r="AI444" s="2523"/>
      <c r="AJ444" s="2523"/>
    </row>
    <row r="445" spans="1:110" ht="12.75" customHeight="1">
      <c r="D445" s="2491" t="s">
        <v>1412</v>
      </c>
      <c r="E445" s="2248"/>
      <c r="F445" s="2248"/>
      <c r="G445" s="2248"/>
      <c r="H445" s="2248"/>
      <c r="I445" s="2248"/>
      <c r="J445" s="2248"/>
      <c r="K445" s="2248"/>
      <c r="L445" s="2248"/>
      <c r="M445" s="2248"/>
      <c r="N445" s="2248"/>
      <c r="O445" s="2248"/>
      <c r="P445" s="2248"/>
      <c r="Q445" s="2248"/>
      <c r="R445" s="2248"/>
      <c r="S445" s="2248"/>
      <c r="T445" s="2248"/>
      <c r="U445" s="2248"/>
      <c r="V445" s="2248"/>
      <c r="W445" s="2248"/>
      <c r="X445" s="2248"/>
      <c r="Y445" s="2248"/>
      <c r="Z445" s="2248"/>
      <c r="AA445" s="2248"/>
      <c r="AB445" s="2248"/>
      <c r="AC445" s="2248"/>
      <c r="AD445" s="2248"/>
      <c r="AE445" s="2248"/>
      <c r="AF445" s="2542"/>
      <c r="AG445" s="2480">
        <v>4000</v>
      </c>
      <c r="AH445" s="2480"/>
      <c r="AI445" s="2480"/>
      <c r="AJ445" s="2480"/>
    </row>
    <row r="446" spans="1:110" ht="12.75" customHeight="1">
      <c r="D446" s="2247" t="s">
        <v>602</v>
      </c>
      <c r="E446" s="2248"/>
      <c r="F446" s="2248"/>
      <c r="G446" s="2248"/>
      <c r="H446" s="2248"/>
      <c r="I446" s="2248"/>
      <c r="J446" s="2248"/>
      <c r="K446" s="2248"/>
      <c r="L446" s="2248"/>
      <c r="M446" s="2248"/>
      <c r="N446" s="2248"/>
      <c r="O446" s="2248"/>
      <c r="P446" s="2248"/>
      <c r="Q446" s="2248"/>
      <c r="R446" s="2248"/>
      <c r="S446" s="2248"/>
      <c r="T446" s="2248"/>
      <c r="U446" s="2248"/>
      <c r="V446" s="2248"/>
      <c r="W446" s="2248"/>
      <c r="X446" s="2248"/>
      <c r="Y446" s="2248"/>
      <c r="Z446" s="2248"/>
      <c r="AA446" s="2248"/>
      <c r="AB446" s="2248"/>
      <c r="AC446" s="2248"/>
      <c r="AD446" s="2248"/>
      <c r="AE446" s="2248"/>
      <c r="AF446" s="2542"/>
      <c r="AG446" s="2480">
        <v>0</v>
      </c>
      <c r="AH446" s="2480"/>
      <c r="AI446" s="2480"/>
      <c r="AJ446" s="248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4"/>
      <c r="CS446" s="61"/>
      <c r="CT446" s="61"/>
      <c r="CU446" s="61"/>
      <c r="CV446" s="61"/>
      <c r="CW446" s="61"/>
      <c r="CX446" s="61"/>
      <c r="CY446" s="61"/>
      <c r="CZ446" s="61"/>
      <c r="DA446" s="61"/>
      <c r="DB446" s="61"/>
      <c r="DC446" s="61"/>
      <c r="DD446" s="61"/>
      <c r="DE446" s="61"/>
      <c r="DF446" s="61"/>
    </row>
    <row r="447" spans="1:110" ht="12.4" customHeight="1">
      <c r="D447" s="2491" t="s">
        <v>1413</v>
      </c>
      <c r="E447" s="2248"/>
      <c r="F447" s="2248"/>
      <c r="G447" s="2248"/>
      <c r="H447" s="2248"/>
      <c r="I447" s="2248"/>
      <c r="J447" s="2248"/>
      <c r="K447" s="2248"/>
      <c r="L447" s="2248"/>
      <c r="M447" s="2248"/>
      <c r="N447" s="2248"/>
      <c r="O447" s="2248"/>
      <c r="P447" s="2248"/>
      <c r="Q447" s="2248"/>
      <c r="R447" s="2248"/>
      <c r="S447" s="2248"/>
      <c r="T447" s="2248"/>
      <c r="U447" s="2248"/>
      <c r="V447" s="2248"/>
      <c r="W447" s="2248"/>
      <c r="X447" s="2248"/>
      <c r="Y447" s="2248"/>
      <c r="Z447" s="2248"/>
      <c r="AA447" s="2248"/>
      <c r="AB447" s="2248"/>
      <c r="AC447" s="2248"/>
      <c r="AD447" s="2248"/>
      <c r="AE447" s="2248"/>
      <c r="AF447" s="2542"/>
      <c r="AG447" s="2480">
        <f>2244+4000</f>
        <v>6244</v>
      </c>
      <c r="AH447" s="2480"/>
      <c r="AI447" s="2480"/>
      <c r="AJ447" s="248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91" t="s">
        <v>1152</v>
      </c>
      <c r="E448" s="2248"/>
      <c r="F448" s="2248"/>
      <c r="G448" s="2248"/>
      <c r="H448" s="2248"/>
      <c r="I448" s="2248"/>
      <c r="J448" s="2248"/>
      <c r="K448" s="2248"/>
      <c r="L448" s="2248"/>
      <c r="M448" s="2248"/>
      <c r="N448" s="2248"/>
      <c r="O448" s="2248"/>
      <c r="P448" s="2248"/>
      <c r="Q448" s="2248"/>
      <c r="R448" s="2248"/>
      <c r="S448" s="2248"/>
      <c r="T448" s="2248"/>
      <c r="U448" s="2248"/>
      <c r="V448" s="2248"/>
      <c r="W448" s="2248"/>
      <c r="X448" s="2248"/>
      <c r="Y448" s="2248"/>
      <c r="Z448" s="2248"/>
      <c r="AA448" s="2248"/>
      <c r="AB448" s="2248"/>
      <c r="AC448" s="2248"/>
      <c r="AD448" s="2248"/>
      <c r="AE448" s="2248"/>
      <c r="AF448" s="2542"/>
      <c r="AG448" s="2480">
        <v>0</v>
      </c>
      <c r="AH448" s="2480"/>
      <c r="AI448" s="2480"/>
      <c r="AJ448" s="248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72" t="s">
        <v>1153</v>
      </c>
      <c r="E449" s="2473"/>
      <c r="F449" s="2473"/>
      <c r="G449" s="2473"/>
      <c r="H449" s="2473"/>
      <c r="I449" s="2473"/>
      <c r="J449" s="2473"/>
      <c r="K449" s="2473"/>
      <c r="L449" s="2473"/>
      <c r="M449" s="2473"/>
      <c r="N449" s="2473"/>
      <c r="O449" s="2473"/>
      <c r="P449" s="2473"/>
      <c r="Q449" s="2473"/>
      <c r="R449" s="2473"/>
      <c r="S449" s="2473"/>
      <c r="T449" s="2473"/>
      <c r="U449" s="2473"/>
      <c r="V449" s="2473"/>
      <c r="W449" s="2473"/>
      <c r="X449" s="2473"/>
      <c r="Y449" s="2473"/>
      <c r="Z449" s="2473"/>
      <c r="AA449" s="2473"/>
      <c r="AB449" s="2473"/>
      <c r="AC449" s="2473"/>
      <c r="AD449" s="2473"/>
      <c r="AE449" s="2473"/>
      <c r="AF449" s="2474"/>
      <c r="AG449" s="2548">
        <f>AG441+AG445+AG447+AG448</f>
        <v>200596</v>
      </c>
      <c r="AH449" s="2548"/>
      <c r="AI449" s="2548"/>
      <c r="AJ449" s="254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75" t="s">
        <v>1414</v>
      </c>
      <c r="E450" s="2475"/>
      <c r="F450" s="2475"/>
      <c r="G450" s="2475"/>
      <c r="H450" s="2475"/>
      <c r="I450" s="2475"/>
      <c r="J450" s="2475"/>
      <c r="K450" s="2475"/>
      <c r="L450" s="2475"/>
      <c r="M450" s="2475"/>
      <c r="N450" s="2475"/>
      <c r="O450" s="2475"/>
      <c r="P450" s="2475"/>
      <c r="Q450" s="2475"/>
      <c r="R450" s="2475"/>
      <c r="S450" s="2475"/>
      <c r="T450" s="2475"/>
      <c r="U450" s="2475"/>
      <c r="V450" s="2475"/>
      <c r="W450" s="2475"/>
      <c r="X450" s="2475"/>
      <c r="Y450" s="2475"/>
      <c r="Z450" s="2475"/>
      <c r="AA450" s="2475"/>
      <c r="AB450" s="2475"/>
      <c r="AC450" s="2475"/>
      <c r="AD450" s="2475"/>
      <c r="AE450" s="2475"/>
      <c r="AF450" s="2475"/>
      <c r="AG450" s="2475"/>
      <c r="AH450" s="2475"/>
      <c r="AI450" s="2475"/>
      <c r="AJ450" s="247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76"/>
      <c r="E451" s="2476"/>
      <c r="F451" s="2476"/>
      <c r="G451" s="2476"/>
      <c r="H451" s="2476"/>
      <c r="I451" s="2476"/>
      <c r="J451" s="2476"/>
      <c r="K451" s="2476"/>
      <c r="L451" s="2476"/>
      <c r="M451" s="2476"/>
      <c r="N451" s="2476"/>
      <c r="O451" s="2476"/>
      <c r="P451" s="2476"/>
      <c r="Q451" s="2476"/>
      <c r="R451" s="2476"/>
      <c r="S451" s="2476"/>
      <c r="T451" s="2476"/>
      <c r="U451" s="2476"/>
      <c r="V451" s="2476"/>
      <c r="W451" s="2476"/>
      <c r="X451" s="2476"/>
      <c r="Y451" s="2476"/>
      <c r="Z451" s="2476"/>
      <c r="AA451" s="2476"/>
      <c r="AB451" s="2476"/>
      <c r="AC451" s="2476"/>
      <c r="AD451" s="2476"/>
      <c r="AE451" s="2476"/>
      <c r="AF451" s="2476"/>
      <c r="AG451" s="2476"/>
      <c r="AH451" s="2476"/>
      <c r="AI451" s="2476"/>
      <c r="AJ451" s="247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4">
        <f>'Sources and Uses Budget'!B105/Application!AG436</f>
        <v>499823.02409638552</v>
      </c>
      <c r="AD453" s="2524"/>
      <c r="AE453" s="2524"/>
      <c r="AF453" s="252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4">
        <f>'Sources and Uses Budget'!C105/Application!AG436</f>
        <v>499823.02409638552</v>
      </c>
      <c r="AD454" s="2524"/>
      <c r="AE454" s="2524"/>
      <c r="AF454" s="252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4">
        <f>('Sources and Uses Budget'!$S$107+'Sources and Uses Budget'!$T$107)/Application!AG436</f>
        <v>425855.2329317269</v>
      </c>
      <c r="AD455" s="2524"/>
      <c r="AE455" s="2524"/>
      <c r="AF455" s="252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81" t="s">
        <v>731</v>
      </c>
      <c r="E464" s="2482"/>
      <c r="F464" s="2482"/>
      <c r="G464" s="2482"/>
      <c r="H464" s="2482"/>
      <c r="I464" s="2482"/>
      <c r="J464" s="2482"/>
      <c r="K464" s="2482"/>
      <c r="L464" s="2482"/>
      <c r="M464" s="2482"/>
      <c r="N464" s="2482"/>
      <c r="O464" s="2482"/>
      <c r="P464" s="2482"/>
      <c r="Q464" s="2482"/>
      <c r="R464" s="2482"/>
      <c r="S464" s="2482"/>
      <c r="T464" s="2482"/>
      <c r="U464" s="2482"/>
      <c r="V464" s="2483"/>
      <c r="W464" s="2420">
        <v>0</v>
      </c>
      <c r="X464" s="2421"/>
      <c r="Y464" s="242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81" t="s">
        <v>732</v>
      </c>
      <c r="E465" s="2482"/>
      <c r="F465" s="2482"/>
      <c r="G465" s="2482"/>
      <c r="H465" s="2482"/>
      <c r="I465" s="2482"/>
      <c r="J465" s="2482"/>
      <c r="K465" s="2482"/>
      <c r="L465" s="2482"/>
      <c r="M465" s="2482"/>
      <c r="N465" s="2482"/>
      <c r="O465" s="2482"/>
      <c r="P465" s="2482"/>
      <c r="Q465" s="2482"/>
      <c r="R465" s="2482"/>
      <c r="S465" s="2482"/>
      <c r="T465" s="2482"/>
      <c r="U465" s="2482"/>
      <c r="V465" s="2483"/>
      <c r="W465" s="2420">
        <v>0</v>
      </c>
      <c r="X465" s="2421"/>
      <c r="Y465" s="242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81" t="s">
        <v>733</v>
      </c>
      <c r="E466" s="2482"/>
      <c r="F466" s="2482"/>
      <c r="G466" s="2482"/>
      <c r="H466" s="2482"/>
      <c r="I466" s="2482"/>
      <c r="J466" s="2482"/>
      <c r="K466" s="2482"/>
      <c r="L466" s="2482"/>
      <c r="M466" s="2482"/>
      <c r="N466" s="2482"/>
      <c r="O466" s="2482"/>
      <c r="P466" s="2482"/>
      <c r="Q466" s="2482"/>
      <c r="R466" s="2482"/>
      <c r="S466" s="2482"/>
      <c r="T466" s="2482"/>
      <c r="U466" s="2482"/>
      <c r="V466" s="2483"/>
      <c r="W466" s="2420">
        <v>0</v>
      </c>
      <c r="X466" s="2421"/>
      <c r="Y466" s="242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81" t="s">
        <v>734</v>
      </c>
      <c r="E467" s="2482"/>
      <c r="F467" s="2482"/>
      <c r="G467" s="2482"/>
      <c r="H467" s="2482"/>
      <c r="I467" s="2482"/>
      <c r="J467" s="2482"/>
      <c r="K467" s="2482"/>
      <c r="L467" s="2482"/>
      <c r="M467" s="2482"/>
      <c r="N467" s="2482"/>
      <c r="O467" s="2482"/>
      <c r="P467" s="2482"/>
      <c r="Q467" s="2482"/>
      <c r="R467" s="2482"/>
      <c r="S467" s="2482"/>
      <c r="T467" s="2482"/>
      <c r="U467" s="2482"/>
      <c r="V467" s="2483"/>
      <c r="W467" s="2420">
        <v>0</v>
      </c>
      <c r="X467" s="2421"/>
      <c r="Y467" s="242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81" t="s">
        <v>946</v>
      </c>
      <c r="E468" s="2482"/>
      <c r="F468" s="2482"/>
      <c r="G468" s="2482"/>
      <c r="H468" s="2482"/>
      <c r="I468" s="2482"/>
      <c r="J468" s="2482"/>
      <c r="K468" s="2482"/>
      <c r="L468" s="2482"/>
      <c r="M468" s="2482"/>
      <c r="N468" s="2482"/>
      <c r="O468" s="2482"/>
      <c r="P468" s="2482"/>
      <c r="Q468" s="2482"/>
      <c r="R468" s="2482"/>
      <c r="S468" s="2482"/>
      <c r="T468" s="2482"/>
      <c r="U468" s="2482"/>
      <c r="V468" s="2483"/>
      <c r="W468" s="2420">
        <v>0</v>
      </c>
      <c r="X468" s="2421"/>
      <c r="Y468" s="242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81" t="s">
        <v>735</v>
      </c>
      <c r="E469" s="2482"/>
      <c r="F469" s="2482"/>
      <c r="G469" s="2482"/>
      <c r="H469" s="2482"/>
      <c r="I469" s="2482"/>
      <c r="J469" s="2482"/>
      <c r="K469" s="2482"/>
      <c r="L469" s="2482"/>
      <c r="M469" s="2482"/>
      <c r="N469" s="2482"/>
      <c r="O469" s="2482"/>
      <c r="P469" s="2482"/>
      <c r="Q469" s="2482"/>
      <c r="R469" s="2482"/>
      <c r="S469" s="2482"/>
      <c r="T469" s="2482"/>
      <c r="U469" s="2482"/>
      <c r="V469" s="2483"/>
      <c r="W469" s="2420">
        <v>0</v>
      </c>
      <c r="X469" s="2421"/>
      <c r="Y469" s="242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81" t="s">
        <v>1119</v>
      </c>
      <c r="E470" s="2482"/>
      <c r="F470" s="2482"/>
      <c r="G470" s="2482"/>
      <c r="H470" s="2482"/>
      <c r="I470" s="2482"/>
      <c r="J470" s="2482"/>
      <c r="K470" s="2482"/>
      <c r="L470" s="2482"/>
      <c r="M470" s="2482"/>
      <c r="N470" s="2482"/>
      <c r="O470" s="2482"/>
      <c r="P470" s="2482"/>
      <c r="Q470" s="2482"/>
      <c r="R470" s="2482"/>
      <c r="S470" s="2482"/>
      <c r="T470" s="2482"/>
      <c r="U470" s="2482"/>
      <c r="V470" s="2483"/>
      <c r="W470" s="2420">
        <v>0</v>
      </c>
      <c r="X470" s="2421"/>
      <c r="Y470" s="242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7" t="s">
        <v>2008</v>
      </c>
      <c r="E471" s="2482"/>
      <c r="F471" s="2482"/>
      <c r="G471" s="2482"/>
      <c r="H471" s="2482"/>
      <c r="I471" s="2482"/>
      <c r="J471" s="2482"/>
      <c r="K471" s="2482"/>
      <c r="L471" s="2482"/>
      <c r="M471" s="2482"/>
      <c r="N471" s="2482"/>
      <c r="O471" s="2482"/>
      <c r="P471" s="2482"/>
      <c r="Q471" s="2482"/>
      <c r="R471" s="2482"/>
      <c r="S471" s="2482"/>
      <c r="T471" s="2482"/>
      <c r="U471" s="2482"/>
      <c r="V471" s="2483"/>
      <c r="W471" s="2420">
        <v>38</v>
      </c>
      <c r="X471" s="2421"/>
      <c r="Y471" s="242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44"/>
      <c r="H472" s="2545"/>
      <c r="I472" s="2545"/>
      <c r="J472" s="2545"/>
      <c r="K472" s="2545"/>
      <c r="L472" s="2545"/>
      <c r="M472" s="2545"/>
      <c r="N472" s="2545"/>
      <c r="O472" s="2545"/>
      <c r="P472" s="2545"/>
      <c r="Q472" s="2545"/>
      <c r="R472" s="2545"/>
      <c r="S472" s="2545"/>
      <c r="T472" s="2545"/>
      <c r="U472" s="2545"/>
      <c r="V472" s="2546"/>
      <c r="W472" s="2420">
        <v>0</v>
      </c>
      <c r="X472" s="2421"/>
      <c r="Y472" s="242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88"/>
      <c r="H473" s="1488"/>
      <c r="I473" s="1488"/>
      <c r="J473" s="1488"/>
      <c r="K473" s="1488"/>
      <c r="L473" s="1488"/>
      <c r="M473" s="1488"/>
      <c r="N473" s="1488"/>
      <c r="O473" s="1488"/>
      <c r="P473" s="1488"/>
      <c r="Q473" s="1488"/>
      <c r="R473" s="1488"/>
      <c r="S473" s="1488"/>
      <c r="T473" s="1488"/>
      <c r="U473" s="1488"/>
      <c r="V473" s="1488"/>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3"/>
      <c r="E475" s="1482"/>
      <c r="F475" s="1482"/>
      <c r="G475" s="1482"/>
      <c r="H475" s="1482"/>
      <c r="I475" s="1482"/>
      <c r="J475" s="1482"/>
      <c r="K475" s="1482"/>
      <c r="L475" s="1482"/>
      <c r="M475" s="1482"/>
      <c r="N475" s="1482"/>
      <c r="O475" s="1482"/>
      <c r="P475" s="1482"/>
      <c r="Q475" s="1482"/>
      <c r="R475" s="1482"/>
      <c r="S475" s="1482"/>
      <c r="T475" s="1482"/>
      <c r="U475" s="1482"/>
      <c r="V475" s="1482"/>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3"/>
      <c r="E476" s="1482"/>
      <c r="F476" s="1482"/>
      <c r="G476" s="1482"/>
      <c r="H476" s="1482"/>
      <c r="I476" s="1482"/>
      <c r="J476" s="1482"/>
      <c r="K476" s="1482"/>
      <c r="L476" s="1482"/>
      <c r="M476" s="1482"/>
      <c r="N476" s="1482"/>
      <c r="O476" s="1482"/>
      <c r="P476" s="1482"/>
      <c r="Q476" s="1482"/>
      <c r="R476" s="1482"/>
      <c r="S476" s="1482"/>
      <c r="T476" s="1482"/>
      <c r="U476" s="1482"/>
      <c r="V476" s="1482"/>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8" t="s">
        <v>869</v>
      </c>
      <c r="B478" s="2378"/>
      <c r="C478" s="2378"/>
      <c r="D478" s="2378"/>
      <c r="E478" s="2378"/>
      <c r="F478" s="2378"/>
      <c r="G478" s="2378"/>
      <c r="H478" s="2378"/>
      <c r="I478" s="2378"/>
      <c r="J478" s="2378"/>
      <c r="K478" s="2378"/>
      <c r="L478" s="2378"/>
      <c r="M478" s="2378"/>
      <c r="N478" s="2378"/>
      <c r="O478" s="2378"/>
      <c r="P478" s="2378"/>
      <c r="Q478" s="2378"/>
      <c r="R478" s="2378"/>
      <c r="S478" s="2378"/>
      <c r="T478" s="2378"/>
      <c r="U478" s="2378"/>
      <c r="V478" s="2378"/>
      <c r="W478" s="2378"/>
      <c r="X478" s="2378"/>
      <c r="Y478" s="2378"/>
      <c r="Z478" s="2378"/>
      <c r="AA478" s="2378"/>
      <c r="AB478" s="2378"/>
      <c r="AC478" s="2378"/>
      <c r="AD478" s="2378"/>
      <c r="AE478" s="2378"/>
      <c r="AF478" s="2378"/>
      <c r="AG478" s="2378"/>
      <c r="AH478" s="2378"/>
      <c r="AI478" s="2378"/>
      <c r="AJ478" s="2378"/>
      <c r="AK478" s="2378"/>
      <c r="AL478" s="237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9"/>
      <c r="B479" s="2379"/>
      <c r="C479" s="2379"/>
      <c r="D479" s="2379"/>
      <c r="E479" s="2379"/>
      <c r="F479" s="2379"/>
      <c r="G479" s="2379"/>
      <c r="H479" s="2379"/>
      <c r="I479" s="2379"/>
      <c r="J479" s="2379"/>
      <c r="K479" s="2379"/>
      <c r="L479" s="2379"/>
      <c r="M479" s="2379"/>
      <c r="N479" s="2379"/>
      <c r="O479" s="2379"/>
      <c r="P479" s="2379"/>
      <c r="Q479" s="2379"/>
      <c r="R479" s="2379"/>
      <c r="S479" s="2379"/>
      <c r="T479" s="2379"/>
      <c r="U479" s="2379"/>
      <c r="V479" s="2379"/>
      <c r="W479" s="2379"/>
      <c r="X479" s="2379"/>
      <c r="Y479" s="2379"/>
      <c r="Z479" s="2379"/>
      <c r="AA479" s="2379"/>
      <c r="AB479" s="2379"/>
      <c r="AC479" s="2379"/>
      <c r="AD479" s="2379"/>
      <c r="AE479" s="2379"/>
      <c r="AF479" s="2379"/>
      <c r="AG479" s="2379"/>
      <c r="AH479" s="2379"/>
      <c r="AI479" s="2379"/>
      <c r="AJ479" s="2379"/>
      <c r="AK479" s="2379"/>
      <c r="AL479" s="237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77" t="s">
        <v>870</v>
      </c>
      <c r="U483" s="2478"/>
      <c r="V483" s="2478"/>
      <c r="W483" s="2478"/>
      <c r="X483" s="2478"/>
      <c r="Y483" s="2478"/>
      <c r="Z483" s="2478"/>
      <c r="AA483" s="2478"/>
      <c r="AB483" s="2478"/>
      <c r="AC483" s="2478"/>
      <c r="AD483" s="2478"/>
      <c r="AE483" s="2478"/>
      <c r="AF483" s="2478"/>
      <c r="AG483" s="2478"/>
      <c r="AH483" s="251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84" t="s">
        <v>36</v>
      </c>
      <c r="U484" s="2484"/>
      <c r="V484" s="2484"/>
      <c r="W484" s="2484"/>
      <c r="X484" s="2484"/>
      <c r="Y484" s="2484" t="s">
        <v>37</v>
      </c>
      <c r="Z484" s="2484"/>
      <c r="AA484" s="2484"/>
      <c r="AB484" s="2484"/>
      <c r="AC484" s="2484"/>
      <c r="AD484" s="2484" t="s">
        <v>348</v>
      </c>
      <c r="AE484" s="2484"/>
      <c r="AF484" s="2484"/>
      <c r="AG484" s="2484"/>
      <c r="AH484" s="248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84"/>
      <c r="U485" s="2484"/>
      <c r="V485" s="2484"/>
      <c r="W485" s="2484"/>
      <c r="X485" s="2484"/>
      <c r="Y485" s="2484"/>
      <c r="Z485" s="2484"/>
      <c r="AA485" s="2484"/>
      <c r="AB485" s="2484"/>
      <c r="AC485" s="2484"/>
      <c r="AD485" s="2484"/>
      <c r="AE485" s="2484"/>
      <c r="AF485" s="2484"/>
      <c r="AG485" s="2484"/>
      <c r="AH485" s="248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71">
        <v>44286</v>
      </c>
      <c r="U486" s="2471"/>
      <c r="V486" s="2471"/>
      <c r="W486" s="2471"/>
      <c r="X486" s="2471"/>
      <c r="Y486" s="2471">
        <v>44453</v>
      </c>
      <c r="Z486" s="2471"/>
      <c r="AA486" s="2471"/>
      <c r="AB486" s="2471"/>
      <c r="AC486" s="2471"/>
      <c r="AD486" s="2471">
        <v>0</v>
      </c>
      <c r="AE486" s="2471"/>
      <c r="AF486" s="2471"/>
      <c r="AG486" s="2471"/>
      <c r="AH486" s="247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71">
        <v>0</v>
      </c>
      <c r="U487" s="2471"/>
      <c r="V487" s="2471"/>
      <c r="W487" s="2471"/>
      <c r="X487" s="2471"/>
      <c r="Y487" s="2471">
        <v>0</v>
      </c>
      <c r="Z487" s="2471"/>
      <c r="AA487" s="2471"/>
      <c r="AB487" s="2471"/>
      <c r="AC487" s="2471"/>
      <c r="AD487" s="2471">
        <v>0</v>
      </c>
      <c r="AE487" s="2471"/>
      <c r="AF487" s="2471"/>
      <c r="AG487" s="2471"/>
      <c r="AH487" s="247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71">
        <v>0</v>
      </c>
      <c r="U488" s="2471"/>
      <c r="V488" s="2471"/>
      <c r="W488" s="2471"/>
      <c r="X488" s="2471"/>
      <c r="Y488" s="2471">
        <v>0</v>
      </c>
      <c r="Z488" s="2471"/>
      <c r="AA488" s="2471"/>
      <c r="AB488" s="2471"/>
      <c r="AC488" s="2471"/>
      <c r="AD488" s="2471">
        <v>0</v>
      </c>
      <c r="AE488" s="2471"/>
      <c r="AF488" s="2471"/>
      <c r="AG488" s="2471"/>
      <c r="AH488" s="247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71">
        <v>0</v>
      </c>
      <c r="U489" s="2471"/>
      <c r="V489" s="2471"/>
      <c r="W489" s="2471"/>
      <c r="X489" s="2471"/>
      <c r="Y489" s="2471">
        <v>0</v>
      </c>
      <c r="Z489" s="2471"/>
      <c r="AA489" s="2471"/>
      <c r="AB489" s="2471"/>
      <c r="AC489" s="2471"/>
      <c r="AD489" s="2471">
        <v>0</v>
      </c>
      <c r="AE489" s="2471"/>
      <c r="AF489" s="2471"/>
      <c r="AG489" s="2471"/>
      <c r="AH489" s="247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71"/>
      <c r="U490" s="2471"/>
      <c r="V490" s="2471"/>
      <c r="W490" s="2471"/>
      <c r="X490" s="2471"/>
      <c r="Y490" s="2471"/>
      <c r="Z490" s="2471"/>
      <c r="AA490" s="2471"/>
      <c r="AB490" s="2471"/>
      <c r="AC490" s="2471"/>
      <c r="AD490" s="2471">
        <v>0</v>
      </c>
      <c r="AE490" s="2471"/>
      <c r="AF490" s="2471"/>
      <c r="AG490" s="2471"/>
      <c r="AH490" s="247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71"/>
      <c r="U491" s="2471"/>
      <c r="V491" s="2471"/>
      <c r="W491" s="2471"/>
      <c r="X491" s="2471"/>
      <c r="Y491" s="2471"/>
      <c r="Z491" s="2471"/>
      <c r="AA491" s="2471"/>
      <c r="AB491" s="2471"/>
      <c r="AC491" s="2471"/>
      <c r="AD491" s="2471">
        <v>0</v>
      </c>
      <c r="AE491" s="2471"/>
      <c r="AF491" s="2471"/>
      <c r="AG491" s="2471"/>
      <c r="AH491" s="247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71"/>
      <c r="U492" s="2471"/>
      <c r="V492" s="2471"/>
      <c r="W492" s="2471"/>
      <c r="X492" s="2471"/>
      <c r="Y492" s="2471"/>
      <c r="Z492" s="2471"/>
      <c r="AA492" s="2471"/>
      <c r="AB492" s="2471"/>
      <c r="AC492" s="2471"/>
      <c r="AD492" s="2471">
        <v>0</v>
      </c>
      <c r="AE492" s="2471"/>
      <c r="AF492" s="2471"/>
      <c r="AG492" s="2471"/>
      <c r="AH492" s="247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71"/>
      <c r="U493" s="2471"/>
      <c r="V493" s="2471"/>
      <c r="W493" s="2471"/>
      <c r="X493" s="2471"/>
      <c r="Y493" s="2471"/>
      <c r="Z493" s="2471"/>
      <c r="AA493" s="2471"/>
      <c r="AB493" s="2471"/>
      <c r="AC493" s="2471"/>
      <c r="AD493" s="2471">
        <v>0</v>
      </c>
      <c r="AE493" s="2471"/>
      <c r="AF493" s="2471"/>
      <c r="AG493" s="2471"/>
      <c r="AH493" s="247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71"/>
      <c r="U494" s="2471"/>
      <c r="V494" s="2471"/>
      <c r="W494" s="2471"/>
      <c r="X494" s="2471"/>
      <c r="Y494" s="2471"/>
      <c r="Z494" s="2471"/>
      <c r="AA494" s="2471"/>
      <c r="AB494" s="2471"/>
      <c r="AC494" s="2471"/>
      <c r="AD494" s="2471">
        <v>0</v>
      </c>
      <c r="AE494" s="2471"/>
      <c r="AF494" s="2471"/>
      <c r="AG494" s="2471"/>
      <c r="AH494" s="247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471">
        <v>0</v>
      </c>
      <c r="U495" s="2471"/>
      <c r="V495" s="2471"/>
      <c r="W495" s="2471"/>
      <c r="X495" s="2471"/>
      <c r="Y495" s="2471">
        <v>0</v>
      </c>
      <c r="Z495" s="2471"/>
      <c r="AA495" s="2471"/>
      <c r="AB495" s="2471"/>
      <c r="AC495" s="2471"/>
      <c r="AD495" s="2471">
        <v>0</v>
      </c>
      <c r="AE495" s="2471"/>
      <c r="AF495" s="2471"/>
      <c r="AG495" s="2471"/>
      <c r="AH495" s="247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88" t="s">
        <v>414</v>
      </c>
      <c r="R497" s="2489"/>
      <c r="S497" s="2489"/>
      <c r="T497" s="2489"/>
      <c r="U497" s="2489"/>
      <c r="V497" s="2489"/>
      <c r="W497" s="2489"/>
      <c r="X497" s="2489"/>
      <c r="Y497" s="2489"/>
      <c r="Z497" s="2489"/>
      <c r="AA497" s="2489"/>
      <c r="AB497" s="2489"/>
      <c r="AC497" s="2489"/>
      <c r="AD497" s="2489"/>
      <c r="AE497" s="2489"/>
      <c r="AF497" s="2489"/>
      <c r="AG497" s="2489"/>
      <c r="AH497" s="2489"/>
      <c r="AI497" s="2489"/>
      <c r="AJ497" s="2489"/>
      <c r="AK497" s="249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70" t="s">
        <v>2597</v>
      </c>
      <c r="R498" s="2288"/>
      <c r="S498" s="2288"/>
      <c r="T498" s="2288"/>
      <c r="U498" s="2288"/>
      <c r="V498" s="2288"/>
      <c r="W498" s="2288"/>
      <c r="X498" s="2288"/>
      <c r="Y498" s="2288"/>
      <c r="Z498" s="2288"/>
      <c r="AA498" s="2288"/>
      <c r="AB498" s="2288"/>
      <c r="AC498" s="2288"/>
      <c r="AD498" s="2288"/>
      <c r="AE498" s="2288"/>
      <c r="AF498" s="2288"/>
      <c r="AG498" s="2288"/>
      <c r="AH498" s="2288"/>
      <c r="AI498" s="2288"/>
      <c r="AJ498" s="2288"/>
      <c r="AK498" s="237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70">
        <v>33.119999999999997</v>
      </c>
      <c r="R499" s="2288"/>
      <c r="S499" s="2288"/>
      <c r="T499" s="2288"/>
      <c r="U499" s="2288"/>
      <c r="V499" s="2288"/>
      <c r="W499" s="2288"/>
      <c r="X499" s="2288"/>
      <c r="Y499" s="2288"/>
      <c r="Z499" s="2288"/>
      <c r="AA499" s="2288"/>
      <c r="AB499" s="2288"/>
      <c r="AC499" s="2288"/>
      <c r="AD499" s="2288"/>
      <c r="AE499" s="2288"/>
      <c r="AF499" s="2288"/>
      <c r="AG499" s="2288"/>
      <c r="AH499" s="2288"/>
      <c r="AI499" s="2288"/>
      <c r="AJ499" s="2288"/>
      <c r="AK499" s="2371"/>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70">
        <v>33.119999999999997</v>
      </c>
      <c r="R500" s="2288"/>
      <c r="S500" s="2288"/>
      <c r="T500" s="2288"/>
      <c r="U500" s="2288"/>
      <c r="V500" s="2288"/>
      <c r="W500" s="2288"/>
      <c r="X500" s="2288"/>
      <c r="Y500" s="2288"/>
      <c r="Z500" s="2288"/>
      <c r="AA500" s="2288"/>
      <c r="AB500" s="2288"/>
      <c r="AC500" s="2288"/>
      <c r="AD500" s="2288"/>
      <c r="AE500" s="2288"/>
      <c r="AF500" s="2288"/>
      <c r="AG500" s="2288"/>
      <c r="AH500" s="2288"/>
      <c r="AI500" s="2288"/>
      <c r="AJ500" s="2288"/>
      <c r="AK500" s="237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6" t="s">
        <v>418</v>
      </c>
      <c r="C501" s="2507"/>
      <c r="D501" s="2507"/>
      <c r="E501" s="2507"/>
      <c r="F501" s="2507"/>
      <c r="G501" s="2507"/>
      <c r="H501" s="2507"/>
      <c r="I501" s="2507"/>
      <c r="J501" s="2507"/>
      <c r="K501" s="2507"/>
      <c r="L501" s="2507"/>
      <c r="M501" s="2507"/>
      <c r="N501" s="2507"/>
      <c r="O501" s="2507"/>
      <c r="P501" s="2508"/>
      <c r="Q501" s="2514" t="s">
        <v>706</v>
      </c>
      <c r="R501" s="2515"/>
      <c r="S501" s="2290" t="s">
        <v>171</v>
      </c>
      <c r="T501" s="2291"/>
      <c r="U501" s="2291"/>
      <c r="V501" s="2291"/>
      <c r="W501" s="2291"/>
      <c r="X501" s="2291"/>
      <c r="Y501" s="2291"/>
      <c r="Z501" s="2291"/>
      <c r="AA501" s="2291"/>
      <c r="AB501" s="2291"/>
      <c r="AC501" s="2291"/>
      <c r="AD501" s="2291"/>
      <c r="AE501" s="2291"/>
      <c r="AF501" s="2291"/>
      <c r="AG501" s="2291"/>
      <c r="AH501" s="2291"/>
      <c r="AI501" s="2291"/>
      <c r="AJ501" s="2291"/>
      <c r="AK501" s="229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9"/>
      <c r="C502" s="2510"/>
      <c r="D502" s="2510"/>
      <c r="E502" s="2510"/>
      <c r="F502" s="2510"/>
      <c r="G502" s="2510"/>
      <c r="H502" s="2510"/>
      <c r="I502" s="2510"/>
      <c r="J502" s="2510"/>
      <c r="K502" s="2510"/>
      <c r="L502" s="2510"/>
      <c r="M502" s="2510"/>
      <c r="N502" s="2510"/>
      <c r="O502" s="2510"/>
      <c r="P502" s="2511"/>
      <c r="Q502" s="2516"/>
      <c r="R502" s="2517"/>
      <c r="S502" s="2293"/>
      <c r="T502" s="2294"/>
      <c r="U502" s="2294"/>
      <c r="V502" s="2294"/>
      <c r="W502" s="2294"/>
      <c r="X502" s="2294"/>
      <c r="Y502" s="2294"/>
      <c r="Z502" s="2294"/>
      <c r="AA502" s="2294"/>
      <c r="AB502" s="2294"/>
      <c r="AC502" s="2294"/>
      <c r="AD502" s="2294"/>
      <c r="AE502" s="2294"/>
      <c r="AF502" s="2294"/>
      <c r="AG502" s="2294"/>
      <c r="AH502" s="2294"/>
      <c r="AI502" s="2294"/>
      <c r="AJ502" s="2294"/>
      <c r="AK502" s="229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1" t="s">
        <v>2028</v>
      </c>
      <c r="C503" s="1489"/>
      <c r="D503" s="1489"/>
      <c r="E503" s="1489"/>
      <c r="F503" s="1489"/>
      <c r="G503" s="1489"/>
      <c r="H503" s="1489"/>
      <c r="I503" s="1489"/>
      <c r="J503" s="1489"/>
      <c r="K503" s="1489"/>
      <c r="L503" s="1489"/>
      <c r="M503" s="1489"/>
      <c r="N503" s="1489"/>
      <c r="O503" s="1489"/>
      <c r="P503" s="1489"/>
      <c r="Q503" s="2554" t="s">
        <v>2598</v>
      </c>
      <c r="R503" s="2555"/>
      <c r="S503" s="2555"/>
      <c r="T503" s="2555"/>
      <c r="U503" s="2555"/>
      <c r="V503" s="2555"/>
      <c r="W503" s="2555"/>
      <c r="X503" s="2555"/>
      <c r="Y503" s="2555"/>
      <c r="Z503" s="2555"/>
      <c r="AA503" s="2555"/>
      <c r="AB503" s="2555"/>
      <c r="AC503" s="2555"/>
      <c r="AD503" s="2555"/>
      <c r="AE503" s="2555"/>
      <c r="AF503" s="2555"/>
      <c r="AG503" s="2555"/>
      <c r="AH503" s="2555"/>
      <c r="AI503" s="2555"/>
      <c r="AJ503" s="2555"/>
      <c r="AK503" s="255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70" t="s">
        <v>2598</v>
      </c>
      <c r="R504" s="2288"/>
      <c r="S504" s="2288"/>
      <c r="T504" s="2288"/>
      <c r="U504" s="2288"/>
      <c r="V504" s="2288"/>
      <c r="W504" s="2288"/>
      <c r="X504" s="2288"/>
      <c r="Y504" s="2288"/>
      <c r="Z504" s="2288"/>
      <c r="AA504" s="2288"/>
      <c r="AB504" s="2288"/>
      <c r="AC504" s="2288"/>
      <c r="AD504" s="2288"/>
      <c r="AE504" s="2288"/>
      <c r="AF504" s="2288"/>
      <c r="AG504" s="2288"/>
      <c r="AH504" s="2288"/>
      <c r="AI504" s="2288"/>
      <c r="AJ504" s="2288"/>
      <c r="AK504" s="237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70">
        <v>428</v>
      </c>
      <c r="R505" s="2288"/>
      <c r="S505" s="2288"/>
      <c r="T505" s="2288"/>
      <c r="U505" s="2288"/>
      <c r="V505" s="2288"/>
      <c r="W505" s="2288"/>
      <c r="X505" s="2288"/>
      <c r="Y505" s="2288"/>
      <c r="Z505" s="2288"/>
      <c r="AA505" s="2288"/>
      <c r="AB505" s="2288"/>
      <c r="AC505" s="2288"/>
      <c r="AD505" s="2288"/>
      <c r="AE505" s="2288"/>
      <c r="AF505" s="2288"/>
      <c r="AG505" s="2288"/>
      <c r="AH505" s="2288"/>
      <c r="AI505" s="2288"/>
      <c r="AJ505" s="2288"/>
      <c r="AK505" s="237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370">
        <v>428</v>
      </c>
      <c r="R506" s="2288"/>
      <c r="S506" s="2288"/>
      <c r="T506" s="2288"/>
      <c r="U506" s="2288"/>
      <c r="V506" s="2288"/>
      <c r="W506" s="2288"/>
      <c r="X506" s="2288"/>
      <c r="Y506" s="2288"/>
      <c r="Z506" s="2288"/>
      <c r="AA506" s="2288"/>
      <c r="AB506" s="2288"/>
      <c r="AC506" s="2288"/>
      <c r="AD506" s="2288"/>
      <c r="AE506" s="2288"/>
      <c r="AF506" s="2288"/>
      <c r="AG506" s="2288"/>
      <c r="AH506" s="2288"/>
      <c r="AI506" s="2288"/>
      <c r="AJ506" s="2288"/>
      <c r="AK506" s="237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2026</v>
      </c>
      <c r="C507" s="77"/>
      <c r="D507" s="77"/>
      <c r="E507" s="77"/>
      <c r="F507" s="77"/>
      <c r="G507" s="77"/>
      <c r="H507" s="77"/>
      <c r="I507" s="77"/>
      <c r="J507" s="77"/>
      <c r="K507" s="77"/>
      <c r="L507" s="77"/>
      <c r="M507" s="2040">
        <v>265</v>
      </c>
      <c r="N507" s="2041"/>
      <c r="O507" s="2041"/>
      <c r="P507" s="2042"/>
      <c r="Q507" s="1519" t="s">
        <v>2027</v>
      </c>
      <c r="R507" s="1520"/>
      <c r="S507" s="1520"/>
      <c r="T507" s="1520"/>
      <c r="U507" s="1520"/>
      <c r="V507" s="1520"/>
      <c r="W507" s="1520"/>
      <c r="X507" s="1520"/>
      <c r="Y507" s="1520"/>
      <c r="Z507" s="1520"/>
      <c r="AA507" s="1520"/>
      <c r="AB507" s="1520"/>
      <c r="AC507" s="1520"/>
      <c r="AD507" s="1520"/>
      <c r="AE507" s="1520"/>
      <c r="AF507" s="1520"/>
      <c r="AG507" s="1520"/>
      <c r="AH507" s="2040">
        <f>428-265</f>
        <v>163</v>
      </c>
      <c r="AI507" s="2041"/>
      <c r="AJ507" s="2041"/>
      <c r="AK507" s="204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8" t="s">
        <v>422</v>
      </c>
      <c r="AD511" s="2489"/>
      <c r="AE511" s="2489"/>
      <c r="AF511" s="2489"/>
      <c r="AG511" s="2489"/>
      <c r="AH511" s="2489"/>
      <c r="AI511" s="2489"/>
      <c r="AJ511" s="2489"/>
      <c r="AK511" s="249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7" t="s">
        <v>423</v>
      </c>
      <c r="AD512" s="2478"/>
      <c r="AE512" s="2478"/>
      <c r="AF512" s="2478"/>
      <c r="AG512" s="82" t="s">
        <v>424</v>
      </c>
      <c r="AH512" s="2478" t="s">
        <v>425</v>
      </c>
      <c r="AI512" s="2478"/>
      <c r="AJ512" s="2478"/>
      <c r="AK512" s="251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94" t="s">
        <v>426</v>
      </c>
      <c r="C513" s="2495"/>
      <c r="D513" s="2495"/>
      <c r="E513" s="2495"/>
      <c r="F513" s="2495"/>
      <c r="G513" s="2495"/>
      <c r="H513" s="2496"/>
      <c r="I513" s="72" t="s">
        <v>427</v>
      </c>
      <c r="J513" s="72"/>
      <c r="K513" s="72"/>
      <c r="L513" s="72"/>
      <c r="M513" s="72"/>
      <c r="N513" s="72"/>
      <c r="O513" s="72"/>
      <c r="P513" s="72"/>
      <c r="Q513" s="72"/>
      <c r="R513" s="72"/>
      <c r="S513" s="72"/>
      <c r="T513" s="72"/>
      <c r="U513" s="72"/>
      <c r="V513" s="72"/>
      <c r="W513" s="72"/>
      <c r="X513" s="25"/>
      <c r="Y513" s="25"/>
      <c r="AC513" s="2467">
        <v>8</v>
      </c>
      <c r="AD513" s="2351"/>
      <c r="AE513" s="2351"/>
      <c r="AF513" s="2351"/>
      <c r="AG513" s="75" t="s">
        <v>424</v>
      </c>
      <c r="AH513" s="2250">
        <v>2021</v>
      </c>
      <c r="AI513" s="2250"/>
      <c r="AJ513" s="2250"/>
      <c r="AK513" s="225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97"/>
      <c r="C514" s="2498"/>
      <c r="D514" s="2498"/>
      <c r="E514" s="2498"/>
      <c r="F514" s="2498"/>
      <c r="G514" s="2498"/>
      <c r="H514" s="2499"/>
      <c r="I514" s="80" t="s">
        <v>428</v>
      </c>
      <c r="J514" s="80"/>
      <c r="K514" s="80"/>
      <c r="L514" s="80"/>
      <c r="M514" s="80"/>
      <c r="N514" s="80"/>
      <c r="O514" s="80"/>
      <c r="P514" s="80"/>
      <c r="Q514" s="80"/>
      <c r="R514" s="80"/>
      <c r="S514" s="80"/>
      <c r="T514" s="80"/>
      <c r="U514" s="80"/>
      <c r="V514" s="80"/>
      <c r="W514" s="80"/>
      <c r="X514" s="80"/>
      <c r="Y514" s="80"/>
      <c r="Z514" s="80"/>
      <c r="AA514" s="80"/>
      <c r="AB514" s="80"/>
      <c r="AC514" s="2467">
        <v>7</v>
      </c>
      <c r="AD514" s="2351"/>
      <c r="AE514" s="2351"/>
      <c r="AF514" s="2351"/>
      <c r="AG514" s="65" t="s">
        <v>424</v>
      </c>
      <c r="AH514" s="2250">
        <v>2021</v>
      </c>
      <c r="AI514" s="2250"/>
      <c r="AJ514" s="2250"/>
      <c r="AK514" s="225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94" t="s">
        <v>429</v>
      </c>
      <c r="C515" s="2495"/>
      <c r="D515" s="2495"/>
      <c r="E515" s="2495"/>
      <c r="F515" s="2495"/>
      <c r="G515" s="2495"/>
      <c r="H515" s="2496"/>
      <c r="I515" s="72" t="s">
        <v>430</v>
      </c>
      <c r="J515" s="72"/>
      <c r="K515" s="72"/>
      <c r="L515" s="72"/>
      <c r="M515" s="72"/>
      <c r="N515" s="72"/>
      <c r="O515" s="72"/>
      <c r="P515" s="72"/>
      <c r="Q515" s="72"/>
      <c r="R515" s="72"/>
      <c r="S515" s="72"/>
      <c r="T515" s="72"/>
      <c r="U515" s="72"/>
      <c r="V515" s="72"/>
      <c r="W515" s="72"/>
      <c r="X515" s="25"/>
      <c r="Y515" s="25"/>
      <c r="AC515" s="2467" t="s">
        <v>626</v>
      </c>
      <c r="AD515" s="2351"/>
      <c r="AE515" s="2351"/>
      <c r="AF515" s="2351"/>
      <c r="AG515" s="75" t="s">
        <v>424</v>
      </c>
      <c r="AH515" s="2250"/>
      <c r="AI515" s="2250"/>
      <c r="AJ515" s="2250"/>
      <c r="AK515" s="225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97"/>
      <c r="C516" s="2498"/>
      <c r="D516" s="2498"/>
      <c r="E516" s="2498"/>
      <c r="F516" s="2498"/>
      <c r="G516" s="2498"/>
      <c r="H516" s="2499"/>
      <c r="I516" s="25" t="s">
        <v>431</v>
      </c>
      <c r="J516" s="25"/>
      <c r="K516" s="25"/>
      <c r="L516" s="25"/>
      <c r="M516" s="25"/>
      <c r="N516" s="25"/>
      <c r="O516" s="25"/>
      <c r="P516" s="25"/>
      <c r="Q516" s="25"/>
      <c r="R516" s="25"/>
      <c r="S516" s="25"/>
      <c r="T516" s="25"/>
      <c r="U516" s="25"/>
      <c r="V516" s="25"/>
      <c r="W516" s="25"/>
      <c r="X516" s="25"/>
      <c r="Y516" s="25"/>
      <c r="AC516" s="2467" t="s">
        <v>626</v>
      </c>
      <c r="AD516" s="2351"/>
      <c r="AE516" s="2351"/>
      <c r="AF516" s="2351"/>
      <c r="AG516" s="75" t="s">
        <v>424</v>
      </c>
      <c r="AH516" s="2250"/>
      <c r="AI516" s="2250"/>
      <c r="AJ516" s="2250"/>
      <c r="AK516" s="225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7"/>
      <c r="C517" s="2498"/>
      <c r="D517" s="2498"/>
      <c r="E517" s="2498"/>
      <c r="F517" s="2498"/>
      <c r="G517" s="2498"/>
      <c r="H517" s="2499"/>
      <c r="I517" s="25" t="s">
        <v>432</v>
      </c>
      <c r="J517" s="25"/>
      <c r="K517" s="25"/>
      <c r="L517" s="25"/>
      <c r="M517" s="25"/>
      <c r="N517" s="25"/>
      <c r="O517" s="25"/>
      <c r="P517" s="25"/>
      <c r="Q517" s="25"/>
      <c r="R517" s="25"/>
      <c r="S517" s="25"/>
      <c r="T517" s="25"/>
      <c r="U517" s="25"/>
      <c r="V517" s="25"/>
      <c r="W517" s="25"/>
      <c r="X517" s="25"/>
      <c r="Y517" s="25"/>
      <c r="AC517" s="2467">
        <v>3</v>
      </c>
      <c r="AD517" s="2351"/>
      <c r="AE517" s="2351"/>
      <c r="AF517" s="2351"/>
      <c r="AG517" s="75" t="s">
        <v>424</v>
      </c>
      <c r="AH517" s="2250">
        <v>2021</v>
      </c>
      <c r="AI517" s="2250"/>
      <c r="AJ517" s="2250"/>
      <c r="AK517" s="225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97"/>
      <c r="C518" s="2498"/>
      <c r="D518" s="2498"/>
      <c r="E518" s="2498"/>
      <c r="F518" s="2498"/>
      <c r="G518" s="2498"/>
      <c r="H518" s="2499"/>
      <c r="I518" s="25" t="s">
        <v>433</v>
      </c>
      <c r="J518" s="25"/>
      <c r="K518" s="25"/>
      <c r="L518" s="25"/>
      <c r="M518" s="25"/>
      <c r="N518" s="25"/>
      <c r="O518" s="25"/>
      <c r="P518" s="25"/>
      <c r="Q518" s="25"/>
      <c r="R518" s="25"/>
      <c r="S518" s="25"/>
      <c r="T518" s="25"/>
      <c r="U518" s="25"/>
      <c r="V518" s="25"/>
      <c r="W518" s="25"/>
      <c r="X518" s="25"/>
      <c r="Y518" s="25"/>
      <c r="AC518" s="2467">
        <v>4</v>
      </c>
      <c r="AD518" s="2351"/>
      <c r="AE518" s="2351"/>
      <c r="AF518" s="2351"/>
      <c r="AG518" s="75" t="s">
        <v>424</v>
      </c>
      <c r="AH518" s="2250">
        <v>2022</v>
      </c>
      <c r="AI518" s="2250"/>
      <c r="AJ518" s="2250"/>
      <c r="AK518" s="225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97"/>
      <c r="C519" s="2498"/>
      <c r="D519" s="2498"/>
      <c r="E519" s="2498"/>
      <c r="F519" s="2498"/>
      <c r="G519" s="2498"/>
      <c r="H519" s="2499"/>
      <c r="I519" s="177" t="s">
        <v>434</v>
      </c>
      <c r="J519" s="25"/>
      <c r="K519" s="25"/>
      <c r="L519" s="25"/>
      <c r="M519" s="25"/>
      <c r="N519" s="25"/>
      <c r="O519" s="25"/>
      <c r="P519" s="25"/>
      <c r="Q519" s="25"/>
      <c r="R519" s="25"/>
      <c r="S519" s="25"/>
      <c r="T519" s="25"/>
      <c r="U519" s="25"/>
      <c r="V519" s="25"/>
      <c r="W519" s="25"/>
      <c r="X519" s="25"/>
      <c r="Y519" s="25"/>
      <c r="AC519" s="2192">
        <v>4</v>
      </c>
      <c r="AD519" s="2193"/>
      <c r="AE519" s="2193"/>
      <c r="AF519" s="2193"/>
      <c r="AG519" s="75" t="s">
        <v>424</v>
      </c>
      <c r="AH519" s="2250">
        <v>2022</v>
      </c>
      <c r="AI519" s="2250"/>
      <c r="AJ519" s="2250"/>
      <c r="AK519" s="225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97"/>
      <c r="C520" s="2498"/>
      <c r="D520" s="2498"/>
      <c r="E520" s="2498"/>
      <c r="F520" s="2498"/>
      <c r="G520" s="2498"/>
      <c r="H520" s="2499"/>
      <c r="I520" s="1522" t="s">
        <v>175</v>
      </c>
      <c r="J520" s="80"/>
      <c r="K520" s="80"/>
      <c r="L520" s="2518" t="s">
        <v>343</v>
      </c>
      <c r="M520" s="2519"/>
      <c r="N520" s="2519"/>
      <c r="O520" s="2519"/>
      <c r="P520" s="2519"/>
      <c r="Q520" s="2519"/>
      <c r="R520" s="2519"/>
      <c r="S520" s="2519"/>
      <c r="T520" s="2519"/>
      <c r="U520" s="2519"/>
      <c r="V520" s="2519"/>
      <c r="W520" s="2519"/>
      <c r="X520" s="2519"/>
      <c r="Y520" s="2519"/>
      <c r="Z520" s="2519"/>
      <c r="AA520" s="2519"/>
      <c r="AB520" s="2520"/>
      <c r="AC520" s="2467" t="s">
        <v>626</v>
      </c>
      <c r="AD520" s="2351"/>
      <c r="AE520" s="2351"/>
      <c r="AF520" s="2351"/>
      <c r="AG520" s="1493" t="s">
        <v>424</v>
      </c>
      <c r="AH520" s="2250"/>
      <c r="AI520" s="2250"/>
      <c r="AJ520" s="2250"/>
      <c r="AK520" s="225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4"/>
      <c r="C521" s="1485"/>
      <c r="D521" s="1485"/>
      <c r="E521" s="1485"/>
      <c r="F521" s="1485"/>
      <c r="G521" s="1485"/>
      <c r="H521" s="1486"/>
      <c r="I521" s="240" t="s">
        <v>2032</v>
      </c>
      <c r="J521" s="25"/>
      <c r="K521" s="25"/>
      <c r="L521" s="25"/>
      <c r="M521" s="25"/>
      <c r="N521" s="25"/>
      <c r="O521" s="25"/>
      <c r="P521" s="25"/>
      <c r="Q521" s="25"/>
      <c r="R521" s="25"/>
      <c r="S521" s="25"/>
      <c r="T521" s="25"/>
      <c r="U521" s="25"/>
      <c r="V521" s="25"/>
      <c r="W521" s="25"/>
      <c r="X521" s="25"/>
      <c r="Y521" s="25"/>
      <c r="AC521" s="2522" t="s">
        <v>706</v>
      </c>
      <c r="AD521" s="2522"/>
      <c r="AE521" s="2522"/>
      <c r="AF521" s="2522"/>
      <c r="AG521" s="1785"/>
      <c r="AH521" s="2558"/>
      <c r="AI521" s="2558"/>
      <c r="AJ521" s="2558"/>
      <c r="AK521" s="255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4"/>
      <c r="C522" s="1485"/>
      <c r="D522" s="1485"/>
      <c r="E522" s="1485"/>
      <c r="F522" s="1485"/>
      <c r="G522" s="1485"/>
      <c r="H522" s="1486"/>
      <c r="I522" s="687" t="s">
        <v>2029</v>
      </c>
      <c r="J522" s="25"/>
      <c r="K522" s="25"/>
      <c r="L522" s="25"/>
      <c r="M522" s="25"/>
      <c r="N522" s="25"/>
      <c r="O522" s="25"/>
      <c r="P522" s="25"/>
      <c r="Q522" s="25"/>
      <c r="R522" s="25"/>
      <c r="S522" s="25"/>
      <c r="T522" s="25"/>
      <c r="U522" s="25"/>
      <c r="V522" s="25"/>
      <c r="W522" s="25"/>
      <c r="X522" s="25"/>
      <c r="Y522" s="25"/>
      <c r="AC522" s="2192"/>
      <c r="AD522" s="2193"/>
      <c r="AE522" s="2193"/>
      <c r="AF522" s="2194"/>
      <c r="AG522" s="1785"/>
      <c r="AH522" s="2558"/>
      <c r="AI522" s="2558"/>
      <c r="AJ522" s="2558"/>
      <c r="AK522" s="255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4"/>
      <c r="C523" s="1485"/>
      <c r="D523" s="1485"/>
      <c r="E523" s="1485"/>
      <c r="F523" s="1485"/>
      <c r="G523" s="1485"/>
      <c r="H523" s="1486"/>
      <c r="I523" s="687" t="s">
        <v>2030</v>
      </c>
      <c r="J523" s="25"/>
      <c r="K523" s="25"/>
      <c r="L523" s="25"/>
      <c r="M523" s="25"/>
      <c r="N523" s="25"/>
      <c r="O523" s="25"/>
      <c r="P523" s="25"/>
      <c r="Q523" s="25"/>
      <c r="R523" s="25"/>
      <c r="S523" s="25"/>
      <c r="T523" s="25"/>
      <c r="U523" s="25"/>
      <c r="V523" s="25"/>
      <c r="W523" s="25"/>
      <c r="X523" s="25"/>
      <c r="Y523" s="25"/>
      <c r="AC523" s="1511"/>
      <c r="AD523" s="1512"/>
      <c r="AE523" s="1512"/>
      <c r="AF523" s="1513"/>
      <c r="AG523" s="20"/>
      <c r="AH523" s="1782"/>
      <c r="AI523" s="1782"/>
      <c r="AJ523" s="1782"/>
      <c r="AK523" s="178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4"/>
      <c r="C524" s="1485"/>
      <c r="D524" s="1485"/>
      <c r="E524" s="1485"/>
      <c r="F524" s="1485"/>
      <c r="G524" s="1485"/>
      <c r="H524" s="1486"/>
      <c r="I524" s="1523" t="s">
        <v>2031</v>
      </c>
      <c r="J524" s="80"/>
      <c r="K524" s="80"/>
      <c r="L524" s="80"/>
      <c r="M524" s="80"/>
      <c r="N524" s="80"/>
      <c r="O524" s="80"/>
      <c r="P524" s="80"/>
      <c r="Q524" s="80"/>
      <c r="R524" s="80"/>
      <c r="S524" s="80"/>
      <c r="T524" s="80"/>
      <c r="U524" s="80"/>
      <c r="V524" s="80"/>
      <c r="W524" s="80"/>
      <c r="X524" s="80"/>
      <c r="Y524" s="80"/>
      <c r="Z524" s="80"/>
      <c r="AA524" s="80"/>
      <c r="AB524" s="80"/>
      <c r="AC524" s="2560">
        <v>0.75</v>
      </c>
      <c r="AD524" s="2561"/>
      <c r="AE524" s="2561"/>
      <c r="AF524" s="2562"/>
      <c r="AG524" s="1786"/>
      <c r="AH524" s="2563"/>
      <c r="AI524" s="2563"/>
      <c r="AJ524" s="2563"/>
      <c r="AK524" s="256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4"/>
      <c r="C525" s="1485"/>
      <c r="D525" s="1485"/>
      <c r="E525" s="1485"/>
      <c r="F525" s="1485"/>
      <c r="G525" s="1485"/>
      <c r="H525" s="1486"/>
      <c r="I525" s="177"/>
      <c r="J525" s="681"/>
      <c r="K525" s="681"/>
      <c r="L525" s="14"/>
      <c r="M525" s="14"/>
      <c r="N525" s="14"/>
      <c r="O525" s="14"/>
      <c r="P525" s="14"/>
      <c r="Q525" s="14"/>
      <c r="R525" s="14"/>
      <c r="S525" s="14"/>
      <c r="T525" s="14"/>
      <c r="U525" s="14"/>
      <c r="V525" s="14"/>
      <c r="W525" s="14"/>
      <c r="X525" s="1784"/>
      <c r="Y525" s="1784"/>
      <c r="Z525" s="1784"/>
      <c r="AA525" s="1784"/>
      <c r="AB525" s="1806"/>
      <c r="AC525" s="2529" t="s">
        <v>423</v>
      </c>
      <c r="AD525" s="2530"/>
      <c r="AE525" s="2530"/>
      <c r="AF525" s="2530"/>
      <c r="AG525" s="1786" t="s">
        <v>424</v>
      </c>
      <c r="AH525" s="2530" t="s">
        <v>425</v>
      </c>
      <c r="AI525" s="2530"/>
      <c r="AJ525" s="2530"/>
      <c r="AK525" s="253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4" t="s">
        <v>435</v>
      </c>
      <c r="C526" s="2495"/>
      <c r="D526" s="2495"/>
      <c r="E526" s="2495"/>
      <c r="F526" s="2495"/>
      <c r="G526" s="2495"/>
      <c r="H526" s="2496"/>
      <c r="I526" s="72" t="s">
        <v>436</v>
      </c>
      <c r="J526" s="72"/>
      <c r="K526" s="72"/>
      <c r="L526" s="72"/>
      <c r="M526" s="72"/>
      <c r="N526" s="72"/>
      <c r="O526" s="72"/>
      <c r="P526" s="72"/>
      <c r="Q526" s="72"/>
      <c r="R526" s="72"/>
      <c r="S526" s="72"/>
      <c r="T526" s="72"/>
      <c r="U526" s="72"/>
      <c r="V526" s="72"/>
      <c r="W526" s="72"/>
      <c r="X526" s="25"/>
      <c r="Y526" s="25"/>
      <c r="AC526" s="2467">
        <v>9</v>
      </c>
      <c r="AD526" s="2351"/>
      <c r="AE526" s="2351"/>
      <c r="AF526" s="2351"/>
      <c r="AG526" s="75" t="s">
        <v>424</v>
      </c>
      <c r="AH526" s="2250">
        <v>2021</v>
      </c>
      <c r="AI526" s="2250"/>
      <c r="AJ526" s="2250"/>
      <c r="AK526" s="225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97"/>
      <c r="C527" s="2498"/>
      <c r="D527" s="2498"/>
      <c r="E527" s="2498"/>
      <c r="F527" s="2498"/>
      <c r="G527" s="2498"/>
      <c r="H527" s="2499"/>
      <c r="I527" s="25" t="s">
        <v>437</v>
      </c>
      <c r="J527" s="25"/>
      <c r="K527" s="25"/>
      <c r="L527" s="25"/>
      <c r="M527" s="25"/>
      <c r="N527" s="25"/>
      <c r="O527" s="25"/>
      <c r="P527" s="25"/>
      <c r="Q527" s="25"/>
      <c r="R527" s="25"/>
      <c r="S527" s="25"/>
      <c r="T527" s="25"/>
      <c r="U527" s="25"/>
      <c r="V527" s="25"/>
      <c r="W527" s="25"/>
      <c r="X527" s="25"/>
      <c r="Y527" s="25"/>
      <c r="AC527" s="2467">
        <v>9</v>
      </c>
      <c r="AD527" s="2351"/>
      <c r="AE527" s="2351"/>
      <c r="AF527" s="2351"/>
      <c r="AG527" s="75" t="s">
        <v>424</v>
      </c>
      <c r="AH527" s="2250">
        <v>2021</v>
      </c>
      <c r="AI527" s="2250"/>
      <c r="AJ527" s="2250"/>
      <c r="AK527" s="225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97"/>
      <c r="C528" s="2498"/>
      <c r="D528" s="2498"/>
      <c r="E528" s="2498"/>
      <c r="F528" s="2498"/>
      <c r="G528" s="2498"/>
      <c r="H528" s="2499"/>
      <c r="I528" s="80" t="s">
        <v>438</v>
      </c>
      <c r="J528" s="80"/>
      <c r="K528" s="80"/>
      <c r="L528" s="80"/>
      <c r="M528" s="80"/>
      <c r="N528" s="80"/>
      <c r="O528" s="80"/>
      <c r="P528" s="80"/>
      <c r="Q528" s="80"/>
      <c r="R528" s="80"/>
      <c r="S528" s="80"/>
      <c r="T528" s="80"/>
      <c r="U528" s="80"/>
      <c r="V528" s="80"/>
      <c r="W528" s="80"/>
      <c r="X528" s="80"/>
      <c r="Y528" s="80"/>
      <c r="Z528" s="80"/>
      <c r="AA528" s="80"/>
      <c r="AB528" s="80"/>
      <c r="AC528" s="2467">
        <v>4</v>
      </c>
      <c r="AD528" s="2351"/>
      <c r="AE528" s="2351"/>
      <c r="AF528" s="2351"/>
      <c r="AG528" s="65" t="s">
        <v>424</v>
      </c>
      <c r="AH528" s="2250">
        <v>2022</v>
      </c>
      <c r="AI528" s="2250"/>
      <c r="AJ528" s="2250"/>
      <c r="AK528" s="225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94" t="s">
        <v>439</v>
      </c>
      <c r="C529" s="2495"/>
      <c r="D529" s="2495"/>
      <c r="E529" s="2495"/>
      <c r="F529" s="2495"/>
      <c r="G529" s="2495"/>
      <c r="H529" s="2496"/>
      <c r="I529" s="72" t="s">
        <v>436</v>
      </c>
      <c r="J529" s="72"/>
      <c r="K529" s="72"/>
      <c r="L529" s="72"/>
      <c r="M529" s="72"/>
      <c r="N529" s="72"/>
      <c r="O529" s="72"/>
      <c r="P529" s="72"/>
      <c r="Q529" s="72"/>
      <c r="R529" s="72"/>
      <c r="S529" s="72"/>
      <c r="T529" s="72"/>
      <c r="U529" s="72"/>
      <c r="V529" s="72"/>
      <c r="W529" s="72"/>
      <c r="X529" s="72"/>
      <c r="Y529" s="72"/>
      <c r="Z529" s="72"/>
      <c r="AA529" s="72"/>
      <c r="AB529" s="72"/>
      <c r="AC529" s="2192">
        <v>9</v>
      </c>
      <c r="AD529" s="2193"/>
      <c r="AE529" s="2193"/>
      <c r="AF529" s="2193"/>
      <c r="AG529" s="196" t="s">
        <v>424</v>
      </c>
      <c r="AH529" s="2250">
        <v>2021</v>
      </c>
      <c r="AI529" s="2250"/>
      <c r="AJ529" s="2250"/>
      <c r="AK529" s="225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97"/>
      <c r="C530" s="2498"/>
      <c r="D530" s="2498"/>
      <c r="E530" s="2498"/>
      <c r="F530" s="2498"/>
      <c r="G530" s="2498"/>
      <c r="H530" s="2499"/>
      <c r="I530" s="25" t="s">
        <v>437</v>
      </c>
      <c r="J530" s="25"/>
      <c r="K530" s="25"/>
      <c r="L530" s="25"/>
      <c r="M530" s="25"/>
      <c r="N530" s="25"/>
      <c r="O530" s="25"/>
      <c r="P530" s="25"/>
      <c r="Q530" s="25"/>
      <c r="R530" s="25"/>
      <c r="S530" s="25"/>
      <c r="T530" s="25"/>
      <c r="U530" s="25"/>
      <c r="V530" s="25"/>
      <c r="W530" s="25"/>
      <c r="X530" s="25"/>
      <c r="Y530" s="25"/>
      <c r="Z530" s="25"/>
      <c r="AA530" s="25"/>
      <c r="AB530" s="25"/>
      <c r="AC530" s="2467">
        <v>9</v>
      </c>
      <c r="AD530" s="2351"/>
      <c r="AE530" s="2351"/>
      <c r="AF530" s="2351"/>
      <c r="AG530" s="75" t="s">
        <v>424</v>
      </c>
      <c r="AH530" s="2250">
        <v>2021</v>
      </c>
      <c r="AI530" s="2250"/>
      <c r="AJ530" s="2250"/>
      <c r="AK530" s="225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00"/>
      <c r="C531" s="2501"/>
      <c r="D531" s="2501"/>
      <c r="E531" s="2501"/>
      <c r="F531" s="2501"/>
      <c r="G531" s="2501"/>
      <c r="H531" s="2502"/>
      <c r="I531" s="80" t="s">
        <v>438</v>
      </c>
      <c r="J531" s="80"/>
      <c r="K531" s="80"/>
      <c r="L531" s="80"/>
      <c r="M531" s="80"/>
      <c r="N531" s="80"/>
      <c r="O531" s="80"/>
      <c r="P531" s="80"/>
      <c r="Q531" s="80"/>
      <c r="R531" s="80"/>
      <c r="S531" s="80"/>
      <c r="T531" s="80"/>
      <c r="U531" s="80"/>
      <c r="V531" s="80"/>
      <c r="W531" s="80"/>
      <c r="X531" s="80"/>
      <c r="Y531" s="80"/>
      <c r="Z531" s="80"/>
      <c r="AA531" s="80"/>
      <c r="AB531" s="80"/>
      <c r="AC531" s="2467">
        <v>4</v>
      </c>
      <c r="AD531" s="2351"/>
      <c r="AE531" s="2351"/>
      <c r="AF531" s="2351"/>
      <c r="AG531" s="65" t="s">
        <v>424</v>
      </c>
      <c r="AH531" s="2250">
        <v>2022</v>
      </c>
      <c r="AI531" s="2250"/>
      <c r="AJ531" s="2250"/>
      <c r="AK531" s="225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94" t="s">
        <v>440</v>
      </c>
      <c r="C532" s="2495"/>
      <c r="D532" s="2495"/>
      <c r="E532" s="2495"/>
      <c r="F532" s="2495"/>
      <c r="G532" s="2495"/>
      <c r="H532" s="2496"/>
      <c r="I532" s="71" t="s">
        <v>441</v>
      </c>
      <c r="J532" s="72"/>
      <c r="K532" s="72"/>
      <c r="L532" s="72"/>
      <c r="M532" s="72"/>
      <c r="N532" s="72"/>
      <c r="O532" s="2288" t="s">
        <v>343</v>
      </c>
      <c r="P532" s="2288"/>
      <c r="Q532" s="2288"/>
      <c r="R532" s="2288"/>
      <c r="S532" s="2288"/>
      <c r="T532" s="2288"/>
      <c r="U532" s="2288"/>
      <c r="V532" s="2288"/>
      <c r="W532" s="2288"/>
      <c r="X532" s="2288"/>
      <c r="Y532" s="2288"/>
      <c r="Z532" s="2288"/>
      <c r="AA532" s="2288"/>
      <c r="AB532" s="94"/>
      <c r="AC532" s="2192" t="s">
        <v>626</v>
      </c>
      <c r="AD532" s="2193"/>
      <c r="AE532" s="2193"/>
      <c r="AF532" s="2193"/>
      <c r="AG532" s="196" t="s">
        <v>424</v>
      </c>
      <c r="AH532" s="2250"/>
      <c r="AI532" s="2250"/>
      <c r="AJ532" s="2250"/>
      <c r="AK532" s="225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97"/>
      <c r="C533" s="2498"/>
      <c r="D533" s="2498"/>
      <c r="E533" s="2498"/>
      <c r="F533" s="2498"/>
      <c r="G533" s="2498"/>
      <c r="H533" s="2499"/>
      <c r="I533" s="171" t="s">
        <v>442</v>
      </c>
      <c r="J533" s="25"/>
      <c r="K533" s="25"/>
      <c r="L533" s="25"/>
      <c r="M533" s="25"/>
      <c r="N533" s="25"/>
      <c r="O533" s="25"/>
      <c r="P533" s="25"/>
      <c r="Q533" s="25"/>
      <c r="R533" s="25"/>
      <c r="S533" s="25"/>
      <c r="T533" s="25"/>
      <c r="U533" s="25"/>
      <c r="V533" s="25"/>
      <c r="W533" s="25"/>
      <c r="X533" s="25"/>
      <c r="Y533" s="25"/>
      <c r="Z533" s="25"/>
      <c r="AA533" s="25"/>
      <c r="AB533" s="101"/>
      <c r="AC533" s="2467" t="s">
        <v>626</v>
      </c>
      <c r="AD533" s="2351"/>
      <c r="AE533" s="2351"/>
      <c r="AF533" s="2351"/>
      <c r="AG533" s="75" t="s">
        <v>424</v>
      </c>
      <c r="AH533" s="2250"/>
      <c r="AI533" s="2250"/>
      <c r="AJ533" s="2250"/>
      <c r="AK533" s="225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97"/>
      <c r="C534" s="2498"/>
      <c r="D534" s="2498"/>
      <c r="E534" s="2498"/>
      <c r="F534" s="2498"/>
      <c r="G534" s="2498"/>
      <c r="H534" s="2499"/>
      <c r="I534" s="79" t="s">
        <v>443</v>
      </c>
      <c r="J534" s="80"/>
      <c r="K534" s="80"/>
      <c r="L534" s="80"/>
      <c r="M534" s="80"/>
      <c r="N534" s="80"/>
      <c r="O534" s="80"/>
      <c r="P534" s="80"/>
      <c r="Q534" s="80"/>
      <c r="R534" s="80"/>
      <c r="S534" s="80"/>
      <c r="T534" s="80"/>
      <c r="U534" s="80"/>
      <c r="V534" s="80"/>
      <c r="W534" s="80"/>
      <c r="X534" s="80"/>
      <c r="Y534" s="80"/>
      <c r="Z534" s="80"/>
      <c r="AA534" s="80"/>
      <c r="AB534" s="81"/>
      <c r="AC534" s="2467" t="s">
        <v>626</v>
      </c>
      <c r="AD534" s="2351"/>
      <c r="AE534" s="2351"/>
      <c r="AF534" s="2351"/>
      <c r="AG534" s="65" t="s">
        <v>424</v>
      </c>
      <c r="AH534" s="2250"/>
      <c r="AI534" s="2250"/>
      <c r="AJ534" s="2250"/>
      <c r="AK534" s="225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97"/>
      <c r="C535" s="2498"/>
      <c r="D535" s="2498"/>
      <c r="E535" s="2498"/>
      <c r="F535" s="2498"/>
      <c r="G535" s="2498"/>
      <c r="H535" s="2499"/>
      <c r="I535" s="72" t="s">
        <v>444</v>
      </c>
      <c r="J535" s="72"/>
      <c r="K535" s="72"/>
      <c r="L535" s="72"/>
      <c r="M535" s="72"/>
      <c r="N535" s="72"/>
      <c r="O535" s="2055" t="s">
        <v>343</v>
      </c>
      <c r="P535" s="2055"/>
      <c r="Q535" s="2055"/>
      <c r="R535" s="2055"/>
      <c r="S535" s="2055"/>
      <c r="T535" s="2055"/>
      <c r="U535" s="2055"/>
      <c r="V535" s="2055"/>
      <c r="W535" s="2055"/>
      <c r="X535" s="2055"/>
      <c r="Y535" s="2055"/>
      <c r="Z535" s="2055"/>
      <c r="AA535" s="2055"/>
      <c r="AC535" s="2467" t="s">
        <v>626</v>
      </c>
      <c r="AD535" s="2351"/>
      <c r="AE535" s="2351"/>
      <c r="AF535" s="2351"/>
      <c r="AG535" s="75" t="s">
        <v>424</v>
      </c>
      <c r="AH535" s="2250"/>
      <c r="AI535" s="2250"/>
      <c r="AJ535" s="2250"/>
      <c r="AK535" s="225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97"/>
      <c r="C536" s="2498"/>
      <c r="D536" s="2498"/>
      <c r="E536" s="2498"/>
      <c r="F536" s="2498"/>
      <c r="G536" s="2498"/>
      <c r="H536" s="2499"/>
      <c r="I536" s="25" t="s">
        <v>442</v>
      </c>
      <c r="J536" s="25"/>
      <c r="K536" s="25"/>
      <c r="L536" s="25"/>
      <c r="M536" s="25"/>
      <c r="N536" s="25"/>
      <c r="O536" s="25"/>
      <c r="P536" s="25"/>
      <c r="Q536" s="25"/>
      <c r="R536" s="25"/>
      <c r="S536" s="25"/>
      <c r="T536" s="25"/>
      <c r="U536" s="25"/>
      <c r="V536" s="25"/>
      <c r="W536" s="25"/>
      <c r="X536" s="25"/>
      <c r="Y536" s="25"/>
      <c r="AC536" s="2467" t="s">
        <v>626</v>
      </c>
      <c r="AD536" s="2351"/>
      <c r="AE536" s="2351"/>
      <c r="AF536" s="2351"/>
      <c r="AG536" s="75" t="s">
        <v>424</v>
      </c>
      <c r="AH536" s="2250"/>
      <c r="AI536" s="2250"/>
      <c r="AJ536" s="2250"/>
      <c r="AK536" s="225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97"/>
      <c r="C537" s="2498"/>
      <c r="D537" s="2498"/>
      <c r="E537" s="2498"/>
      <c r="F537" s="2498"/>
      <c r="G537" s="2498"/>
      <c r="H537" s="2499"/>
      <c r="I537" s="80" t="s">
        <v>443</v>
      </c>
      <c r="J537" s="80"/>
      <c r="K537" s="80"/>
      <c r="L537" s="80"/>
      <c r="M537" s="80"/>
      <c r="N537" s="80"/>
      <c r="O537" s="80"/>
      <c r="P537" s="80"/>
      <c r="Q537" s="80"/>
      <c r="R537" s="80"/>
      <c r="S537" s="80"/>
      <c r="T537" s="80"/>
      <c r="U537" s="80"/>
      <c r="V537" s="80"/>
      <c r="W537" s="80"/>
      <c r="X537" s="80"/>
      <c r="Y537" s="80"/>
      <c r="Z537" s="80"/>
      <c r="AA537" s="80"/>
      <c r="AB537" s="80"/>
      <c r="AC537" s="2467" t="s">
        <v>626</v>
      </c>
      <c r="AD537" s="2351"/>
      <c r="AE537" s="2351"/>
      <c r="AF537" s="2351"/>
      <c r="AG537" s="65" t="s">
        <v>424</v>
      </c>
      <c r="AH537" s="2250"/>
      <c r="AI537" s="2250"/>
      <c r="AJ537" s="2250"/>
      <c r="AK537" s="225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97"/>
      <c r="C538" s="2498"/>
      <c r="D538" s="2498"/>
      <c r="E538" s="2498"/>
      <c r="F538" s="2498"/>
      <c r="G538" s="2498"/>
      <c r="H538" s="2499"/>
      <c r="I538" s="72" t="s">
        <v>444</v>
      </c>
      <c r="J538" s="72"/>
      <c r="K538" s="72"/>
      <c r="L538" s="72"/>
      <c r="M538" s="72"/>
      <c r="N538" s="72"/>
      <c r="O538" s="2055" t="s">
        <v>343</v>
      </c>
      <c r="P538" s="2055"/>
      <c r="Q538" s="2055"/>
      <c r="R538" s="2055"/>
      <c r="S538" s="2055"/>
      <c r="T538" s="2055"/>
      <c r="U538" s="2055"/>
      <c r="V538" s="2055"/>
      <c r="W538" s="2055"/>
      <c r="X538" s="2055"/>
      <c r="Y538" s="2055"/>
      <c r="Z538" s="2055"/>
      <c r="AA538" s="2055"/>
      <c r="AC538" s="2467" t="s">
        <v>626</v>
      </c>
      <c r="AD538" s="2351"/>
      <c r="AE538" s="2351"/>
      <c r="AF538" s="2351"/>
      <c r="AG538" s="75" t="s">
        <v>424</v>
      </c>
      <c r="AH538" s="2250"/>
      <c r="AI538" s="2250"/>
      <c r="AJ538" s="2250"/>
      <c r="AK538" s="225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97"/>
      <c r="C539" s="2498"/>
      <c r="D539" s="2498"/>
      <c r="E539" s="2498"/>
      <c r="F539" s="2498"/>
      <c r="G539" s="2498"/>
      <c r="H539" s="2499"/>
      <c r="I539" s="25" t="s">
        <v>442</v>
      </c>
      <c r="J539" s="25"/>
      <c r="K539" s="25"/>
      <c r="L539" s="25"/>
      <c r="M539" s="25"/>
      <c r="N539" s="25"/>
      <c r="O539" s="25"/>
      <c r="P539" s="25"/>
      <c r="Q539" s="25"/>
      <c r="R539" s="25"/>
      <c r="S539" s="25"/>
      <c r="T539" s="25"/>
      <c r="U539" s="25"/>
      <c r="V539" s="25"/>
      <c r="W539" s="25"/>
      <c r="X539" s="25"/>
      <c r="Y539" s="25"/>
      <c r="AC539" s="2467" t="s">
        <v>626</v>
      </c>
      <c r="AD539" s="2351"/>
      <c r="AE539" s="2351"/>
      <c r="AF539" s="2351"/>
      <c r="AG539" s="75" t="s">
        <v>424</v>
      </c>
      <c r="AH539" s="2250"/>
      <c r="AI539" s="2250"/>
      <c r="AJ539" s="2250"/>
      <c r="AK539" s="225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97"/>
      <c r="C540" s="2498"/>
      <c r="D540" s="2498"/>
      <c r="E540" s="2498"/>
      <c r="F540" s="2498"/>
      <c r="G540" s="2498"/>
      <c r="H540" s="2499"/>
      <c r="I540" s="80" t="s">
        <v>443</v>
      </c>
      <c r="J540" s="80"/>
      <c r="K540" s="80"/>
      <c r="L540" s="80"/>
      <c r="M540" s="80"/>
      <c r="N540" s="80"/>
      <c r="O540" s="80"/>
      <c r="P540" s="80"/>
      <c r="Q540" s="80"/>
      <c r="R540" s="80"/>
      <c r="S540" s="80"/>
      <c r="T540" s="80"/>
      <c r="U540" s="80"/>
      <c r="V540" s="80"/>
      <c r="W540" s="80"/>
      <c r="X540" s="80"/>
      <c r="Y540" s="80"/>
      <c r="Z540" s="80"/>
      <c r="AA540" s="80"/>
      <c r="AB540" s="80"/>
      <c r="AC540" s="2467" t="s">
        <v>626</v>
      </c>
      <c r="AD540" s="2351"/>
      <c r="AE540" s="2351"/>
      <c r="AF540" s="2351"/>
      <c r="AG540" s="65" t="s">
        <v>424</v>
      </c>
      <c r="AH540" s="2250"/>
      <c r="AI540" s="2250"/>
      <c r="AJ540" s="2250"/>
      <c r="AK540" s="225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97"/>
      <c r="C541" s="2498"/>
      <c r="D541" s="2498"/>
      <c r="E541" s="2498"/>
      <c r="F541" s="2498"/>
      <c r="G541" s="2498"/>
      <c r="H541" s="2499"/>
      <c r="I541" s="72" t="s">
        <v>444</v>
      </c>
      <c r="J541" s="72"/>
      <c r="K541" s="72"/>
      <c r="L541" s="72"/>
      <c r="M541" s="72"/>
      <c r="N541" s="72"/>
      <c r="O541" s="2055" t="s">
        <v>343</v>
      </c>
      <c r="P541" s="2055"/>
      <c r="Q541" s="2055"/>
      <c r="R541" s="2055"/>
      <c r="S541" s="2055"/>
      <c r="T541" s="2055"/>
      <c r="U541" s="2055"/>
      <c r="V541" s="2055"/>
      <c r="W541" s="2055"/>
      <c r="X541" s="2055"/>
      <c r="Y541" s="2055"/>
      <c r="Z541" s="2055"/>
      <c r="AA541" s="2055"/>
      <c r="AC541" s="2467" t="s">
        <v>626</v>
      </c>
      <c r="AD541" s="2351"/>
      <c r="AE541" s="2351"/>
      <c r="AF541" s="2351"/>
      <c r="AG541" s="75" t="s">
        <v>424</v>
      </c>
      <c r="AH541" s="2250"/>
      <c r="AI541" s="2250"/>
      <c r="AJ541" s="2250"/>
      <c r="AK541" s="225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97"/>
      <c r="C542" s="2498"/>
      <c r="D542" s="2498"/>
      <c r="E542" s="2498"/>
      <c r="F542" s="2498"/>
      <c r="G542" s="2498"/>
      <c r="H542" s="2499"/>
      <c r="I542" s="25" t="s">
        <v>442</v>
      </c>
      <c r="J542" s="25"/>
      <c r="K542" s="25"/>
      <c r="L542" s="25"/>
      <c r="M542" s="25"/>
      <c r="N542" s="25"/>
      <c r="O542" s="25"/>
      <c r="P542" s="25"/>
      <c r="Q542" s="25"/>
      <c r="R542" s="25"/>
      <c r="S542" s="25"/>
      <c r="T542" s="25"/>
      <c r="U542" s="25"/>
      <c r="V542" s="25"/>
      <c r="W542" s="25"/>
      <c r="X542" s="25"/>
      <c r="Y542" s="25"/>
      <c r="AC542" s="2467" t="s">
        <v>626</v>
      </c>
      <c r="AD542" s="2351"/>
      <c r="AE542" s="2351"/>
      <c r="AF542" s="2351"/>
      <c r="AG542" s="75" t="s">
        <v>424</v>
      </c>
      <c r="AH542" s="2250"/>
      <c r="AI542" s="2250"/>
      <c r="AJ542" s="2250"/>
      <c r="AK542" s="225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97"/>
      <c r="C543" s="2498"/>
      <c r="D543" s="2498"/>
      <c r="E543" s="2498"/>
      <c r="F543" s="2498"/>
      <c r="G543" s="2498"/>
      <c r="H543" s="2499"/>
      <c r="I543" s="80" t="s">
        <v>443</v>
      </c>
      <c r="J543" s="80"/>
      <c r="K543" s="80"/>
      <c r="L543" s="80"/>
      <c r="M543" s="80"/>
      <c r="N543" s="80"/>
      <c r="O543" s="80"/>
      <c r="P543" s="80"/>
      <c r="Q543" s="80"/>
      <c r="R543" s="80"/>
      <c r="S543" s="80"/>
      <c r="T543" s="80"/>
      <c r="U543" s="80"/>
      <c r="V543" s="80"/>
      <c r="W543" s="80"/>
      <c r="X543" s="80"/>
      <c r="Y543" s="80"/>
      <c r="Z543" s="80"/>
      <c r="AA543" s="80"/>
      <c r="AB543" s="80"/>
      <c r="AC543" s="2467" t="s">
        <v>626</v>
      </c>
      <c r="AD543" s="2351"/>
      <c r="AE543" s="2351"/>
      <c r="AF543" s="2351"/>
      <c r="AG543" s="65" t="s">
        <v>424</v>
      </c>
      <c r="AH543" s="2250"/>
      <c r="AI543" s="2250"/>
      <c r="AJ543" s="2250"/>
      <c r="AK543" s="225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97"/>
      <c r="C544" s="2498"/>
      <c r="D544" s="2498"/>
      <c r="E544" s="2498"/>
      <c r="F544" s="2498"/>
      <c r="G544" s="2498"/>
      <c r="H544" s="2499"/>
      <c r="I544" s="72" t="s">
        <v>444</v>
      </c>
      <c r="J544" s="72"/>
      <c r="K544" s="72"/>
      <c r="L544" s="72"/>
      <c r="M544" s="72"/>
      <c r="N544" s="72"/>
      <c r="O544" s="2055" t="s">
        <v>343</v>
      </c>
      <c r="P544" s="2055"/>
      <c r="Q544" s="2055"/>
      <c r="R544" s="2055"/>
      <c r="S544" s="2055"/>
      <c r="T544" s="2055"/>
      <c r="U544" s="2055"/>
      <c r="V544" s="2055"/>
      <c r="W544" s="2055"/>
      <c r="X544" s="2055"/>
      <c r="Y544" s="2055"/>
      <c r="Z544" s="2055"/>
      <c r="AA544" s="2055"/>
      <c r="AC544" s="2467" t="s">
        <v>626</v>
      </c>
      <c r="AD544" s="2351"/>
      <c r="AE544" s="2351"/>
      <c r="AF544" s="2351"/>
      <c r="AG544" s="75" t="s">
        <v>424</v>
      </c>
      <c r="AH544" s="2250"/>
      <c r="AI544" s="2250"/>
      <c r="AJ544" s="2250"/>
      <c r="AK544" s="225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97"/>
      <c r="C545" s="2498"/>
      <c r="D545" s="2498"/>
      <c r="E545" s="2498"/>
      <c r="F545" s="2498"/>
      <c r="G545" s="2498"/>
      <c r="H545" s="2499"/>
      <c r="I545" s="25" t="s">
        <v>442</v>
      </c>
      <c r="J545" s="25"/>
      <c r="K545" s="25"/>
      <c r="L545" s="25"/>
      <c r="M545" s="25"/>
      <c r="N545" s="25"/>
      <c r="O545" s="25"/>
      <c r="P545" s="25"/>
      <c r="Q545" s="25"/>
      <c r="R545" s="25"/>
      <c r="S545" s="25"/>
      <c r="T545" s="25"/>
      <c r="U545" s="25"/>
      <c r="V545" s="25"/>
      <c r="W545" s="25"/>
      <c r="X545" s="25"/>
      <c r="Y545" s="25"/>
      <c r="AC545" s="2467" t="s">
        <v>626</v>
      </c>
      <c r="AD545" s="2351"/>
      <c r="AE545" s="2351"/>
      <c r="AF545" s="2351"/>
      <c r="AG545" s="65" t="s">
        <v>424</v>
      </c>
      <c r="AH545" s="2250"/>
      <c r="AI545" s="2250"/>
      <c r="AJ545" s="2250"/>
      <c r="AK545" s="225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97"/>
      <c r="C546" s="2498"/>
      <c r="D546" s="2498"/>
      <c r="E546" s="2498"/>
      <c r="F546" s="2498"/>
      <c r="G546" s="2498"/>
      <c r="H546" s="2499"/>
      <c r="I546" s="80" t="s">
        <v>443</v>
      </c>
      <c r="J546" s="80"/>
      <c r="K546" s="80"/>
      <c r="L546" s="80"/>
      <c r="M546" s="80"/>
      <c r="N546" s="80"/>
      <c r="O546" s="80"/>
      <c r="P546" s="80"/>
      <c r="Q546" s="80"/>
      <c r="R546" s="80"/>
      <c r="S546" s="80"/>
      <c r="T546" s="80"/>
      <c r="U546" s="80"/>
      <c r="V546" s="80"/>
      <c r="W546" s="80"/>
      <c r="X546" s="80"/>
      <c r="Y546" s="80"/>
      <c r="Z546" s="80"/>
      <c r="AA546" s="80"/>
      <c r="AB546" s="80"/>
      <c r="AC546" s="2467" t="s">
        <v>626</v>
      </c>
      <c r="AD546" s="2351"/>
      <c r="AE546" s="2351"/>
      <c r="AF546" s="2351"/>
      <c r="AG546" s="75" t="s">
        <v>424</v>
      </c>
      <c r="AH546" s="2250"/>
      <c r="AI546" s="2250"/>
      <c r="AJ546" s="2250"/>
      <c r="AK546" s="225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97"/>
      <c r="C547" s="2498"/>
      <c r="D547" s="2498"/>
      <c r="E547" s="2498"/>
      <c r="F547" s="2498"/>
      <c r="G547" s="2498"/>
      <c r="H547" s="2499"/>
      <c r="I547" s="72" t="s">
        <v>444</v>
      </c>
      <c r="J547" s="72"/>
      <c r="K547" s="72"/>
      <c r="L547" s="72"/>
      <c r="M547" s="72"/>
      <c r="N547" s="72"/>
      <c r="O547" s="2055" t="s">
        <v>343</v>
      </c>
      <c r="P547" s="2055"/>
      <c r="Q547" s="2055"/>
      <c r="R547" s="2055"/>
      <c r="S547" s="2055"/>
      <c r="T547" s="2055"/>
      <c r="U547" s="2055"/>
      <c r="V547" s="2055"/>
      <c r="W547" s="2055"/>
      <c r="X547" s="2055"/>
      <c r="Y547" s="2055"/>
      <c r="Z547" s="2055"/>
      <c r="AA547" s="2055"/>
      <c r="AC547" s="2467" t="s">
        <v>626</v>
      </c>
      <c r="AD547" s="2351"/>
      <c r="AE547" s="2351"/>
      <c r="AF547" s="2351"/>
      <c r="AG547" s="65" t="s">
        <v>424</v>
      </c>
      <c r="AH547" s="2250"/>
      <c r="AI547" s="2250"/>
      <c r="AJ547" s="2250"/>
      <c r="AK547" s="225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97"/>
      <c r="C548" s="2498"/>
      <c r="D548" s="2498"/>
      <c r="E548" s="2498"/>
      <c r="F548" s="2498"/>
      <c r="G548" s="2498"/>
      <c r="H548" s="2499"/>
      <c r="I548" s="25" t="s">
        <v>442</v>
      </c>
      <c r="J548" s="25"/>
      <c r="K548" s="25"/>
      <c r="L548" s="25"/>
      <c r="M548" s="25"/>
      <c r="N548" s="25"/>
      <c r="O548" s="25"/>
      <c r="P548" s="25"/>
      <c r="Q548" s="25"/>
      <c r="R548" s="25"/>
      <c r="S548" s="25"/>
      <c r="T548" s="25"/>
      <c r="U548" s="25"/>
      <c r="V548" s="25"/>
      <c r="W548" s="25"/>
      <c r="X548" s="25"/>
      <c r="Y548" s="25"/>
      <c r="AC548" s="2467" t="s">
        <v>626</v>
      </c>
      <c r="AD548" s="2351"/>
      <c r="AE548" s="2351"/>
      <c r="AF548" s="2351"/>
      <c r="AG548" s="75" t="s">
        <v>424</v>
      </c>
      <c r="AH548" s="2250"/>
      <c r="AI548" s="2250"/>
      <c r="AJ548" s="2250"/>
      <c r="AK548" s="225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97"/>
      <c r="C549" s="2498"/>
      <c r="D549" s="2498"/>
      <c r="E549" s="2498"/>
      <c r="F549" s="2498"/>
      <c r="G549" s="2498"/>
      <c r="H549" s="2499"/>
      <c r="I549" s="80" t="s">
        <v>443</v>
      </c>
      <c r="J549" s="80"/>
      <c r="K549" s="80"/>
      <c r="L549" s="80"/>
      <c r="M549" s="80"/>
      <c r="N549" s="80"/>
      <c r="O549" s="80"/>
      <c r="P549" s="80"/>
      <c r="Q549" s="80"/>
      <c r="R549" s="80"/>
      <c r="S549" s="80"/>
      <c r="T549" s="80"/>
      <c r="U549" s="80"/>
      <c r="V549" s="80"/>
      <c r="W549" s="80"/>
      <c r="X549" s="80"/>
      <c r="Y549" s="80"/>
      <c r="Z549" s="80"/>
      <c r="AA549" s="80"/>
      <c r="AB549" s="80"/>
      <c r="AC549" s="2467" t="s">
        <v>626</v>
      </c>
      <c r="AD549" s="2351"/>
      <c r="AE549" s="2351"/>
      <c r="AF549" s="2351"/>
      <c r="AG549" s="65" t="s">
        <v>424</v>
      </c>
      <c r="AH549" s="2250"/>
      <c r="AI549" s="2250"/>
      <c r="AJ549" s="2250"/>
      <c r="AK549" s="225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97"/>
      <c r="C550" s="2498"/>
      <c r="D550" s="2498"/>
      <c r="E550" s="2498"/>
      <c r="F550" s="2498"/>
      <c r="G550" s="2498"/>
      <c r="H550" s="2499"/>
      <c r="I550" s="72" t="s">
        <v>595</v>
      </c>
      <c r="J550" s="72"/>
      <c r="K550" s="72"/>
      <c r="L550" s="72"/>
      <c r="M550" s="72"/>
      <c r="N550" s="72"/>
      <c r="O550" s="72"/>
      <c r="P550" s="72"/>
      <c r="Q550" s="72"/>
      <c r="R550" s="72"/>
      <c r="S550" s="72"/>
      <c r="T550" s="72"/>
      <c r="U550" s="72"/>
      <c r="V550" s="72"/>
      <c r="W550" s="72"/>
      <c r="X550" s="25"/>
      <c r="Y550" s="25"/>
      <c r="AC550" s="2467">
        <v>4</v>
      </c>
      <c r="AD550" s="2351"/>
      <c r="AE550" s="2351"/>
      <c r="AF550" s="2351"/>
      <c r="AG550" s="65" t="s">
        <v>424</v>
      </c>
      <c r="AH550" s="2250">
        <v>2022</v>
      </c>
      <c r="AI550" s="2250"/>
      <c r="AJ550" s="2250"/>
      <c r="AK550" s="225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97"/>
      <c r="C551" s="2498"/>
      <c r="D551" s="2498"/>
      <c r="E551" s="2498"/>
      <c r="F551" s="2498"/>
      <c r="G551" s="2498"/>
      <c r="H551" s="2499"/>
      <c r="I551" s="25" t="s">
        <v>596</v>
      </c>
      <c r="J551" s="25"/>
      <c r="K551" s="25"/>
      <c r="L551" s="25"/>
      <c r="M551" s="25"/>
      <c r="N551" s="25"/>
      <c r="O551" s="25"/>
      <c r="P551" s="25"/>
      <c r="Q551" s="25"/>
      <c r="R551" s="25"/>
      <c r="S551" s="25"/>
      <c r="T551" s="25"/>
      <c r="U551" s="25"/>
      <c r="V551" s="25"/>
      <c r="W551" s="25"/>
      <c r="X551" s="25"/>
      <c r="Y551" s="25"/>
      <c r="AC551" s="2467">
        <v>4</v>
      </c>
      <c r="AD551" s="2351"/>
      <c r="AE551" s="2351"/>
      <c r="AF551" s="2351"/>
      <c r="AG551" s="75" t="s">
        <v>424</v>
      </c>
      <c r="AH551" s="2250">
        <v>2022</v>
      </c>
      <c r="AI551" s="2250"/>
      <c r="AJ551" s="2250"/>
      <c r="AK551" s="225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97"/>
      <c r="C552" s="2498"/>
      <c r="D552" s="2498"/>
      <c r="E552" s="2498"/>
      <c r="F552" s="2498"/>
      <c r="G552" s="2498"/>
      <c r="H552" s="2499"/>
      <c r="I552" s="25" t="s">
        <v>597</v>
      </c>
      <c r="J552" s="25"/>
      <c r="K552" s="25"/>
      <c r="L552" s="25"/>
      <c r="M552" s="25"/>
      <c r="N552" s="25"/>
      <c r="O552" s="25"/>
      <c r="P552" s="25"/>
      <c r="Q552" s="25"/>
      <c r="R552" s="25"/>
      <c r="S552" s="25"/>
      <c r="T552" s="25"/>
      <c r="U552" s="25"/>
      <c r="V552" s="25"/>
      <c r="W552" s="25"/>
      <c r="X552" s="25"/>
      <c r="Y552" s="25"/>
      <c r="AC552" s="2467">
        <v>6</v>
      </c>
      <c r="AD552" s="2351"/>
      <c r="AE552" s="2351"/>
      <c r="AF552" s="2351"/>
      <c r="AG552" s="65" t="s">
        <v>424</v>
      </c>
      <c r="AH552" s="2250">
        <v>2024</v>
      </c>
      <c r="AI552" s="2250"/>
      <c r="AJ552" s="2250"/>
      <c r="AK552" s="225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97"/>
      <c r="C553" s="2498"/>
      <c r="D553" s="2498"/>
      <c r="E553" s="2498"/>
      <c r="F553" s="2498"/>
      <c r="G553" s="2498"/>
      <c r="H553" s="2499"/>
      <c r="I553" s="25" t="s">
        <v>598</v>
      </c>
      <c r="J553" s="25"/>
      <c r="K553" s="25"/>
      <c r="L553" s="25"/>
      <c r="M553" s="25"/>
      <c r="N553" s="25"/>
      <c r="O553" s="25"/>
      <c r="P553" s="25"/>
      <c r="Q553" s="25"/>
      <c r="R553" s="25"/>
      <c r="S553" s="25"/>
      <c r="T553" s="25"/>
      <c r="U553" s="25"/>
      <c r="V553" s="25"/>
      <c r="W553" s="25"/>
      <c r="X553" s="25"/>
      <c r="Y553" s="25"/>
      <c r="AC553" s="2467">
        <v>6</v>
      </c>
      <c r="AD553" s="2351"/>
      <c r="AE553" s="2351"/>
      <c r="AF553" s="2351"/>
      <c r="AG553" s="65" t="s">
        <v>424</v>
      </c>
      <c r="AH553" s="2250">
        <v>2024</v>
      </c>
      <c r="AI553" s="2250"/>
      <c r="AJ553" s="2250"/>
      <c r="AK553" s="225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00"/>
      <c r="C554" s="2501"/>
      <c r="D554" s="2501"/>
      <c r="E554" s="2501"/>
      <c r="F554" s="2501"/>
      <c r="G554" s="2501"/>
      <c r="H554" s="2502"/>
      <c r="I554" s="80" t="s">
        <v>482</v>
      </c>
      <c r="J554" s="80"/>
      <c r="K554" s="80"/>
      <c r="L554" s="80"/>
      <c r="M554" s="80"/>
      <c r="N554" s="80"/>
      <c r="O554" s="80"/>
      <c r="P554" s="80"/>
      <c r="Q554" s="80"/>
      <c r="R554" s="80"/>
      <c r="S554" s="80"/>
      <c r="T554" s="80"/>
      <c r="U554" s="80"/>
      <c r="V554" s="80"/>
      <c r="W554" s="80"/>
      <c r="X554" s="80"/>
      <c r="Y554" s="80"/>
      <c r="Z554" s="80"/>
      <c r="AA554" s="80"/>
      <c r="AB554" s="80"/>
      <c r="AC554" s="2467">
        <v>12</v>
      </c>
      <c r="AD554" s="2351"/>
      <c r="AE554" s="2351"/>
      <c r="AF554" s="2351"/>
      <c r="AG554" s="65" t="s">
        <v>424</v>
      </c>
      <c r="AH554" s="2250">
        <v>2024</v>
      </c>
      <c r="AI554" s="2250"/>
      <c r="AJ554" s="2250"/>
      <c r="AK554" s="225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2" t="s">
        <v>576</v>
      </c>
      <c r="B556" s="1862"/>
      <c r="C556" s="1862"/>
      <c r="D556" s="1862"/>
      <c r="E556" s="1862"/>
      <c r="F556" s="1862"/>
      <c r="G556" s="1862"/>
      <c r="H556" s="1862"/>
      <c r="I556" s="1862"/>
      <c r="J556" s="1862"/>
      <c r="K556" s="1862"/>
      <c r="L556" s="1862"/>
      <c r="M556" s="1862"/>
      <c r="N556" s="1862"/>
      <c r="O556" s="1862"/>
      <c r="P556" s="1862"/>
      <c r="Q556" s="1862"/>
      <c r="R556" s="1862"/>
      <c r="S556" s="1862"/>
      <c r="T556" s="1862"/>
      <c r="U556" s="1862"/>
      <c r="V556" s="1862"/>
      <c r="W556" s="1862"/>
      <c r="X556" s="1862"/>
      <c r="Y556" s="1862"/>
      <c r="Z556" s="1862"/>
      <c r="AA556" s="1862"/>
      <c r="AB556" s="1862"/>
      <c r="AC556" s="1862"/>
      <c r="AD556" s="1862"/>
      <c r="AE556" s="1862"/>
      <c r="AF556" s="1862"/>
      <c r="AG556" s="1862"/>
      <c r="AH556" s="1862"/>
      <c r="AI556" s="1862"/>
      <c r="AJ556" s="1862"/>
      <c r="AK556" s="1862"/>
      <c r="AL556" s="1862"/>
      <c r="AM556" s="1862"/>
      <c r="AN556" s="1862"/>
      <c r="AO556" s="1862"/>
      <c r="AP556" s="1862"/>
      <c r="AQ556" s="1862"/>
      <c r="AR556" s="1862"/>
      <c r="AS556" s="1862"/>
      <c r="AT556" s="1570"/>
      <c r="AU556" s="1570"/>
      <c r="AV556" s="1570"/>
      <c r="AW556" s="1570"/>
      <c r="AX556" s="1570"/>
      <c r="AY556" s="1570"/>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2"/>
      <c r="B557" s="1862"/>
      <c r="C557" s="1862"/>
      <c r="D557" s="1862"/>
      <c r="E557" s="1862"/>
      <c r="F557" s="1862"/>
      <c r="G557" s="1862"/>
      <c r="H557" s="1862"/>
      <c r="I557" s="1862"/>
      <c r="J557" s="1862"/>
      <c r="K557" s="1862"/>
      <c r="L557" s="1862"/>
      <c r="M557" s="1862"/>
      <c r="N557" s="1862"/>
      <c r="O557" s="1862"/>
      <c r="P557" s="1862"/>
      <c r="Q557" s="1862"/>
      <c r="R557" s="1862"/>
      <c r="S557" s="1862"/>
      <c r="T557" s="1862"/>
      <c r="U557" s="1862"/>
      <c r="V557" s="1862"/>
      <c r="W557" s="1862"/>
      <c r="X557" s="1862"/>
      <c r="Y557" s="1862"/>
      <c r="Z557" s="1862"/>
      <c r="AA557" s="1862"/>
      <c r="AB557" s="1862"/>
      <c r="AC557" s="1862"/>
      <c r="AD557" s="1862"/>
      <c r="AE557" s="1862"/>
      <c r="AF557" s="1862"/>
      <c r="AG557" s="1862"/>
      <c r="AH557" s="1862"/>
      <c r="AI557" s="1862"/>
      <c r="AJ557" s="1862"/>
      <c r="AK557" s="1862"/>
      <c r="AL557" s="1862"/>
      <c r="AM557" s="1862"/>
      <c r="AN557" s="1862"/>
      <c r="AO557" s="1862"/>
      <c r="AP557" s="1862"/>
      <c r="AQ557" s="1862"/>
      <c r="AR557" s="1862"/>
      <c r="AS557" s="1862"/>
      <c r="AT557" s="1570"/>
      <c r="AU557" s="1570"/>
      <c r="AV557" s="1570"/>
      <c r="AW557" s="1570"/>
      <c r="AX557" s="1570"/>
      <c r="AY557" s="1570"/>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68" t="s">
        <v>484</v>
      </c>
      <c r="C563" s="2074"/>
      <c r="D563" s="2074"/>
      <c r="E563" s="2074"/>
      <c r="F563" s="2074"/>
      <c r="G563" s="2074"/>
      <c r="H563" s="2074"/>
      <c r="I563" s="2074"/>
      <c r="J563" s="2074"/>
      <c r="K563" s="2074"/>
      <c r="L563" s="2074"/>
      <c r="M563" s="2074"/>
      <c r="N563" s="2074"/>
      <c r="O563" s="2074"/>
      <c r="P563" s="2075"/>
      <c r="Q563" s="2468" t="s">
        <v>2379</v>
      </c>
      <c r="R563" s="2469"/>
      <c r="S563" s="2470"/>
      <c r="T563" s="2468" t="s">
        <v>2377</v>
      </c>
      <c r="U563" s="2469"/>
      <c r="V563" s="2470"/>
      <c r="W563" s="2468" t="s">
        <v>485</v>
      </c>
      <c r="X563" s="2469"/>
      <c r="Y563" s="2470"/>
      <c r="Z563" s="2468" t="s">
        <v>2378</v>
      </c>
      <c r="AA563" s="2469"/>
      <c r="AB563" s="2469"/>
      <c r="AC563" s="2469"/>
      <c r="AD563" s="2469"/>
      <c r="AE563" s="2468" t="s">
        <v>2151</v>
      </c>
      <c r="AF563" s="2469"/>
      <c r="AG563" s="2469"/>
      <c r="AH563" s="2470"/>
      <c r="AI563" s="2468" t="s">
        <v>2152</v>
      </c>
      <c r="AJ563" s="2469"/>
      <c r="AK563" s="2469"/>
      <c r="AL563" s="2470"/>
      <c r="AM563" s="2468" t="s">
        <v>486</v>
      </c>
      <c r="AN563" s="2469"/>
      <c r="AO563" s="2469"/>
      <c r="AP563" s="2469"/>
      <c r="AQ563" s="2469"/>
      <c r="AR563" s="2469"/>
      <c r="AS563" s="2470"/>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58" t="s">
        <v>2599</v>
      </c>
      <c r="D564" s="2058"/>
      <c r="E564" s="2058"/>
      <c r="F564" s="2058"/>
      <c r="G564" s="2058"/>
      <c r="H564" s="2058"/>
      <c r="I564" s="2058"/>
      <c r="J564" s="2058"/>
      <c r="K564" s="2058"/>
      <c r="L564" s="2058"/>
      <c r="M564" s="2058"/>
      <c r="N564" s="2058"/>
      <c r="O564" s="2058"/>
      <c r="P564" s="2059"/>
      <c r="Q564" s="2047">
        <v>30</v>
      </c>
      <c r="R564" s="2047"/>
      <c r="S564" s="2048"/>
      <c r="T564" s="2046"/>
      <c r="U564" s="2047"/>
      <c r="V564" s="2048"/>
      <c r="W564" s="2037">
        <v>3.5000000000000003E-2</v>
      </c>
      <c r="X564" s="2038"/>
      <c r="Y564" s="2039"/>
      <c r="Z564" s="2512" t="s">
        <v>1384</v>
      </c>
      <c r="AA564" s="2512"/>
      <c r="AB564" s="2512"/>
      <c r="AC564" s="2512"/>
      <c r="AD564" s="2512"/>
      <c r="AE564" s="2067">
        <v>1</v>
      </c>
      <c r="AF564" s="2068"/>
      <c r="AG564" s="2068"/>
      <c r="AH564" s="2069"/>
      <c r="AI564" s="2503" t="s">
        <v>2604</v>
      </c>
      <c r="AJ564" s="2504"/>
      <c r="AK564" s="2504"/>
      <c r="AL564" s="2505"/>
      <c r="AM564" s="2015">
        <v>62500000</v>
      </c>
      <c r="AN564" s="2016"/>
      <c r="AO564" s="2016"/>
      <c r="AP564" s="2016"/>
      <c r="AQ564" s="2016"/>
      <c r="AR564" s="2016"/>
      <c r="AS564" s="2017"/>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8" t="s">
        <v>2600</v>
      </c>
      <c r="D565" s="2058"/>
      <c r="E565" s="2058"/>
      <c r="F565" s="2058"/>
      <c r="G565" s="2058"/>
      <c r="H565" s="2058"/>
      <c r="I565" s="2058"/>
      <c r="J565" s="2058"/>
      <c r="K565" s="2058"/>
      <c r="L565" s="2058"/>
      <c r="M565" s="2058"/>
      <c r="N565" s="2058"/>
      <c r="O565" s="2058"/>
      <c r="P565" s="2059"/>
      <c r="Q565" s="2046">
        <v>30</v>
      </c>
      <c r="R565" s="2047"/>
      <c r="S565" s="2048"/>
      <c r="T565" s="2046"/>
      <c r="U565" s="2047"/>
      <c r="V565" s="2048"/>
      <c r="W565" s="2037">
        <v>3.5000000000000003E-2</v>
      </c>
      <c r="X565" s="2038"/>
      <c r="Y565" s="2039"/>
      <c r="Z565" s="2512" t="s">
        <v>1384</v>
      </c>
      <c r="AA565" s="2512"/>
      <c r="AB565" s="2512"/>
      <c r="AC565" s="2512"/>
      <c r="AD565" s="2512"/>
      <c r="AE565" s="2067">
        <v>1</v>
      </c>
      <c r="AF565" s="2068"/>
      <c r="AG565" s="2068"/>
      <c r="AH565" s="2069"/>
      <c r="AI565" s="2503" t="s">
        <v>2604</v>
      </c>
      <c r="AJ565" s="2504"/>
      <c r="AK565" s="2504"/>
      <c r="AL565" s="2505"/>
      <c r="AM565" s="2015">
        <v>15000000</v>
      </c>
      <c r="AN565" s="2016"/>
      <c r="AO565" s="2016"/>
      <c r="AP565" s="2016"/>
      <c r="AQ565" s="2016"/>
      <c r="AR565" s="2016"/>
      <c r="AS565" s="201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58" t="s">
        <v>2601</v>
      </c>
      <c r="D566" s="2058"/>
      <c r="E566" s="2058"/>
      <c r="F566" s="2058"/>
      <c r="G566" s="2058"/>
      <c r="H566" s="2058"/>
      <c r="I566" s="2058"/>
      <c r="J566" s="2058"/>
      <c r="K566" s="2058"/>
      <c r="L566" s="2058"/>
      <c r="M566" s="2058"/>
      <c r="N566" s="2058"/>
      <c r="O566" s="2058"/>
      <c r="P566" s="2059"/>
      <c r="Q566" s="2046"/>
      <c r="R566" s="2047"/>
      <c r="S566" s="2048"/>
      <c r="T566" s="2046"/>
      <c r="U566" s="2047"/>
      <c r="V566" s="2048"/>
      <c r="W566" s="2037"/>
      <c r="X566" s="2038"/>
      <c r="Y566" s="2039"/>
      <c r="Z566" s="2512" t="s">
        <v>1384</v>
      </c>
      <c r="AA566" s="2512"/>
      <c r="AB566" s="2512"/>
      <c r="AC566" s="2512"/>
      <c r="AD566" s="2512"/>
      <c r="AE566" s="2067"/>
      <c r="AF566" s="2068"/>
      <c r="AG566" s="2068"/>
      <c r="AH566" s="2069"/>
      <c r="AI566" s="2503" t="s">
        <v>2605</v>
      </c>
      <c r="AJ566" s="2504"/>
      <c r="AK566" s="2504"/>
      <c r="AL566" s="2505"/>
      <c r="AM566" s="2015">
        <v>18322100</v>
      </c>
      <c r="AN566" s="2016"/>
      <c r="AO566" s="2016"/>
      <c r="AP566" s="2016"/>
      <c r="AQ566" s="2016"/>
      <c r="AR566" s="2016"/>
      <c r="AS566" s="201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58" t="s">
        <v>2602</v>
      </c>
      <c r="D567" s="2058"/>
      <c r="E567" s="2058"/>
      <c r="F567" s="2058"/>
      <c r="G567" s="2058"/>
      <c r="H567" s="2058"/>
      <c r="I567" s="2058"/>
      <c r="J567" s="2058"/>
      <c r="K567" s="2058"/>
      <c r="L567" s="2058"/>
      <c r="M567" s="2058"/>
      <c r="N567" s="2058"/>
      <c r="O567" s="2058"/>
      <c r="P567" s="2059"/>
      <c r="Q567" s="2046"/>
      <c r="R567" s="2047"/>
      <c r="S567" s="2048"/>
      <c r="T567" s="2046"/>
      <c r="U567" s="2047"/>
      <c r="V567" s="2048"/>
      <c r="W567" s="2037"/>
      <c r="X567" s="2038"/>
      <c r="Y567" s="2039"/>
      <c r="Z567" s="2512" t="s">
        <v>1384</v>
      </c>
      <c r="AA567" s="2512"/>
      <c r="AB567" s="2512"/>
      <c r="AC567" s="2512"/>
      <c r="AD567" s="2512"/>
      <c r="AE567" s="2067"/>
      <c r="AF567" s="2068"/>
      <c r="AG567" s="2068"/>
      <c r="AH567" s="2069"/>
      <c r="AI567" s="2503" t="s">
        <v>2605</v>
      </c>
      <c r="AJ567" s="2504"/>
      <c r="AK567" s="2504"/>
      <c r="AL567" s="2505"/>
      <c r="AM567" s="2015">
        <v>1282880</v>
      </c>
      <c r="AN567" s="2016"/>
      <c r="AO567" s="2016"/>
      <c r="AP567" s="2016"/>
      <c r="AQ567" s="2016"/>
      <c r="AR567" s="2016"/>
      <c r="AS567" s="201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58" t="s">
        <v>2127</v>
      </c>
      <c r="D568" s="2058"/>
      <c r="E568" s="2058"/>
      <c r="F568" s="2058"/>
      <c r="G568" s="2058"/>
      <c r="H568" s="2058"/>
      <c r="I568" s="2058"/>
      <c r="J568" s="2058"/>
      <c r="K568" s="2058"/>
      <c r="L568" s="2058"/>
      <c r="M568" s="2058"/>
      <c r="N568" s="2058"/>
      <c r="O568" s="2058"/>
      <c r="P568" s="2059"/>
      <c r="Q568" s="2046"/>
      <c r="R568" s="2047"/>
      <c r="S568" s="2048"/>
      <c r="T568" s="2046"/>
      <c r="U568" s="2047"/>
      <c r="V568" s="2048"/>
      <c r="W568" s="2037"/>
      <c r="X568" s="2038"/>
      <c r="Y568" s="2039"/>
      <c r="Z568" s="2512" t="s">
        <v>1384</v>
      </c>
      <c r="AA568" s="2512"/>
      <c r="AB568" s="2512"/>
      <c r="AC568" s="2512"/>
      <c r="AD568" s="2512"/>
      <c r="AE568" s="2067"/>
      <c r="AF568" s="2068"/>
      <c r="AG568" s="2068"/>
      <c r="AH568" s="2069"/>
      <c r="AI568" s="2503" t="s">
        <v>2605</v>
      </c>
      <c r="AJ568" s="2504"/>
      <c r="AK568" s="2504"/>
      <c r="AL568" s="2505"/>
      <c r="AM568" s="2015">
        <v>12918475</v>
      </c>
      <c r="AN568" s="2016"/>
      <c r="AO568" s="2016"/>
      <c r="AP568" s="2016"/>
      <c r="AQ568" s="2016"/>
      <c r="AR568" s="2016"/>
      <c r="AS568" s="201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58" t="s">
        <v>2603</v>
      </c>
      <c r="D569" s="2058"/>
      <c r="E569" s="2058"/>
      <c r="F569" s="2058"/>
      <c r="G569" s="2058"/>
      <c r="H569" s="2058"/>
      <c r="I569" s="2058"/>
      <c r="J569" s="2058"/>
      <c r="K569" s="2058"/>
      <c r="L569" s="2058"/>
      <c r="M569" s="2058"/>
      <c r="N569" s="2058"/>
      <c r="O569" s="2058"/>
      <c r="P569" s="2059"/>
      <c r="Q569" s="2046"/>
      <c r="R569" s="2047"/>
      <c r="S569" s="2048"/>
      <c r="T569" s="2046"/>
      <c r="U569" s="2047"/>
      <c r="V569" s="2048"/>
      <c r="W569" s="2037"/>
      <c r="X569" s="2038"/>
      <c r="Y569" s="2039"/>
      <c r="Z569" s="2512" t="s">
        <v>1384</v>
      </c>
      <c r="AA569" s="2512"/>
      <c r="AB569" s="2512"/>
      <c r="AC569" s="2512"/>
      <c r="AD569" s="2512"/>
      <c r="AE569" s="2067"/>
      <c r="AF569" s="2068"/>
      <c r="AG569" s="2068"/>
      <c r="AH569" s="2069"/>
      <c r="AI569" s="2503" t="s">
        <v>2605</v>
      </c>
      <c r="AJ569" s="2504"/>
      <c r="AK569" s="2504"/>
      <c r="AL569" s="2505"/>
      <c r="AM569" s="2015">
        <v>778448</v>
      </c>
      <c r="AN569" s="2016"/>
      <c r="AO569" s="2016"/>
      <c r="AP569" s="2016"/>
      <c r="AQ569" s="2016"/>
      <c r="AR569" s="2016"/>
      <c r="AS569" s="201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58" t="s">
        <v>2613</v>
      </c>
      <c r="D570" s="2058"/>
      <c r="E570" s="2058"/>
      <c r="F570" s="2058"/>
      <c r="G570" s="2058"/>
      <c r="H570" s="2058"/>
      <c r="I570" s="2058"/>
      <c r="J570" s="2058"/>
      <c r="K570" s="2058"/>
      <c r="L570" s="2058"/>
      <c r="M570" s="2058"/>
      <c r="N570" s="2058"/>
      <c r="O570" s="2058"/>
      <c r="P570" s="2059"/>
      <c r="Q570" s="2046">
        <v>30</v>
      </c>
      <c r="R570" s="2047"/>
      <c r="S570" s="2048"/>
      <c r="T570" s="2046"/>
      <c r="U570" s="2047"/>
      <c r="V570" s="2048"/>
      <c r="W570" s="2037">
        <v>0.04</v>
      </c>
      <c r="X570" s="2038"/>
      <c r="Y570" s="2039"/>
      <c r="Z570" s="2512" t="s">
        <v>1384</v>
      </c>
      <c r="AA570" s="2512"/>
      <c r="AB570" s="2512"/>
      <c r="AC570" s="2512"/>
      <c r="AD570" s="2512"/>
      <c r="AE570" s="2067">
        <v>2</v>
      </c>
      <c r="AF570" s="2068"/>
      <c r="AG570" s="2068"/>
      <c r="AH570" s="2069"/>
      <c r="AI570" s="2503" t="s">
        <v>2604</v>
      </c>
      <c r="AJ570" s="2504"/>
      <c r="AK570" s="2504"/>
      <c r="AL570" s="2505"/>
      <c r="AM570" s="2015">
        <v>13654030</v>
      </c>
      <c r="AN570" s="2016"/>
      <c r="AO570" s="2016"/>
      <c r="AP570" s="2016"/>
      <c r="AQ570" s="2016"/>
      <c r="AR570" s="2016"/>
      <c r="AS570" s="201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58"/>
      <c r="D571" s="2058"/>
      <c r="E571" s="2058"/>
      <c r="F571" s="2058"/>
      <c r="G571" s="2058"/>
      <c r="H571" s="2058"/>
      <c r="I571" s="2058"/>
      <c r="J571" s="2058"/>
      <c r="K571" s="2058"/>
      <c r="L571" s="2058"/>
      <c r="M571" s="2058"/>
      <c r="N571" s="2058"/>
      <c r="O571" s="2058"/>
      <c r="P571" s="2059"/>
      <c r="Q571" s="2046"/>
      <c r="R571" s="2047"/>
      <c r="S571" s="2048"/>
      <c r="T571" s="2046"/>
      <c r="U571" s="2047"/>
      <c r="V571" s="2048"/>
      <c r="W571" s="2037"/>
      <c r="X571" s="2038"/>
      <c r="Y571" s="2039"/>
      <c r="Z571" s="2512" t="s">
        <v>1384</v>
      </c>
      <c r="AA571" s="2512"/>
      <c r="AB571" s="2512"/>
      <c r="AC571" s="2512"/>
      <c r="AD571" s="2512"/>
      <c r="AE571" s="2067"/>
      <c r="AF571" s="2068"/>
      <c r="AG571" s="2068"/>
      <c r="AH571" s="2069"/>
      <c r="AI571" s="2503"/>
      <c r="AJ571" s="2504"/>
      <c r="AK571" s="2504"/>
      <c r="AL571" s="2505"/>
      <c r="AM571" s="2015"/>
      <c r="AN571" s="2016"/>
      <c r="AO571" s="2016"/>
      <c r="AP571" s="2016"/>
      <c r="AQ571" s="2016"/>
      <c r="AR571" s="2016"/>
      <c r="AS571" s="2017"/>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58"/>
      <c r="D572" s="2058"/>
      <c r="E572" s="2058"/>
      <c r="F572" s="2058"/>
      <c r="G572" s="2058"/>
      <c r="H572" s="2058"/>
      <c r="I572" s="2058"/>
      <c r="J572" s="2058"/>
      <c r="K572" s="2058"/>
      <c r="L572" s="2058"/>
      <c r="M572" s="2058"/>
      <c r="N572" s="2058"/>
      <c r="O572" s="2058"/>
      <c r="P572" s="2059"/>
      <c r="Q572" s="2046"/>
      <c r="R572" s="2047"/>
      <c r="S572" s="2048"/>
      <c r="T572" s="2046"/>
      <c r="U572" s="2047"/>
      <c r="V572" s="2048"/>
      <c r="W572" s="2037"/>
      <c r="X572" s="2038"/>
      <c r="Y572" s="2039"/>
      <c r="Z572" s="2512" t="s">
        <v>1384</v>
      </c>
      <c r="AA572" s="2512"/>
      <c r="AB572" s="2512"/>
      <c r="AC572" s="2512"/>
      <c r="AD572" s="2512"/>
      <c r="AE572" s="2067"/>
      <c r="AF572" s="2068"/>
      <c r="AG572" s="2068"/>
      <c r="AH572" s="2069"/>
      <c r="AI572" s="2503"/>
      <c r="AJ572" s="2504"/>
      <c r="AK572" s="2504"/>
      <c r="AL572" s="2505"/>
      <c r="AM572" s="2015"/>
      <c r="AN572" s="2016"/>
      <c r="AO572" s="2016"/>
      <c r="AP572" s="2016"/>
      <c r="AQ572" s="2016"/>
      <c r="AR572" s="2016"/>
      <c r="AS572" s="2017"/>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58"/>
      <c r="D573" s="2058"/>
      <c r="E573" s="2058"/>
      <c r="F573" s="2058"/>
      <c r="G573" s="2058"/>
      <c r="H573" s="2058"/>
      <c r="I573" s="2058"/>
      <c r="J573" s="2058"/>
      <c r="K573" s="2058"/>
      <c r="L573" s="2058"/>
      <c r="M573" s="2058"/>
      <c r="N573" s="2058"/>
      <c r="O573" s="2058"/>
      <c r="P573" s="2059"/>
      <c r="Q573" s="2046"/>
      <c r="R573" s="2047"/>
      <c r="S573" s="2048"/>
      <c r="T573" s="2046"/>
      <c r="U573" s="2047"/>
      <c r="V573" s="2048"/>
      <c r="W573" s="2037"/>
      <c r="X573" s="2038"/>
      <c r="Y573" s="2039"/>
      <c r="Z573" s="2512" t="s">
        <v>1384</v>
      </c>
      <c r="AA573" s="2512"/>
      <c r="AB573" s="2512"/>
      <c r="AC573" s="2512"/>
      <c r="AD573" s="2512"/>
      <c r="AE573" s="2067"/>
      <c r="AF573" s="2068"/>
      <c r="AG573" s="2068"/>
      <c r="AH573" s="2069"/>
      <c r="AI573" s="2503"/>
      <c r="AJ573" s="2504"/>
      <c r="AK573" s="2504"/>
      <c r="AL573" s="2505"/>
      <c r="AM573" s="2015"/>
      <c r="AN573" s="2016"/>
      <c r="AO573" s="2016"/>
      <c r="AP573" s="2016"/>
      <c r="AQ573" s="2016"/>
      <c r="AR573" s="2016"/>
      <c r="AS573" s="201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58"/>
      <c r="D574" s="2058"/>
      <c r="E574" s="2058"/>
      <c r="F574" s="2058"/>
      <c r="G574" s="2058"/>
      <c r="H574" s="2058"/>
      <c r="I574" s="2058"/>
      <c r="J574" s="2058"/>
      <c r="K574" s="2058"/>
      <c r="L574" s="2058"/>
      <c r="M574" s="2058"/>
      <c r="N574" s="2058"/>
      <c r="O574" s="2058"/>
      <c r="P574" s="2059"/>
      <c r="Q574" s="2046"/>
      <c r="R574" s="2047"/>
      <c r="S574" s="2048"/>
      <c r="T574" s="2046"/>
      <c r="U574" s="2047"/>
      <c r="V574" s="2048"/>
      <c r="W574" s="2037"/>
      <c r="X574" s="2038"/>
      <c r="Y574" s="2039"/>
      <c r="Z574" s="2512" t="s">
        <v>1384</v>
      </c>
      <c r="AA574" s="2512"/>
      <c r="AB574" s="2512"/>
      <c r="AC574" s="2512"/>
      <c r="AD574" s="2512"/>
      <c r="AE574" s="2067"/>
      <c r="AF574" s="2068"/>
      <c r="AG574" s="2068"/>
      <c r="AH574" s="2069"/>
      <c r="AI574" s="2503"/>
      <c r="AJ574" s="2504"/>
      <c r="AK574" s="2504"/>
      <c r="AL574" s="2505"/>
      <c r="AM574" s="2015"/>
      <c r="AN574" s="2016"/>
      <c r="AO574" s="2016"/>
      <c r="AP574" s="2016"/>
      <c r="AQ574" s="2016"/>
      <c r="AR574" s="2016"/>
      <c r="AS574" s="201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58"/>
      <c r="D575" s="2058"/>
      <c r="E575" s="2058"/>
      <c r="F575" s="2058"/>
      <c r="G575" s="2058"/>
      <c r="H575" s="2058"/>
      <c r="I575" s="2058"/>
      <c r="J575" s="2058"/>
      <c r="K575" s="2058"/>
      <c r="L575" s="2058"/>
      <c r="M575" s="2058"/>
      <c r="N575" s="2058"/>
      <c r="O575" s="2058"/>
      <c r="P575" s="2059"/>
      <c r="Q575" s="2046"/>
      <c r="R575" s="2047"/>
      <c r="S575" s="2048"/>
      <c r="T575" s="2046"/>
      <c r="U575" s="2047"/>
      <c r="V575" s="2048"/>
      <c r="W575" s="2037"/>
      <c r="X575" s="2038"/>
      <c r="Y575" s="2039"/>
      <c r="Z575" s="2512" t="s">
        <v>1384</v>
      </c>
      <c r="AA575" s="2512"/>
      <c r="AB575" s="2512"/>
      <c r="AC575" s="2512"/>
      <c r="AD575" s="2512"/>
      <c r="AE575" s="2067"/>
      <c r="AF575" s="2068"/>
      <c r="AG575" s="2068"/>
      <c r="AH575" s="2069"/>
      <c r="AI575" s="2503"/>
      <c r="AJ575" s="2504"/>
      <c r="AK575" s="2504"/>
      <c r="AL575" s="2505"/>
      <c r="AM575" s="2015"/>
      <c r="AN575" s="2016"/>
      <c r="AO575" s="2016"/>
      <c r="AP575" s="2016"/>
      <c r="AQ575" s="2016"/>
      <c r="AR575" s="2016"/>
      <c r="AS575" s="201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36" t="s">
        <v>132</v>
      </c>
      <c r="C576" s="2337"/>
      <c r="D576" s="2337"/>
      <c r="E576" s="2337"/>
      <c r="F576" s="2337"/>
      <c r="G576" s="2337"/>
      <c r="H576" s="2337"/>
      <c r="I576" s="2337"/>
      <c r="J576" s="2337"/>
      <c r="K576" s="2337"/>
      <c r="L576" s="2337"/>
      <c r="M576" s="2337"/>
      <c r="N576" s="2337"/>
      <c r="O576" s="2337"/>
      <c r="P576" s="2337"/>
      <c r="Q576" s="2337"/>
      <c r="R576" s="2337"/>
      <c r="S576" s="2337"/>
      <c r="T576" s="2337"/>
      <c r="U576" s="2418"/>
      <c r="V576" s="2337"/>
      <c r="W576" s="2337"/>
      <c r="X576" s="2337"/>
      <c r="Y576" s="2337"/>
      <c r="Z576" s="2337"/>
      <c r="AA576" s="2337"/>
      <c r="AB576" s="2337"/>
      <c r="AC576" s="2337"/>
      <c r="AD576" s="2337"/>
      <c r="AE576" s="2337"/>
      <c r="AF576" s="2337"/>
      <c r="AG576" s="2337"/>
      <c r="AH576" s="2337"/>
      <c r="AI576" s="2337"/>
      <c r="AJ576" s="2337"/>
      <c r="AK576" s="2337"/>
      <c r="AL576" s="2338"/>
      <c r="AM576" s="2344">
        <f>SUM(AM564:AS575)</f>
        <v>124455933</v>
      </c>
      <c r="AN576" s="2345"/>
      <c r="AO576" s="2345"/>
      <c r="AP576" s="2345"/>
      <c r="AQ576" s="2345"/>
      <c r="AR576" s="2345"/>
      <c r="AS576" s="234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14" t="str">
        <f>C564</f>
        <v>Citibank - Tax Exempt</v>
      </c>
      <c r="H578" s="2014"/>
      <c r="I578" s="2014"/>
      <c r="J578" s="2014"/>
      <c r="K578" s="2014"/>
      <c r="L578" s="2014"/>
      <c r="M578" s="2014"/>
      <c r="N578" s="2014"/>
      <c r="O578" s="2014"/>
      <c r="P578" s="2014"/>
      <c r="Q578" s="2014"/>
      <c r="R578" s="2014"/>
      <c r="S578" s="14"/>
      <c r="T578" s="87" t="s">
        <v>118</v>
      </c>
      <c r="U578" s="12" t="s">
        <v>496</v>
      </c>
      <c r="Z578" s="2014" t="str">
        <f>C565</f>
        <v>Citibank - Recycled Bonds</v>
      </c>
      <c r="AA578" s="2014"/>
      <c r="AB578" s="2014"/>
      <c r="AC578" s="2014"/>
      <c r="AD578" s="2014"/>
      <c r="AE578" s="2014"/>
      <c r="AF578" s="2014"/>
      <c r="AG578" s="2014"/>
      <c r="AH578" s="2014"/>
      <c r="AI578" s="2014"/>
      <c r="AJ578" s="2014"/>
      <c r="AK578" s="201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5" t="s">
        <v>2608</v>
      </c>
      <c r="H579" s="2055"/>
      <c r="I579" s="2055"/>
      <c r="J579" s="2055"/>
      <c r="K579" s="2055"/>
      <c r="L579" s="2055"/>
      <c r="M579" s="2055"/>
      <c r="N579" s="2055"/>
      <c r="O579" s="2055"/>
      <c r="P579" s="2055"/>
      <c r="Q579" s="2055"/>
      <c r="R579" s="2055"/>
      <c r="S579" s="14"/>
      <c r="T579" s="35"/>
      <c r="U579" s="12" t="s">
        <v>90</v>
      </c>
      <c r="Z579" s="2055" t="str">
        <f>G579</f>
        <v>325 E. Hillcrest Drive, Suite 160</v>
      </c>
      <c r="AA579" s="2055"/>
      <c r="AB579" s="2055"/>
      <c r="AC579" s="2055"/>
      <c r="AD579" s="2055"/>
      <c r="AE579" s="2055"/>
      <c r="AF579" s="2055"/>
      <c r="AG579" s="2055"/>
      <c r="AH579" s="2055"/>
      <c r="AI579" s="2055"/>
      <c r="AJ579" s="2055"/>
      <c r="AK579" s="2055"/>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55" t="s">
        <v>2609</v>
      </c>
      <c r="H580" s="2055"/>
      <c r="I580" s="2055"/>
      <c r="J580" s="2055"/>
      <c r="K580" s="2055"/>
      <c r="L580" s="2055"/>
      <c r="M580" s="2055"/>
      <c r="N580" s="2055"/>
      <c r="O580" s="2055"/>
      <c r="P580" s="2055"/>
      <c r="Q580" s="2055"/>
      <c r="R580" s="2055"/>
      <c r="S580" s="88"/>
      <c r="T580" s="35"/>
      <c r="U580" s="12" t="s">
        <v>615</v>
      </c>
      <c r="Z580" s="2055" t="str">
        <f t="shared" ref="Z580:Z581" si="1">G580</f>
        <v>Thousand Oaks</v>
      </c>
      <c r="AA580" s="2055"/>
      <c r="AB580" s="2055"/>
      <c r="AC580" s="2055"/>
      <c r="AD580" s="2055"/>
      <c r="AE580" s="2055"/>
      <c r="AF580" s="2055"/>
      <c r="AG580" s="2055"/>
      <c r="AH580" s="2055"/>
      <c r="AI580" s="2055"/>
      <c r="AJ580" s="2055"/>
      <c r="AK580" s="2055"/>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5" t="s">
        <v>2610</v>
      </c>
      <c r="H581" s="2055"/>
      <c r="I581" s="2055"/>
      <c r="J581" s="2055"/>
      <c r="K581" s="2055"/>
      <c r="L581" s="2055"/>
      <c r="M581" s="2055"/>
      <c r="N581" s="2055"/>
      <c r="O581" s="2055"/>
      <c r="P581" s="2055"/>
      <c r="Q581" s="2055"/>
      <c r="R581" s="2055"/>
      <c r="S581" s="14"/>
      <c r="T581" s="35"/>
      <c r="U581" s="12" t="s">
        <v>17</v>
      </c>
      <c r="Z581" s="2055" t="str">
        <f t="shared" si="1"/>
        <v>Jay Abeywardena</v>
      </c>
      <c r="AA581" s="2055"/>
      <c r="AB581" s="2055"/>
      <c r="AC581" s="2055"/>
      <c r="AD581" s="2055"/>
      <c r="AE581" s="2055"/>
      <c r="AF581" s="2055"/>
      <c r="AG581" s="2055"/>
      <c r="AH581" s="2055"/>
      <c r="AI581" s="2055"/>
      <c r="AJ581" s="2055"/>
      <c r="AK581" s="205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56" t="s">
        <v>2611</v>
      </c>
      <c r="H582" s="2057"/>
      <c r="I582" s="2057"/>
      <c r="J582" s="2057"/>
      <c r="K582" s="2057"/>
      <c r="L582" s="2057"/>
      <c r="O582" s="137" t="s">
        <v>212</v>
      </c>
      <c r="P582" s="2066"/>
      <c r="Q582" s="2066"/>
      <c r="R582" s="2066"/>
      <c r="S582" s="16"/>
      <c r="T582" s="35"/>
      <c r="U582" s="12" t="s">
        <v>325</v>
      </c>
      <c r="Z582" s="2057" t="str">
        <f>G582</f>
        <v>805-557-0943</v>
      </c>
      <c r="AA582" s="2057"/>
      <c r="AB582" s="2057"/>
      <c r="AC582" s="2057"/>
      <c r="AD582" s="2057"/>
      <c r="AE582" s="2057"/>
      <c r="AH582" s="137" t="s">
        <v>212</v>
      </c>
      <c r="AI582" s="2066"/>
      <c r="AJ582" s="2066"/>
      <c r="AK582" s="206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5" t="s">
        <v>2612</v>
      </c>
      <c r="I583" s="2055"/>
      <c r="J583" s="2055"/>
      <c r="K583" s="2055"/>
      <c r="L583" s="2055"/>
      <c r="M583" s="2055"/>
      <c r="N583" s="2055"/>
      <c r="O583" s="2055"/>
      <c r="P583" s="2055"/>
      <c r="Q583" s="2055"/>
      <c r="R583" s="2055"/>
      <c r="S583" s="14"/>
      <c r="T583" s="35"/>
      <c r="U583" s="12" t="s">
        <v>18</v>
      </c>
      <c r="AA583" s="2055" t="str">
        <f>H583</f>
        <v>Tax Exempt</v>
      </c>
      <c r="AB583" s="2055"/>
      <c r="AC583" s="2055"/>
      <c r="AD583" s="2055"/>
      <c r="AE583" s="2055"/>
      <c r="AF583" s="2055"/>
      <c r="AG583" s="2055"/>
      <c r="AH583" s="2055"/>
      <c r="AI583" s="2055"/>
      <c r="AJ583" s="2055"/>
      <c r="AK583" s="205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394"/>
      <c r="N584" s="2394"/>
      <c r="O584" s="2394"/>
      <c r="P584" s="2394"/>
      <c r="Q584" s="2394"/>
      <c r="R584" s="2394"/>
      <c r="S584" s="14"/>
      <c r="T584" s="35"/>
      <c r="U584" s="509" t="s">
        <v>1385</v>
      </c>
      <c r="V584" s="719"/>
      <c r="W584" s="719"/>
      <c r="X584" s="719"/>
      <c r="Y584" s="719"/>
      <c r="Z584" s="719"/>
      <c r="AA584" s="14"/>
      <c r="AB584" s="14"/>
      <c r="AC584" s="14"/>
      <c r="AD584" s="14"/>
      <c r="AE584" s="14"/>
      <c r="AF584" s="2394"/>
      <c r="AG584" s="2394"/>
      <c r="AH584" s="2394"/>
      <c r="AI584" s="2394"/>
      <c r="AJ584" s="2394"/>
      <c r="AK584" s="2394"/>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8" t="s">
        <v>578</v>
      </c>
      <c r="O585" s="2028"/>
      <c r="T585" s="35"/>
      <c r="U585" s="12" t="s">
        <v>20</v>
      </c>
      <c r="AG585" s="2028" t="s">
        <v>578</v>
      </c>
      <c r="AH585" s="202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14" t="str">
        <f>C566</f>
        <v>Tax Credit Equity - Boston Financing</v>
      </c>
      <c r="H587" s="2014"/>
      <c r="I587" s="2014"/>
      <c r="J587" s="2014"/>
      <c r="K587" s="2014"/>
      <c r="L587" s="2014"/>
      <c r="M587" s="2014"/>
      <c r="N587" s="2014"/>
      <c r="O587" s="2014"/>
      <c r="P587" s="2014"/>
      <c r="Q587" s="2014"/>
      <c r="R587" s="2014"/>
      <c r="T587" s="87" t="s">
        <v>616</v>
      </c>
      <c r="U587" s="12" t="s">
        <v>496</v>
      </c>
      <c r="Z587" s="2014" t="str">
        <f>C567</f>
        <v xml:space="preserve">Deferred Reserve Funding </v>
      </c>
      <c r="AA587" s="2014"/>
      <c r="AB587" s="2014"/>
      <c r="AC587" s="2014"/>
      <c r="AD587" s="2014"/>
      <c r="AE587" s="2014"/>
      <c r="AF587" s="2014"/>
      <c r="AG587" s="2014"/>
      <c r="AH587" s="2014"/>
      <c r="AI587" s="2014"/>
      <c r="AJ587" s="2014"/>
      <c r="AK587" s="201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5" t="s">
        <v>2606</v>
      </c>
      <c r="H588" s="2055"/>
      <c r="I588" s="2055"/>
      <c r="J588" s="2055"/>
      <c r="K588" s="2055"/>
      <c r="L588" s="2055"/>
      <c r="M588" s="2055"/>
      <c r="N588" s="2055"/>
      <c r="O588" s="2055"/>
      <c r="P588" s="2055"/>
      <c r="Q588" s="2055"/>
      <c r="R588" s="2055"/>
      <c r="T588" s="35"/>
      <c r="U588" s="12" t="s">
        <v>90</v>
      </c>
      <c r="Z588" s="2055" t="s">
        <v>2540</v>
      </c>
      <c r="AA588" s="2055"/>
      <c r="AB588" s="2055"/>
      <c r="AC588" s="2055"/>
      <c r="AD588" s="2055"/>
      <c r="AE588" s="2055"/>
      <c r="AF588" s="2055"/>
      <c r="AG588" s="2055"/>
      <c r="AH588" s="2055"/>
      <c r="AI588" s="2055"/>
      <c r="AJ588" s="2055"/>
      <c r="AK588" s="205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288" t="s">
        <v>527</v>
      </c>
      <c r="H589" s="2288"/>
      <c r="I589" s="2288"/>
      <c r="J589" s="2288"/>
      <c r="K589" s="2288"/>
      <c r="L589" s="2288"/>
      <c r="M589" s="2288"/>
      <c r="N589" s="2288"/>
      <c r="O589" s="2288"/>
      <c r="P589" s="2288"/>
      <c r="Q589" s="2288"/>
      <c r="R589" s="2288"/>
      <c r="T589" s="35"/>
      <c r="U589" s="12" t="s">
        <v>615</v>
      </c>
      <c r="Z589" s="2288" t="s">
        <v>2556</v>
      </c>
      <c r="AA589" s="2288"/>
      <c r="AB589" s="2288"/>
      <c r="AC589" s="2288"/>
      <c r="AD589" s="2288"/>
      <c r="AE589" s="2288"/>
      <c r="AF589" s="2288"/>
      <c r="AG589" s="2288"/>
      <c r="AH589" s="2288"/>
      <c r="AI589" s="2288"/>
      <c r="AJ589" s="2288"/>
      <c r="AK589" s="228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288" t="s">
        <v>2580</v>
      </c>
      <c r="H590" s="2288"/>
      <c r="I590" s="2288"/>
      <c r="J590" s="2288"/>
      <c r="K590" s="2288"/>
      <c r="L590" s="2288"/>
      <c r="M590" s="2288"/>
      <c r="N590" s="2288"/>
      <c r="O590" s="2288"/>
      <c r="P590" s="2288"/>
      <c r="Q590" s="2288"/>
      <c r="R590" s="2288"/>
      <c r="T590" s="35"/>
      <c r="U590" s="12" t="s">
        <v>17</v>
      </c>
      <c r="Z590" s="2288" t="s">
        <v>2542</v>
      </c>
      <c r="AA590" s="2288"/>
      <c r="AB590" s="2288"/>
      <c r="AC590" s="2288"/>
      <c r="AD590" s="2288"/>
      <c r="AE590" s="2288"/>
      <c r="AF590" s="2288"/>
      <c r="AG590" s="2288"/>
      <c r="AH590" s="2288"/>
      <c r="AI590" s="2288"/>
      <c r="AJ590" s="2288"/>
      <c r="AK590" s="228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56" t="s">
        <v>2581</v>
      </c>
      <c r="H591" s="2057"/>
      <c r="I591" s="2057"/>
      <c r="J591" s="2057"/>
      <c r="K591" s="2057"/>
      <c r="L591" s="2057"/>
      <c r="O591" s="137" t="s">
        <v>212</v>
      </c>
      <c r="P591" s="2066"/>
      <c r="Q591" s="2066"/>
      <c r="R591" s="2066"/>
      <c r="T591" s="35"/>
      <c r="U591" s="12" t="s">
        <v>325</v>
      </c>
      <c r="Z591" s="2056" t="s">
        <v>2543</v>
      </c>
      <c r="AA591" s="2057"/>
      <c r="AB591" s="2057"/>
      <c r="AC591" s="2057"/>
      <c r="AD591" s="2057"/>
      <c r="AE591" s="2057"/>
      <c r="AH591" s="137" t="s">
        <v>212</v>
      </c>
      <c r="AI591" s="2066"/>
      <c r="AJ591" s="2066"/>
      <c r="AK591" s="206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5" t="s">
        <v>2607</v>
      </c>
      <c r="I592" s="2055"/>
      <c r="J592" s="2055"/>
      <c r="K592" s="2055"/>
      <c r="L592" s="2055"/>
      <c r="M592" s="2055"/>
      <c r="N592" s="2055"/>
      <c r="O592" s="2055"/>
      <c r="P592" s="2055"/>
      <c r="Q592" s="2055"/>
      <c r="R592" s="2055"/>
      <c r="T592" s="35"/>
      <c r="U592" s="12" t="s">
        <v>18</v>
      </c>
      <c r="AA592" s="2055" t="s">
        <v>491</v>
      </c>
      <c r="AB592" s="2055"/>
      <c r="AC592" s="2055"/>
      <c r="AD592" s="2055"/>
      <c r="AE592" s="2055"/>
      <c r="AF592" s="2055"/>
      <c r="AG592" s="2055"/>
      <c r="AH592" s="2055"/>
      <c r="AI592" s="2055"/>
      <c r="AJ592" s="2055"/>
      <c r="AK592" s="205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8" t="s">
        <v>578</v>
      </c>
      <c r="O593" s="2028"/>
      <c r="T593" s="35"/>
      <c r="U593" s="12" t="s">
        <v>20</v>
      </c>
      <c r="AG593" s="2028" t="s">
        <v>578</v>
      </c>
      <c r="AH593" s="202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14" t="str">
        <f>C568</f>
        <v>Deferred Developer Fee</v>
      </c>
      <c r="H595" s="2014"/>
      <c r="I595" s="2014"/>
      <c r="J595" s="2014"/>
      <c r="K595" s="2014"/>
      <c r="L595" s="2014"/>
      <c r="M595" s="2014"/>
      <c r="N595" s="2014"/>
      <c r="O595" s="2014"/>
      <c r="P595" s="2014"/>
      <c r="Q595" s="2014"/>
      <c r="R595" s="2014"/>
      <c r="T595" s="87" t="s">
        <v>619</v>
      </c>
      <c r="U595" s="12" t="s">
        <v>496</v>
      </c>
      <c r="Z595" s="2014" t="str">
        <f>C569</f>
        <v>Lease Up Income</v>
      </c>
      <c r="AA595" s="2014"/>
      <c r="AB595" s="2014"/>
      <c r="AC595" s="2014"/>
      <c r="AD595" s="2014"/>
      <c r="AE595" s="2014"/>
      <c r="AF595" s="2014"/>
      <c r="AG595" s="2014"/>
      <c r="AH595" s="2014"/>
      <c r="AI595" s="2014"/>
      <c r="AJ595" s="2014"/>
      <c r="AK595" s="201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5" t="str">
        <f>Z588</f>
        <v>1700 S. El Camino Real, Suite 400</v>
      </c>
      <c r="H596" s="2055"/>
      <c r="I596" s="2055"/>
      <c r="J596" s="2055"/>
      <c r="K596" s="2055"/>
      <c r="L596" s="2055"/>
      <c r="M596" s="2055"/>
      <c r="N596" s="2055"/>
      <c r="O596" s="2055"/>
      <c r="P596" s="2055"/>
      <c r="Q596" s="2055"/>
      <c r="R596" s="2055"/>
      <c r="T596" s="35"/>
      <c r="U596" s="12" t="s">
        <v>90</v>
      </c>
      <c r="Z596" s="2055" t="str">
        <f>Z588</f>
        <v>1700 S. El Camino Real, Suite 400</v>
      </c>
      <c r="AA596" s="2055"/>
      <c r="AB596" s="2055"/>
      <c r="AC596" s="2055"/>
      <c r="AD596" s="2055"/>
      <c r="AE596" s="2055"/>
      <c r="AF596" s="2055"/>
      <c r="AG596" s="2055"/>
      <c r="AH596" s="2055"/>
      <c r="AI596" s="2055"/>
      <c r="AJ596" s="2055"/>
      <c r="AK596" s="205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55" t="str">
        <f>Z589</f>
        <v>San Mateo, CA 94402</v>
      </c>
      <c r="H597" s="2055"/>
      <c r="I597" s="2055"/>
      <c r="J597" s="2055"/>
      <c r="K597" s="2055"/>
      <c r="L597" s="2055"/>
      <c r="M597" s="2055"/>
      <c r="N597" s="2055"/>
      <c r="O597" s="2055"/>
      <c r="P597" s="2055"/>
      <c r="Q597" s="2055"/>
      <c r="R597" s="2055"/>
      <c r="T597" s="35"/>
      <c r="U597" s="12" t="s">
        <v>615</v>
      </c>
      <c r="Z597" s="2055" t="str">
        <f t="shared" ref="Z597:Z598" si="2">Z589</f>
        <v>San Mateo, CA 94402</v>
      </c>
      <c r="AA597" s="2055"/>
      <c r="AB597" s="2055"/>
      <c r="AC597" s="2055"/>
      <c r="AD597" s="2055"/>
      <c r="AE597" s="2055"/>
      <c r="AF597" s="2055"/>
      <c r="AG597" s="2055"/>
      <c r="AH597" s="2055"/>
      <c r="AI597" s="2055"/>
      <c r="AJ597" s="2055"/>
      <c r="AK597" s="205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5" t="str">
        <f>Z590</f>
        <v>Jonathan Emami</v>
      </c>
      <c r="H598" s="2055"/>
      <c r="I598" s="2055"/>
      <c r="J598" s="2055"/>
      <c r="K598" s="2055"/>
      <c r="L598" s="2055"/>
      <c r="M598" s="2055"/>
      <c r="N598" s="2055"/>
      <c r="O598" s="2055"/>
      <c r="P598" s="2055"/>
      <c r="Q598" s="2055"/>
      <c r="R598" s="2055"/>
      <c r="T598" s="35"/>
      <c r="U598" s="12" t="s">
        <v>17</v>
      </c>
      <c r="Z598" s="2055" t="str">
        <f t="shared" si="2"/>
        <v>Jonathan Emami</v>
      </c>
      <c r="AA598" s="2055"/>
      <c r="AB598" s="2055"/>
      <c r="AC598" s="2055"/>
      <c r="AD598" s="2055"/>
      <c r="AE598" s="2055"/>
      <c r="AF598" s="2055"/>
      <c r="AG598" s="2055"/>
      <c r="AH598" s="2055"/>
      <c r="AI598" s="2055"/>
      <c r="AJ598" s="2055"/>
      <c r="AK598" s="205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57" t="str">
        <f>Z591</f>
        <v>415-941-5832</v>
      </c>
      <c r="H599" s="2057"/>
      <c r="I599" s="2057"/>
      <c r="J599" s="2057"/>
      <c r="K599" s="2057"/>
      <c r="L599" s="2057"/>
      <c r="O599" s="137" t="s">
        <v>212</v>
      </c>
      <c r="P599" s="2066"/>
      <c r="Q599" s="2066"/>
      <c r="R599" s="2066"/>
      <c r="T599" s="35"/>
      <c r="U599" s="12" t="s">
        <v>325</v>
      </c>
      <c r="Z599" s="2057" t="str">
        <f>Z591</f>
        <v>415-941-5832</v>
      </c>
      <c r="AA599" s="2057"/>
      <c r="AB599" s="2057"/>
      <c r="AC599" s="2057"/>
      <c r="AD599" s="2057"/>
      <c r="AE599" s="2057"/>
      <c r="AH599" s="137" t="s">
        <v>212</v>
      </c>
      <c r="AI599" s="2066"/>
      <c r="AJ599" s="2066"/>
      <c r="AK599" s="206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5" t="str">
        <f>AA592</f>
        <v>Deferred</v>
      </c>
      <c r="I600" s="2055"/>
      <c r="J600" s="2055"/>
      <c r="K600" s="2055"/>
      <c r="L600" s="2055"/>
      <c r="M600" s="2055"/>
      <c r="N600" s="2055"/>
      <c r="O600" s="2055"/>
      <c r="P600" s="2055"/>
      <c r="Q600" s="2055"/>
      <c r="R600" s="2055"/>
      <c r="T600" s="35"/>
      <c r="U600" s="12" t="s">
        <v>18</v>
      </c>
      <c r="AA600" s="2055" t="str">
        <f>AA592</f>
        <v>Deferred</v>
      </c>
      <c r="AB600" s="2055"/>
      <c r="AC600" s="2055"/>
      <c r="AD600" s="2055"/>
      <c r="AE600" s="2055"/>
      <c r="AF600" s="2055"/>
      <c r="AG600" s="2055"/>
      <c r="AH600" s="2055"/>
      <c r="AI600" s="2055"/>
      <c r="AJ600" s="2055"/>
      <c r="AK600" s="205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28" t="s">
        <v>578</v>
      </c>
      <c r="O601" s="2028"/>
      <c r="T601" s="35"/>
      <c r="U601" s="12" t="s">
        <v>20</v>
      </c>
      <c r="AG601" s="2028" t="s">
        <v>578</v>
      </c>
      <c r="AH601" s="2028"/>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14" t="str">
        <f>C570</f>
        <v>Citibank - Taxable</v>
      </c>
      <c r="H603" s="2014"/>
      <c r="I603" s="2014"/>
      <c r="J603" s="2014"/>
      <c r="K603" s="2014"/>
      <c r="L603" s="2014"/>
      <c r="M603" s="2014"/>
      <c r="N603" s="2014"/>
      <c r="O603" s="2014"/>
      <c r="P603" s="2014"/>
      <c r="Q603" s="2014"/>
      <c r="R603" s="2014"/>
      <c r="T603" s="87" t="s">
        <v>488</v>
      </c>
      <c r="U603" s="12" t="s">
        <v>496</v>
      </c>
      <c r="Z603" s="2014">
        <f>C571</f>
        <v>0</v>
      </c>
      <c r="AA603" s="2014"/>
      <c r="AB603" s="2014"/>
      <c r="AC603" s="2014"/>
      <c r="AD603" s="2014"/>
      <c r="AE603" s="2014"/>
      <c r="AF603" s="2014"/>
      <c r="AG603" s="2014"/>
      <c r="AH603" s="2014"/>
      <c r="AI603" s="2014"/>
      <c r="AJ603" s="2014"/>
      <c r="AK603" s="201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5" t="str">
        <f>G579</f>
        <v>325 E. Hillcrest Drive, Suite 160</v>
      </c>
      <c r="H604" s="2055"/>
      <c r="I604" s="2055"/>
      <c r="J604" s="2055"/>
      <c r="K604" s="2055"/>
      <c r="L604" s="2055"/>
      <c r="M604" s="2055"/>
      <c r="N604" s="2055"/>
      <c r="O604" s="2055"/>
      <c r="P604" s="2055"/>
      <c r="Q604" s="2055"/>
      <c r="R604" s="2055"/>
      <c r="T604" s="35"/>
      <c r="U604" s="12" t="s">
        <v>90</v>
      </c>
      <c r="Z604" s="2055"/>
      <c r="AA604" s="2055"/>
      <c r="AB604" s="2055"/>
      <c r="AC604" s="2055"/>
      <c r="AD604" s="2055"/>
      <c r="AE604" s="2055"/>
      <c r="AF604" s="2055"/>
      <c r="AG604" s="2055"/>
      <c r="AH604" s="2055"/>
      <c r="AI604" s="2055"/>
      <c r="AJ604" s="2055"/>
      <c r="AK604" s="205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55" t="str">
        <f t="shared" ref="G605:G606" si="3">G580</f>
        <v>Thousand Oaks</v>
      </c>
      <c r="H605" s="2055"/>
      <c r="I605" s="2055"/>
      <c r="J605" s="2055"/>
      <c r="K605" s="2055"/>
      <c r="L605" s="2055"/>
      <c r="M605" s="2055"/>
      <c r="N605" s="2055"/>
      <c r="O605" s="2055"/>
      <c r="P605" s="2055"/>
      <c r="Q605" s="2055"/>
      <c r="R605" s="2055"/>
      <c r="T605" s="35"/>
      <c r="U605" s="12" t="s">
        <v>615</v>
      </c>
      <c r="Z605" s="2288"/>
      <c r="AA605" s="2288"/>
      <c r="AB605" s="2288"/>
      <c r="AC605" s="2288"/>
      <c r="AD605" s="2288"/>
      <c r="AE605" s="2288"/>
      <c r="AF605" s="2288"/>
      <c r="AG605" s="2288"/>
      <c r="AH605" s="2288"/>
      <c r="AI605" s="2288"/>
      <c r="AJ605" s="2288"/>
      <c r="AK605" s="228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5" t="str">
        <f t="shared" si="3"/>
        <v>Jay Abeywardena</v>
      </c>
      <c r="H606" s="2055"/>
      <c r="I606" s="2055"/>
      <c r="J606" s="2055"/>
      <c r="K606" s="2055"/>
      <c r="L606" s="2055"/>
      <c r="M606" s="2055"/>
      <c r="N606" s="2055"/>
      <c r="O606" s="2055"/>
      <c r="P606" s="2055"/>
      <c r="Q606" s="2055"/>
      <c r="R606" s="2055"/>
      <c r="T606" s="35"/>
      <c r="U606" s="12" t="s">
        <v>17</v>
      </c>
      <c r="Z606" s="2288"/>
      <c r="AA606" s="2288"/>
      <c r="AB606" s="2288"/>
      <c r="AC606" s="2288"/>
      <c r="AD606" s="2288"/>
      <c r="AE606" s="2288"/>
      <c r="AF606" s="2288"/>
      <c r="AG606" s="2288"/>
      <c r="AH606" s="2288"/>
      <c r="AI606" s="2288"/>
      <c r="AJ606" s="2288"/>
      <c r="AK606" s="228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57" t="str">
        <f>G582</f>
        <v>805-557-0943</v>
      </c>
      <c r="H607" s="2057"/>
      <c r="I607" s="2057"/>
      <c r="J607" s="2057"/>
      <c r="K607" s="2057"/>
      <c r="L607" s="2057"/>
      <c r="M607" s="12"/>
      <c r="N607" s="12"/>
      <c r="O607" s="137" t="s">
        <v>212</v>
      </c>
      <c r="P607" s="2066"/>
      <c r="Q607" s="2066"/>
      <c r="R607" s="2066"/>
      <c r="S607" s="12"/>
      <c r="T607" s="35"/>
      <c r="U607" s="12" t="s">
        <v>325</v>
      </c>
      <c r="V607" s="12"/>
      <c r="W607" s="12"/>
      <c r="X607" s="12"/>
      <c r="Y607" s="12"/>
      <c r="Z607" s="2057"/>
      <c r="AA607" s="2057"/>
      <c r="AB607" s="2057"/>
      <c r="AC607" s="2057"/>
      <c r="AD607" s="2057"/>
      <c r="AE607" s="2057"/>
      <c r="AF607" s="12"/>
      <c r="AG607" s="12"/>
      <c r="AH607" s="137" t="s">
        <v>212</v>
      </c>
      <c r="AI607" s="2066"/>
      <c r="AJ607" s="2066"/>
      <c r="AK607" s="206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5" t="s">
        <v>2614</v>
      </c>
      <c r="I608" s="2055"/>
      <c r="J608" s="2055"/>
      <c r="K608" s="2055"/>
      <c r="L608" s="2055"/>
      <c r="M608" s="2055"/>
      <c r="N608" s="2055"/>
      <c r="O608" s="2055"/>
      <c r="P608" s="2055"/>
      <c r="Q608" s="2055"/>
      <c r="R608" s="2055"/>
      <c r="S608" s="12"/>
      <c r="T608" s="35"/>
      <c r="U608" s="12" t="s">
        <v>18</v>
      </c>
      <c r="V608" s="12"/>
      <c r="W608" s="12"/>
      <c r="X608" s="12"/>
      <c r="Y608" s="12"/>
      <c r="Z608" s="12"/>
      <c r="AA608" s="2055"/>
      <c r="AB608" s="2055"/>
      <c r="AC608" s="2055"/>
      <c r="AD608" s="2055"/>
      <c r="AE608" s="2055"/>
      <c r="AF608" s="2055"/>
      <c r="AG608" s="2055"/>
      <c r="AH608" s="2055"/>
      <c r="AI608" s="2055"/>
      <c r="AJ608" s="2055"/>
      <c r="AK608" s="205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28" t="s">
        <v>578</v>
      </c>
      <c r="O609" s="2028"/>
      <c r="P609" s="12"/>
      <c r="Q609" s="12"/>
      <c r="R609" s="12"/>
      <c r="S609" s="12"/>
      <c r="T609" s="35"/>
      <c r="U609" s="12" t="s">
        <v>20</v>
      </c>
      <c r="V609" s="12"/>
      <c r="W609" s="12"/>
      <c r="X609" s="12"/>
      <c r="Y609" s="12"/>
      <c r="Z609" s="12"/>
      <c r="AA609" s="12"/>
      <c r="AB609" s="12"/>
      <c r="AC609" s="12"/>
      <c r="AD609" s="12"/>
      <c r="AE609" s="12"/>
      <c r="AF609" s="12"/>
      <c r="AG609" s="2028" t="s">
        <v>706</v>
      </c>
      <c r="AH609" s="2028"/>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354"/>
      <c r="BH609" s="2355"/>
      <c r="BI609" s="185" t="s">
        <v>508</v>
      </c>
      <c r="BJ609" s="186"/>
      <c r="BK609" s="2354"/>
      <c r="BL609" s="2355"/>
      <c r="BM609" s="58"/>
      <c r="BN609" s="2171" t="s">
        <v>668</v>
      </c>
      <c r="BO609" s="2172"/>
      <c r="BP609" s="2172"/>
      <c r="BQ609" s="2172"/>
      <c r="BR609" s="2173"/>
      <c r="BS609" s="2102" t="s">
        <v>334</v>
      </c>
      <c r="BT609" s="2102"/>
      <c r="BU609" s="2102"/>
      <c r="BV609" s="2102"/>
      <c r="BW609" s="2102"/>
      <c r="BX609" s="2102" t="s">
        <v>168</v>
      </c>
      <c r="BY609" s="2102"/>
      <c r="BZ609" s="2102"/>
      <c r="CA609" s="2102"/>
      <c r="CB609" s="2102"/>
      <c r="CC609" s="2102" t="s">
        <v>169</v>
      </c>
      <c r="CD609" s="2102"/>
      <c r="CE609" s="2102"/>
      <c r="CF609" s="2102"/>
      <c r="CG609" s="2102"/>
      <c r="CH609" s="2102" t="s">
        <v>493</v>
      </c>
      <c r="CI609" s="2102"/>
      <c r="CJ609" s="2102"/>
      <c r="CK609" s="2102"/>
      <c r="CL609" s="2102"/>
      <c r="CM609" s="2102" t="s">
        <v>31</v>
      </c>
      <c r="CN609" s="2102"/>
      <c r="CO609" s="2102"/>
      <c r="CP609" s="2102"/>
      <c r="CQ609" s="2102"/>
      <c r="CR609" s="1802"/>
      <c r="CS609" s="2102" t="s">
        <v>668</v>
      </c>
      <c r="CT609" s="2102"/>
      <c r="CU609" s="2102"/>
      <c r="CV609" s="2102"/>
      <c r="CW609" s="2102"/>
      <c r="CX609" s="2102" t="s">
        <v>334</v>
      </c>
      <c r="CY609" s="2102"/>
      <c r="CZ609" s="2102"/>
      <c r="DA609" s="2102"/>
      <c r="DB609" s="2102"/>
      <c r="DC609" s="2102" t="s">
        <v>168</v>
      </c>
      <c r="DD609" s="2102"/>
      <c r="DE609" s="2102"/>
      <c r="DF609" s="2102"/>
      <c r="DG609" s="2102"/>
      <c r="DH609" s="2102" t="s">
        <v>169</v>
      </c>
      <c r="DI609" s="2102"/>
      <c r="DJ609" s="2102"/>
      <c r="DK609" s="2102"/>
      <c r="DL609" s="2102"/>
      <c r="DM609" s="2102" t="s">
        <v>493</v>
      </c>
      <c r="DN609" s="2102"/>
      <c r="DO609" s="2102"/>
      <c r="DP609" s="2102"/>
      <c r="DQ609" s="2102"/>
      <c r="DR609" s="2102" t="s">
        <v>31</v>
      </c>
      <c r="DS609" s="2102"/>
      <c r="DT609" s="2102"/>
      <c r="DU609" s="2102"/>
      <c r="DV609" s="2102"/>
      <c r="DX609" s="2102" t="s">
        <v>668</v>
      </c>
      <c r="DY609" s="2102"/>
      <c r="DZ609" s="2102"/>
      <c r="EA609" s="2102"/>
      <c r="EB609" s="2102"/>
      <c r="EC609" s="2102" t="s">
        <v>334</v>
      </c>
      <c r="ED609" s="2102"/>
      <c r="EE609" s="2102"/>
      <c r="EF609" s="2102"/>
      <c r="EG609" s="2102"/>
      <c r="EH609" s="2102" t="s">
        <v>168</v>
      </c>
      <c r="EI609" s="2102"/>
      <c r="EJ609" s="2102"/>
      <c r="EK609" s="2102"/>
      <c r="EL609" s="2102"/>
      <c r="EM609" s="2102" t="s">
        <v>169</v>
      </c>
      <c r="EN609" s="2102"/>
      <c r="EO609" s="2102"/>
      <c r="EP609" s="2102"/>
      <c r="EQ609" s="2102"/>
      <c r="ER609" s="2102" t="s">
        <v>493</v>
      </c>
      <c r="ES609" s="2102"/>
      <c r="ET609" s="2102"/>
      <c r="EU609" s="2102"/>
      <c r="EV609" s="2102"/>
      <c r="EW609" s="2102" t="s">
        <v>31</v>
      </c>
      <c r="EX609" s="2102"/>
      <c r="EY609" s="2102"/>
      <c r="EZ609" s="2102"/>
      <c r="FA609" s="2102"/>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3">
        <f t="shared" ref="BE610:BE634" si="4">IF(AND(AH728&lt;=0.5,AH728&gt;=0.36),1,0)</f>
        <v>0</v>
      </c>
      <c r="BF610" s="2035"/>
      <c r="BG610" s="2354">
        <f t="shared" ref="BG610:BG634" si="5">IF(BE610=1,G728,0)</f>
        <v>0</v>
      </c>
      <c r="BH610" s="2355"/>
      <c r="BI610" s="2033">
        <f t="shared" ref="BI610:BI634" si="6">IF(AND(AH728&lt;=0.35,AH728&gt;0),1,0)</f>
        <v>1</v>
      </c>
      <c r="BJ610" s="2035"/>
      <c r="BK610" s="2354">
        <f t="shared" ref="BK610:BK634" si="7">IF(BI610=1,G728,0)</f>
        <v>2</v>
      </c>
      <c r="BL610" s="2355"/>
      <c r="BM610" s="58"/>
      <c r="BN610" s="2025">
        <f t="shared" ref="BN610:BN634" si="8">IF(B728="SRO/Studio",G728,0)</f>
        <v>0</v>
      </c>
      <c r="BO610" s="2026"/>
      <c r="BP610" s="2026"/>
      <c r="BQ610" s="2026"/>
      <c r="BR610" s="2027"/>
      <c r="BS610" s="2024">
        <f t="shared" ref="BS610:BS634" si="9">IF(B728="1 Bedroom",G728,0)</f>
        <v>2</v>
      </c>
      <c r="BT610" s="2024"/>
      <c r="BU610" s="2024"/>
      <c r="BV610" s="2024"/>
      <c r="BW610" s="2024"/>
      <c r="BX610" s="2024">
        <f t="shared" ref="BX610:BX634" si="10">IF(B728="2 Bedrooms",G728,0)</f>
        <v>0</v>
      </c>
      <c r="BY610" s="2024"/>
      <c r="BZ610" s="2024"/>
      <c r="CA610" s="2024"/>
      <c r="CB610" s="2024"/>
      <c r="CC610" s="2024">
        <f t="shared" ref="CC610:CC634" si="11">IF(B728="3 Bedrooms",G728,0)</f>
        <v>0</v>
      </c>
      <c r="CD610" s="2024"/>
      <c r="CE610" s="2024"/>
      <c r="CF610" s="2024"/>
      <c r="CG610" s="2024"/>
      <c r="CH610" s="2024">
        <f t="shared" ref="CH610:CH634" si="12">IF(B728="4 Bedrooms",G728,0)</f>
        <v>0</v>
      </c>
      <c r="CI610" s="2024"/>
      <c r="CJ610" s="2024"/>
      <c r="CK610" s="2024"/>
      <c r="CL610" s="2024"/>
      <c r="CM610" s="2024">
        <f t="shared" ref="CM610:CM634" si="13">IF(B728="5 Bedrooms",G728,0)</f>
        <v>0</v>
      </c>
      <c r="CN610" s="2024"/>
      <c r="CO610" s="2024"/>
      <c r="CP610" s="2024"/>
      <c r="CQ610" s="2024"/>
      <c r="CR610" s="265"/>
      <c r="CS610" s="2045">
        <f t="shared" ref="CS610:CS634" si="14">IF(AND(B728="SRO/Studio",AH728&lt;=0.3),G728,0)</f>
        <v>0</v>
      </c>
      <c r="CT610" s="2045"/>
      <c r="CU610" s="2045"/>
      <c r="CV610" s="2045"/>
      <c r="CW610" s="2045"/>
      <c r="CX610" s="2045">
        <f t="shared" ref="CX610:CX634" si="15">IF(AND(B728="1 Bedroom",AH728&lt;=0.3),G728,0)</f>
        <v>2</v>
      </c>
      <c r="CY610" s="2045"/>
      <c r="CZ610" s="2045"/>
      <c r="DA610" s="2045"/>
      <c r="DB610" s="2045"/>
      <c r="DC610" s="2045">
        <f t="shared" ref="DC610:DC634" si="16">IF(AND(B728="2 Bedrooms",AH728&lt;=0.3),G728,0)</f>
        <v>0</v>
      </c>
      <c r="DD610" s="2045"/>
      <c r="DE610" s="2045"/>
      <c r="DF610" s="2045"/>
      <c r="DG610" s="2045"/>
      <c r="DH610" s="2045">
        <f t="shared" ref="DH610:DH634" si="17">IF(AND(B728="3 Bedrooms",AH728&lt;=0.3),G728,0)</f>
        <v>0</v>
      </c>
      <c r="DI610" s="2045"/>
      <c r="DJ610" s="2045"/>
      <c r="DK610" s="2045"/>
      <c r="DL610" s="2045"/>
      <c r="DM610" s="2045">
        <f t="shared" ref="DM610:DM634" si="18">IF(AND(B728="4 Bedrooms",AH728&lt;=0.3),G728,0)</f>
        <v>0</v>
      </c>
      <c r="DN610" s="2045"/>
      <c r="DO610" s="2045"/>
      <c r="DP610" s="2045"/>
      <c r="DQ610" s="2045"/>
      <c r="DR610" s="2045">
        <f t="shared" ref="DR610:DR634" si="19">IF(AND(B728="5 Bedrooms",AH728&lt;=0.3),G728,0)</f>
        <v>0</v>
      </c>
      <c r="DS610" s="2045"/>
      <c r="DT610" s="2045"/>
      <c r="DU610" s="2045"/>
      <c r="DV610" s="2045"/>
      <c r="DX610" s="2033" t="str">
        <f t="shared" ref="DX610:DX634" si="20">IF(BN610&gt;0,O728," ")</f>
        <v xml:space="preserve"> </v>
      </c>
      <c r="DY610" s="2034"/>
      <c r="DZ610" s="2034"/>
      <c r="EA610" s="2034"/>
      <c r="EB610" s="2035"/>
      <c r="EC610" s="2033">
        <f t="shared" ref="EC610:EC634" si="21">IF(BS610&gt;0,O728," ")</f>
        <v>890</v>
      </c>
      <c r="ED610" s="2034"/>
      <c r="EE610" s="2034"/>
      <c r="EF610" s="2034"/>
      <c r="EG610" s="2035"/>
      <c r="EH610" s="2033" t="str">
        <f t="shared" ref="EH610:EH634" si="22">IF(BX610&gt;0,O728," ")</f>
        <v xml:space="preserve"> </v>
      </c>
      <c r="EI610" s="2034"/>
      <c r="EJ610" s="2034"/>
      <c r="EK610" s="2034"/>
      <c r="EL610" s="2035"/>
      <c r="EM610" s="2033" t="str">
        <f t="shared" ref="EM610:EM634" si="23">IF(CC610&gt;0,O728," ")</f>
        <v xml:space="preserve"> </v>
      </c>
      <c r="EN610" s="2034"/>
      <c r="EO610" s="2034"/>
      <c r="EP610" s="2034"/>
      <c r="EQ610" s="2035"/>
      <c r="ER610" s="2033" t="str">
        <f t="shared" ref="ER610:ER634" si="24">IF(CH610&gt;0,O728," ")</f>
        <v xml:space="preserve"> </v>
      </c>
      <c r="ES610" s="2034"/>
      <c r="ET610" s="2034"/>
      <c r="EU610" s="2034"/>
      <c r="EV610" s="2035"/>
      <c r="EW610" s="2033" t="str">
        <f t="shared" ref="EW610:EW634" si="25">IF(CM610&gt;0,O728," ")</f>
        <v xml:space="preserve"> </v>
      </c>
      <c r="EX610" s="2034"/>
      <c r="EY610" s="2034"/>
      <c r="EZ610" s="2034"/>
      <c r="FA610" s="2035"/>
    </row>
    <row r="611" spans="1:157" s="7" customFormat="1" ht="12.75">
      <c r="A611" s="87" t="s">
        <v>494</v>
      </c>
      <c r="B611" s="12" t="s">
        <v>496</v>
      </c>
      <c r="C611" s="12"/>
      <c r="D611" s="12"/>
      <c r="E611" s="12"/>
      <c r="F611" s="12"/>
      <c r="G611" s="2014">
        <f>C572</f>
        <v>0</v>
      </c>
      <c r="H611" s="2014"/>
      <c r="I611" s="2014"/>
      <c r="J611" s="2014"/>
      <c r="K611" s="2014"/>
      <c r="L611" s="2014"/>
      <c r="M611" s="2014"/>
      <c r="N611" s="2014"/>
      <c r="O611" s="2014"/>
      <c r="P611" s="2014"/>
      <c r="Q611" s="2014"/>
      <c r="R611" s="2014"/>
      <c r="S611" s="12"/>
      <c r="T611" s="87" t="s">
        <v>681</v>
      </c>
      <c r="U611" s="12" t="s">
        <v>496</v>
      </c>
      <c r="V611" s="12"/>
      <c r="W611" s="12"/>
      <c r="X611" s="12"/>
      <c r="Y611" s="12"/>
      <c r="Z611" s="2014">
        <f>C573</f>
        <v>0</v>
      </c>
      <c r="AA611" s="2014"/>
      <c r="AB611" s="2014"/>
      <c r="AC611" s="2014"/>
      <c r="AD611" s="2014"/>
      <c r="AE611" s="2014"/>
      <c r="AF611" s="2014"/>
      <c r="AG611" s="2014"/>
      <c r="AH611" s="2014"/>
      <c r="AI611" s="2014"/>
      <c r="AJ611" s="2014"/>
      <c r="AK611" s="2014"/>
      <c r="AL611" s="12"/>
      <c r="AM611" s="39"/>
      <c r="AN611" s="39"/>
      <c r="AO611" s="39"/>
      <c r="AP611" s="39"/>
      <c r="AQ611" s="39"/>
      <c r="AR611" s="39"/>
      <c r="AS611" s="39"/>
      <c r="AT611" s="39"/>
      <c r="AU611" s="39"/>
      <c r="AV611" s="39"/>
      <c r="AW611" s="39"/>
      <c r="AX611" s="39"/>
      <c r="AY611" s="39"/>
      <c r="BA611" s="7" t="s">
        <v>168</v>
      </c>
      <c r="BB611" s="58"/>
      <c r="BC611" s="58"/>
      <c r="BD611" s="58"/>
      <c r="BE611" s="2033">
        <f t="shared" si="4"/>
        <v>1</v>
      </c>
      <c r="BF611" s="2035"/>
      <c r="BG611" s="2354">
        <f t="shared" si="5"/>
        <v>3</v>
      </c>
      <c r="BH611" s="2355"/>
      <c r="BI611" s="2033">
        <f t="shared" si="6"/>
        <v>0</v>
      </c>
      <c r="BJ611" s="2035"/>
      <c r="BK611" s="2354">
        <f t="shared" si="7"/>
        <v>0</v>
      </c>
      <c r="BL611" s="2355"/>
      <c r="BM611" s="58"/>
      <c r="BN611" s="2025">
        <f t="shared" si="8"/>
        <v>0</v>
      </c>
      <c r="BO611" s="2026"/>
      <c r="BP611" s="2026"/>
      <c r="BQ611" s="2026"/>
      <c r="BR611" s="2027"/>
      <c r="BS611" s="2024">
        <f t="shared" si="9"/>
        <v>3</v>
      </c>
      <c r="BT611" s="2024"/>
      <c r="BU611" s="2024"/>
      <c r="BV611" s="2024"/>
      <c r="BW611" s="2024"/>
      <c r="BX611" s="2024">
        <f t="shared" si="10"/>
        <v>0</v>
      </c>
      <c r="BY611" s="2024"/>
      <c r="BZ611" s="2024"/>
      <c r="CA611" s="2024"/>
      <c r="CB611" s="2024"/>
      <c r="CC611" s="2024">
        <f t="shared" si="11"/>
        <v>0</v>
      </c>
      <c r="CD611" s="2024"/>
      <c r="CE611" s="2024"/>
      <c r="CF611" s="2024"/>
      <c r="CG611" s="2024"/>
      <c r="CH611" s="2024">
        <f t="shared" si="12"/>
        <v>0</v>
      </c>
      <c r="CI611" s="2024"/>
      <c r="CJ611" s="2024"/>
      <c r="CK611" s="2024"/>
      <c r="CL611" s="2024"/>
      <c r="CM611" s="2024">
        <f t="shared" si="13"/>
        <v>0</v>
      </c>
      <c r="CN611" s="2024"/>
      <c r="CO611" s="2024"/>
      <c r="CP611" s="2024"/>
      <c r="CQ611" s="2024"/>
      <c r="CR611" s="265"/>
      <c r="CS611" s="2045">
        <f t="shared" si="14"/>
        <v>0</v>
      </c>
      <c r="CT611" s="2045"/>
      <c r="CU611" s="2045"/>
      <c r="CV611" s="2045"/>
      <c r="CW611" s="2045"/>
      <c r="CX611" s="2045">
        <f t="shared" si="15"/>
        <v>0</v>
      </c>
      <c r="CY611" s="2045"/>
      <c r="CZ611" s="2045"/>
      <c r="DA611" s="2045"/>
      <c r="DB611" s="2045"/>
      <c r="DC611" s="2045">
        <f t="shared" si="16"/>
        <v>0</v>
      </c>
      <c r="DD611" s="2045"/>
      <c r="DE611" s="2045"/>
      <c r="DF611" s="2045"/>
      <c r="DG611" s="2045"/>
      <c r="DH611" s="2045">
        <f t="shared" si="17"/>
        <v>0</v>
      </c>
      <c r="DI611" s="2045"/>
      <c r="DJ611" s="2045"/>
      <c r="DK611" s="2045"/>
      <c r="DL611" s="2045"/>
      <c r="DM611" s="2045">
        <f t="shared" si="18"/>
        <v>0</v>
      </c>
      <c r="DN611" s="2045"/>
      <c r="DO611" s="2045"/>
      <c r="DP611" s="2045"/>
      <c r="DQ611" s="2045"/>
      <c r="DR611" s="2045">
        <f t="shared" si="19"/>
        <v>0</v>
      </c>
      <c r="DS611" s="2045"/>
      <c r="DT611" s="2045"/>
      <c r="DU611" s="2045"/>
      <c r="DV611" s="2045"/>
      <c r="DX611" s="2033" t="str">
        <f t="shared" si="20"/>
        <v xml:space="preserve"> </v>
      </c>
      <c r="DY611" s="2034"/>
      <c r="DZ611" s="2034"/>
      <c r="EA611" s="2034"/>
      <c r="EB611" s="2035"/>
      <c r="EC611" s="2033">
        <f t="shared" si="21"/>
        <v>1511</v>
      </c>
      <c r="ED611" s="2034"/>
      <c r="EE611" s="2034"/>
      <c r="EF611" s="2034"/>
      <c r="EG611" s="2035"/>
      <c r="EH611" s="2033" t="str">
        <f t="shared" si="22"/>
        <v xml:space="preserve"> </v>
      </c>
      <c r="EI611" s="2034"/>
      <c r="EJ611" s="2034"/>
      <c r="EK611" s="2034"/>
      <c r="EL611" s="2035"/>
      <c r="EM611" s="2033" t="str">
        <f t="shared" si="23"/>
        <v xml:space="preserve"> </v>
      </c>
      <c r="EN611" s="2034"/>
      <c r="EO611" s="2034"/>
      <c r="EP611" s="2034"/>
      <c r="EQ611" s="2035"/>
      <c r="ER611" s="2033" t="str">
        <f t="shared" si="24"/>
        <v xml:space="preserve"> </v>
      </c>
      <c r="ES611" s="2034"/>
      <c r="ET611" s="2034"/>
      <c r="EU611" s="2034"/>
      <c r="EV611" s="2035"/>
      <c r="EW611" s="2033" t="str">
        <f t="shared" si="25"/>
        <v xml:space="preserve"> </v>
      </c>
      <c r="EX611" s="2034"/>
      <c r="EY611" s="2034"/>
      <c r="EZ611" s="2034"/>
      <c r="FA611" s="2035"/>
    </row>
    <row r="612" spans="1:157" ht="12.75">
      <c r="A612" s="35"/>
      <c r="B612" s="12" t="s">
        <v>90</v>
      </c>
      <c r="G612" s="2055"/>
      <c r="H612" s="2055"/>
      <c r="I612" s="2055"/>
      <c r="J612" s="2055"/>
      <c r="K612" s="2055"/>
      <c r="L612" s="2055"/>
      <c r="M612" s="2055"/>
      <c r="N612" s="2055"/>
      <c r="O612" s="2055"/>
      <c r="P612" s="2055"/>
      <c r="Q612" s="2055"/>
      <c r="R612" s="2055"/>
      <c r="T612" s="35"/>
      <c r="U612" s="12" t="s">
        <v>90</v>
      </c>
      <c r="Z612" s="2055"/>
      <c r="AA612" s="2055"/>
      <c r="AB612" s="2055"/>
      <c r="AC612" s="2055"/>
      <c r="AD612" s="2055"/>
      <c r="AE612" s="2055"/>
      <c r="AF612" s="2055"/>
      <c r="AG612" s="2055"/>
      <c r="AH612" s="2055"/>
      <c r="AI612" s="2055"/>
      <c r="AJ612" s="2055"/>
      <c r="AK612" s="2055"/>
      <c r="BA612" s="7" t="s">
        <v>169</v>
      </c>
      <c r="BB612" s="58"/>
      <c r="BC612" s="58"/>
      <c r="BD612" s="58"/>
      <c r="BE612" s="2033">
        <f t="shared" si="4"/>
        <v>0</v>
      </c>
      <c r="BF612" s="2035"/>
      <c r="BG612" s="2354">
        <f t="shared" si="5"/>
        <v>0</v>
      </c>
      <c r="BH612" s="2355"/>
      <c r="BI612" s="2033">
        <f t="shared" si="6"/>
        <v>0</v>
      </c>
      <c r="BJ612" s="2035"/>
      <c r="BK612" s="2354">
        <f t="shared" si="7"/>
        <v>0</v>
      </c>
      <c r="BL612" s="2355"/>
      <c r="BM612" s="58"/>
      <c r="BN612" s="2025">
        <f t="shared" si="8"/>
        <v>0</v>
      </c>
      <c r="BO612" s="2026"/>
      <c r="BP612" s="2026"/>
      <c r="BQ612" s="2026"/>
      <c r="BR612" s="2027"/>
      <c r="BS612" s="2024">
        <f t="shared" si="9"/>
        <v>19</v>
      </c>
      <c r="BT612" s="2024"/>
      <c r="BU612" s="2024"/>
      <c r="BV612" s="2024"/>
      <c r="BW612" s="2024"/>
      <c r="BX612" s="2024">
        <f t="shared" si="10"/>
        <v>0</v>
      </c>
      <c r="BY612" s="2024"/>
      <c r="BZ612" s="2024"/>
      <c r="CA612" s="2024"/>
      <c r="CB612" s="2024"/>
      <c r="CC612" s="2024">
        <f t="shared" si="11"/>
        <v>0</v>
      </c>
      <c r="CD612" s="2024"/>
      <c r="CE612" s="2024"/>
      <c r="CF612" s="2024"/>
      <c r="CG612" s="2024"/>
      <c r="CH612" s="2024">
        <f t="shared" si="12"/>
        <v>0</v>
      </c>
      <c r="CI612" s="2024"/>
      <c r="CJ612" s="2024"/>
      <c r="CK612" s="2024"/>
      <c r="CL612" s="2024"/>
      <c r="CM612" s="2024">
        <f t="shared" si="13"/>
        <v>0</v>
      </c>
      <c r="CN612" s="2024"/>
      <c r="CO612" s="2024"/>
      <c r="CP612" s="2024"/>
      <c r="CQ612" s="2024"/>
      <c r="CR612" s="265"/>
      <c r="CS612" s="2045">
        <f t="shared" si="14"/>
        <v>0</v>
      </c>
      <c r="CT612" s="2045"/>
      <c r="CU612" s="2045"/>
      <c r="CV612" s="2045"/>
      <c r="CW612" s="2045"/>
      <c r="CX612" s="2045">
        <f t="shared" si="15"/>
        <v>0</v>
      </c>
      <c r="CY612" s="2045"/>
      <c r="CZ612" s="2045"/>
      <c r="DA612" s="2045"/>
      <c r="DB612" s="2045"/>
      <c r="DC612" s="2045">
        <f t="shared" si="16"/>
        <v>0</v>
      </c>
      <c r="DD612" s="2045"/>
      <c r="DE612" s="2045"/>
      <c r="DF612" s="2045"/>
      <c r="DG612" s="2045"/>
      <c r="DH612" s="2045">
        <f t="shared" si="17"/>
        <v>0</v>
      </c>
      <c r="DI612" s="2045"/>
      <c r="DJ612" s="2045"/>
      <c r="DK612" s="2045"/>
      <c r="DL612" s="2045"/>
      <c r="DM612" s="2045">
        <f t="shared" si="18"/>
        <v>0</v>
      </c>
      <c r="DN612" s="2045"/>
      <c r="DO612" s="2045"/>
      <c r="DP612" s="2045"/>
      <c r="DQ612" s="2045"/>
      <c r="DR612" s="2045">
        <f t="shared" si="19"/>
        <v>0</v>
      </c>
      <c r="DS612" s="2045"/>
      <c r="DT612" s="2045"/>
      <c r="DU612" s="2045"/>
      <c r="DV612" s="2045"/>
      <c r="DX612" s="2033" t="str">
        <f t="shared" si="20"/>
        <v xml:space="preserve"> </v>
      </c>
      <c r="DY612" s="2034"/>
      <c r="DZ612" s="2034"/>
      <c r="EA612" s="2034"/>
      <c r="EB612" s="2035"/>
      <c r="EC612" s="2033">
        <f t="shared" si="21"/>
        <v>1822</v>
      </c>
      <c r="ED612" s="2034"/>
      <c r="EE612" s="2034"/>
      <c r="EF612" s="2034"/>
      <c r="EG612" s="2035"/>
      <c r="EH612" s="2033" t="str">
        <f t="shared" si="22"/>
        <v xml:space="preserve"> </v>
      </c>
      <c r="EI612" s="2034"/>
      <c r="EJ612" s="2034"/>
      <c r="EK612" s="2034"/>
      <c r="EL612" s="2035"/>
      <c r="EM612" s="2033" t="str">
        <f t="shared" si="23"/>
        <v xml:space="preserve"> </v>
      </c>
      <c r="EN612" s="2034"/>
      <c r="EO612" s="2034"/>
      <c r="EP612" s="2034"/>
      <c r="EQ612" s="2035"/>
      <c r="ER612" s="2033" t="str">
        <f t="shared" si="24"/>
        <v xml:space="preserve"> </v>
      </c>
      <c r="ES612" s="2034"/>
      <c r="ET612" s="2034"/>
      <c r="EU612" s="2034"/>
      <c r="EV612" s="2035"/>
      <c r="EW612" s="2033" t="str">
        <f t="shared" si="25"/>
        <v xml:space="preserve"> </v>
      </c>
      <c r="EX612" s="2034"/>
      <c r="EY612" s="2034"/>
      <c r="EZ612" s="2034"/>
      <c r="FA612" s="2035"/>
    </row>
    <row r="613" spans="1:157" ht="12.75">
      <c r="A613" s="35"/>
      <c r="B613" s="12" t="s">
        <v>615</v>
      </c>
      <c r="G613" s="2055"/>
      <c r="H613" s="2055"/>
      <c r="I613" s="2055"/>
      <c r="J613" s="2055"/>
      <c r="K613" s="2055"/>
      <c r="L613" s="2055"/>
      <c r="M613" s="2055"/>
      <c r="N613" s="2055"/>
      <c r="O613" s="2055"/>
      <c r="P613" s="2055"/>
      <c r="Q613" s="2055"/>
      <c r="R613" s="2055"/>
      <c r="T613" s="35"/>
      <c r="U613" s="12" t="s">
        <v>615</v>
      </c>
      <c r="Z613" s="2288"/>
      <c r="AA613" s="2288"/>
      <c r="AB613" s="2288"/>
      <c r="AC613" s="2288"/>
      <c r="AD613" s="2288"/>
      <c r="AE613" s="2288"/>
      <c r="AF613" s="2288"/>
      <c r="AG613" s="2288"/>
      <c r="AH613" s="2288"/>
      <c r="AI613" s="2288"/>
      <c r="AJ613" s="2288"/>
      <c r="AK613" s="2288"/>
      <c r="BA613" s="7" t="s">
        <v>170</v>
      </c>
      <c r="BB613" s="58"/>
      <c r="BC613" s="58"/>
      <c r="BD613" s="58"/>
      <c r="BE613" s="2033">
        <f t="shared" si="4"/>
        <v>0</v>
      </c>
      <c r="BF613" s="2035"/>
      <c r="BG613" s="2354">
        <f t="shared" si="5"/>
        <v>0</v>
      </c>
      <c r="BH613" s="2355"/>
      <c r="BI613" s="2033">
        <f t="shared" si="6"/>
        <v>1</v>
      </c>
      <c r="BJ613" s="2035"/>
      <c r="BK613" s="2354">
        <f t="shared" si="7"/>
        <v>5</v>
      </c>
      <c r="BL613" s="2355"/>
      <c r="BM613" s="58"/>
      <c r="BN613" s="2025">
        <f t="shared" si="8"/>
        <v>0</v>
      </c>
      <c r="BO613" s="2026"/>
      <c r="BP613" s="2026"/>
      <c r="BQ613" s="2026"/>
      <c r="BR613" s="2027"/>
      <c r="BS613" s="2024">
        <f t="shared" si="9"/>
        <v>5</v>
      </c>
      <c r="BT613" s="2024"/>
      <c r="BU613" s="2024"/>
      <c r="BV613" s="2024"/>
      <c r="BW613" s="2024"/>
      <c r="BX613" s="2024">
        <f t="shared" si="10"/>
        <v>0</v>
      </c>
      <c r="BY613" s="2024"/>
      <c r="BZ613" s="2024"/>
      <c r="CA613" s="2024"/>
      <c r="CB613" s="2024"/>
      <c r="CC613" s="2024">
        <f t="shared" si="11"/>
        <v>0</v>
      </c>
      <c r="CD613" s="2024"/>
      <c r="CE613" s="2024"/>
      <c r="CF613" s="2024"/>
      <c r="CG613" s="2024"/>
      <c r="CH613" s="2024">
        <f t="shared" si="12"/>
        <v>0</v>
      </c>
      <c r="CI613" s="2024"/>
      <c r="CJ613" s="2024"/>
      <c r="CK613" s="2024"/>
      <c r="CL613" s="2024"/>
      <c r="CM613" s="2024">
        <f t="shared" si="13"/>
        <v>0</v>
      </c>
      <c r="CN613" s="2024"/>
      <c r="CO613" s="2024"/>
      <c r="CP613" s="2024"/>
      <c r="CQ613" s="2024"/>
      <c r="CR613" s="265"/>
      <c r="CS613" s="2045">
        <f t="shared" si="14"/>
        <v>0</v>
      </c>
      <c r="CT613" s="2045"/>
      <c r="CU613" s="2045"/>
      <c r="CV613" s="2045"/>
      <c r="CW613" s="2045"/>
      <c r="CX613" s="2045">
        <f t="shared" si="15"/>
        <v>5</v>
      </c>
      <c r="CY613" s="2045"/>
      <c r="CZ613" s="2045"/>
      <c r="DA613" s="2045"/>
      <c r="DB613" s="2045"/>
      <c r="DC613" s="2045">
        <f t="shared" si="16"/>
        <v>0</v>
      </c>
      <c r="DD613" s="2045"/>
      <c r="DE613" s="2045"/>
      <c r="DF613" s="2045"/>
      <c r="DG613" s="2045"/>
      <c r="DH613" s="2045">
        <f t="shared" si="17"/>
        <v>0</v>
      </c>
      <c r="DI613" s="2045"/>
      <c r="DJ613" s="2045"/>
      <c r="DK613" s="2045"/>
      <c r="DL613" s="2045"/>
      <c r="DM613" s="2045">
        <f t="shared" si="18"/>
        <v>0</v>
      </c>
      <c r="DN613" s="2045"/>
      <c r="DO613" s="2045"/>
      <c r="DP613" s="2045"/>
      <c r="DQ613" s="2045"/>
      <c r="DR613" s="2045">
        <f t="shared" si="19"/>
        <v>0</v>
      </c>
      <c r="DS613" s="2045"/>
      <c r="DT613" s="2045"/>
      <c r="DU613" s="2045"/>
      <c r="DV613" s="2045"/>
      <c r="DX613" s="2033" t="str">
        <f t="shared" si="20"/>
        <v xml:space="preserve"> </v>
      </c>
      <c r="DY613" s="2034"/>
      <c r="DZ613" s="2034"/>
      <c r="EA613" s="2034"/>
      <c r="EB613" s="2035"/>
      <c r="EC613" s="2033">
        <f t="shared" si="21"/>
        <v>890</v>
      </c>
      <c r="ED613" s="2034"/>
      <c r="EE613" s="2034"/>
      <c r="EF613" s="2034"/>
      <c r="EG613" s="2035"/>
      <c r="EH613" s="2033" t="str">
        <f t="shared" si="22"/>
        <v xml:space="preserve"> </v>
      </c>
      <c r="EI613" s="2034"/>
      <c r="EJ613" s="2034"/>
      <c r="EK613" s="2034"/>
      <c r="EL613" s="2035"/>
      <c r="EM613" s="2033" t="str">
        <f t="shared" si="23"/>
        <v xml:space="preserve"> </v>
      </c>
      <c r="EN613" s="2034"/>
      <c r="EO613" s="2034"/>
      <c r="EP613" s="2034"/>
      <c r="EQ613" s="2035"/>
      <c r="ER613" s="2033" t="str">
        <f t="shared" si="24"/>
        <v xml:space="preserve"> </v>
      </c>
      <c r="ES613" s="2034"/>
      <c r="ET613" s="2034"/>
      <c r="EU613" s="2034"/>
      <c r="EV613" s="2035"/>
      <c r="EW613" s="2033" t="str">
        <f t="shared" si="25"/>
        <v xml:space="preserve"> </v>
      </c>
      <c r="EX613" s="2034"/>
      <c r="EY613" s="2034"/>
      <c r="EZ613" s="2034"/>
      <c r="FA613" s="2035"/>
    </row>
    <row r="614" spans="1:157" ht="12.75">
      <c r="A614" s="35"/>
      <c r="B614" s="12" t="s">
        <v>17</v>
      </c>
      <c r="G614" s="2055"/>
      <c r="H614" s="2055"/>
      <c r="I614" s="2055"/>
      <c r="J614" s="2055"/>
      <c r="K614" s="2055"/>
      <c r="L614" s="2055"/>
      <c r="M614" s="2055"/>
      <c r="N614" s="2055"/>
      <c r="O614" s="2055"/>
      <c r="P614" s="2055"/>
      <c r="Q614" s="2055"/>
      <c r="R614" s="2055"/>
      <c r="T614" s="35"/>
      <c r="U614" s="12" t="s">
        <v>17</v>
      </c>
      <c r="Z614" s="2288"/>
      <c r="AA614" s="2288"/>
      <c r="AB614" s="2288"/>
      <c r="AC614" s="2288"/>
      <c r="AD614" s="2288"/>
      <c r="AE614" s="2288"/>
      <c r="AF614" s="2288"/>
      <c r="AG614" s="2288"/>
      <c r="AH614" s="2288"/>
      <c r="AI614" s="2288"/>
      <c r="AJ614" s="2288"/>
      <c r="AK614" s="2288"/>
      <c r="BA614" s="7" t="s">
        <v>31</v>
      </c>
      <c r="BB614" s="58"/>
      <c r="BC614" s="58"/>
      <c r="BD614" s="58"/>
      <c r="BE614" s="2033">
        <f t="shared" si="4"/>
        <v>1</v>
      </c>
      <c r="BF614" s="2035"/>
      <c r="BG614" s="2354">
        <f t="shared" si="5"/>
        <v>4</v>
      </c>
      <c r="BH614" s="2355"/>
      <c r="BI614" s="2033">
        <f t="shared" si="6"/>
        <v>0</v>
      </c>
      <c r="BJ614" s="2035"/>
      <c r="BK614" s="2354">
        <f t="shared" si="7"/>
        <v>0</v>
      </c>
      <c r="BL614" s="2355"/>
      <c r="BM614" s="58"/>
      <c r="BN614" s="2025">
        <f t="shared" si="8"/>
        <v>0</v>
      </c>
      <c r="BO614" s="2026"/>
      <c r="BP614" s="2026"/>
      <c r="BQ614" s="2026"/>
      <c r="BR614" s="2027"/>
      <c r="BS614" s="2024">
        <f t="shared" si="9"/>
        <v>4</v>
      </c>
      <c r="BT614" s="2024"/>
      <c r="BU614" s="2024"/>
      <c r="BV614" s="2024"/>
      <c r="BW614" s="2024"/>
      <c r="BX614" s="2024">
        <f t="shared" si="10"/>
        <v>0</v>
      </c>
      <c r="BY614" s="2024"/>
      <c r="BZ614" s="2024"/>
      <c r="CA614" s="2024"/>
      <c r="CB614" s="2024"/>
      <c r="CC614" s="2024">
        <f t="shared" si="11"/>
        <v>0</v>
      </c>
      <c r="CD614" s="2024"/>
      <c r="CE614" s="2024"/>
      <c r="CF614" s="2024"/>
      <c r="CG614" s="2024"/>
      <c r="CH614" s="2024">
        <f t="shared" si="12"/>
        <v>0</v>
      </c>
      <c r="CI614" s="2024"/>
      <c r="CJ614" s="2024"/>
      <c r="CK614" s="2024"/>
      <c r="CL614" s="2024"/>
      <c r="CM614" s="2024">
        <f t="shared" si="13"/>
        <v>0</v>
      </c>
      <c r="CN614" s="2024"/>
      <c r="CO614" s="2024"/>
      <c r="CP614" s="2024"/>
      <c r="CQ614" s="2024"/>
      <c r="CR614" s="265"/>
      <c r="CS614" s="2045">
        <f t="shared" si="14"/>
        <v>0</v>
      </c>
      <c r="CT614" s="2045"/>
      <c r="CU614" s="2045"/>
      <c r="CV614" s="2045"/>
      <c r="CW614" s="2045"/>
      <c r="CX614" s="2045">
        <f t="shared" si="15"/>
        <v>0</v>
      </c>
      <c r="CY614" s="2045"/>
      <c r="CZ614" s="2045"/>
      <c r="DA614" s="2045"/>
      <c r="DB614" s="2045"/>
      <c r="DC614" s="2045">
        <f t="shared" si="16"/>
        <v>0</v>
      </c>
      <c r="DD614" s="2045"/>
      <c r="DE614" s="2045"/>
      <c r="DF614" s="2045"/>
      <c r="DG614" s="2045"/>
      <c r="DH614" s="2045">
        <f t="shared" si="17"/>
        <v>0</v>
      </c>
      <c r="DI614" s="2045"/>
      <c r="DJ614" s="2045"/>
      <c r="DK614" s="2045"/>
      <c r="DL614" s="2045"/>
      <c r="DM614" s="2045">
        <f t="shared" si="18"/>
        <v>0</v>
      </c>
      <c r="DN614" s="2045"/>
      <c r="DO614" s="2045"/>
      <c r="DP614" s="2045"/>
      <c r="DQ614" s="2045"/>
      <c r="DR614" s="2045">
        <f t="shared" si="19"/>
        <v>0</v>
      </c>
      <c r="DS614" s="2045"/>
      <c r="DT614" s="2045"/>
      <c r="DU614" s="2045"/>
      <c r="DV614" s="2045"/>
      <c r="DX614" s="2033" t="str">
        <f t="shared" si="20"/>
        <v xml:space="preserve"> </v>
      </c>
      <c r="DY614" s="2034"/>
      <c r="DZ614" s="2034"/>
      <c r="EA614" s="2034"/>
      <c r="EB614" s="2035"/>
      <c r="EC614" s="2033">
        <f t="shared" si="21"/>
        <v>1511</v>
      </c>
      <c r="ED614" s="2034"/>
      <c r="EE614" s="2034"/>
      <c r="EF614" s="2034"/>
      <c r="EG614" s="2035"/>
      <c r="EH614" s="2033" t="str">
        <f t="shared" si="22"/>
        <v xml:space="preserve"> </v>
      </c>
      <c r="EI614" s="2034"/>
      <c r="EJ614" s="2034"/>
      <c r="EK614" s="2034"/>
      <c r="EL614" s="2035"/>
      <c r="EM614" s="2033" t="str">
        <f t="shared" si="23"/>
        <v xml:space="preserve"> </v>
      </c>
      <c r="EN614" s="2034"/>
      <c r="EO614" s="2034"/>
      <c r="EP614" s="2034"/>
      <c r="EQ614" s="2035"/>
      <c r="ER614" s="2033" t="str">
        <f t="shared" si="24"/>
        <v xml:space="preserve"> </v>
      </c>
      <c r="ES614" s="2034"/>
      <c r="ET614" s="2034"/>
      <c r="EU614" s="2034"/>
      <c r="EV614" s="2035"/>
      <c r="EW614" s="2033" t="str">
        <f t="shared" si="25"/>
        <v xml:space="preserve"> </v>
      </c>
      <c r="EX614" s="2034"/>
      <c r="EY614" s="2034"/>
      <c r="EZ614" s="2034"/>
      <c r="FA614" s="2035"/>
    </row>
    <row r="615" spans="1:157" ht="12.75">
      <c r="A615" s="35"/>
      <c r="B615" s="12" t="s">
        <v>325</v>
      </c>
      <c r="G615" s="2057"/>
      <c r="H615" s="2057"/>
      <c r="I615" s="2057"/>
      <c r="J615" s="2057"/>
      <c r="K615" s="2057"/>
      <c r="L615" s="2057"/>
      <c r="O615" s="137" t="s">
        <v>212</v>
      </c>
      <c r="P615" s="2066"/>
      <c r="Q615" s="2066"/>
      <c r="R615" s="2066"/>
      <c r="T615" s="35"/>
      <c r="U615" s="12" t="s">
        <v>325</v>
      </c>
      <c r="Z615" s="2057"/>
      <c r="AA615" s="2057"/>
      <c r="AB615" s="2057"/>
      <c r="AC615" s="2057"/>
      <c r="AD615" s="2057"/>
      <c r="AE615" s="2057"/>
      <c r="AH615" s="137" t="s">
        <v>212</v>
      </c>
      <c r="AI615" s="2066"/>
      <c r="AJ615" s="2066"/>
      <c r="AK615" s="2066"/>
      <c r="AZ615" s="58"/>
      <c r="BA615" s="58"/>
      <c r="BB615" s="58"/>
      <c r="BC615" s="58"/>
      <c r="BD615" s="58"/>
      <c r="BE615" s="2033">
        <f t="shared" si="4"/>
        <v>0</v>
      </c>
      <c r="BF615" s="2035"/>
      <c r="BG615" s="2354">
        <f t="shared" si="5"/>
        <v>0</v>
      </c>
      <c r="BH615" s="2355"/>
      <c r="BI615" s="2033">
        <f t="shared" si="6"/>
        <v>0</v>
      </c>
      <c r="BJ615" s="2035"/>
      <c r="BK615" s="2354">
        <f t="shared" si="7"/>
        <v>0</v>
      </c>
      <c r="BL615" s="2355"/>
      <c r="BM615" s="58"/>
      <c r="BN615" s="2025">
        <f t="shared" si="8"/>
        <v>0</v>
      </c>
      <c r="BO615" s="2026"/>
      <c r="BP615" s="2026"/>
      <c r="BQ615" s="2026"/>
      <c r="BR615" s="2027"/>
      <c r="BS615" s="2024">
        <f t="shared" si="9"/>
        <v>37</v>
      </c>
      <c r="BT615" s="2024"/>
      <c r="BU615" s="2024"/>
      <c r="BV615" s="2024"/>
      <c r="BW615" s="2024"/>
      <c r="BX615" s="2024">
        <f t="shared" si="10"/>
        <v>0</v>
      </c>
      <c r="BY615" s="2024"/>
      <c r="BZ615" s="2024"/>
      <c r="CA615" s="2024"/>
      <c r="CB615" s="2024"/>
      <c r="CC615" s="2024">
        <f t="shared" si="11"/>
        <v>0</v>
      </c>
      <c r="CD615" s="2024"/>
      <c r="CE615" s="2024"/>
      <c r="CF615" s="2024"/>
      <c r="CG615" s="2024"/>
      <c r="CH615" s="2024">
        <f t="shared" si="12"/>
        <v>0</v>
      </c>
      <c r="CI615" s="2024"/>
      <c r="CJ615" s="2024"/>
      <c r="CK615" s="2024"/>
      <c r="CL615" s="2024"/>
      <c r="CM615" s="2024">
        <f t="shared" si="13"/>
        <v>0</v>
      </c>
      <c r="CN615" s="2024"/>
      <c r="CO615" s="2024"/>
      <c r="CP615" s="2024"/>
      <c r="CQ615" s="2024"/>
      <c r="CR615" s="265"/>
      <c r="CS615" s="2045">
        <f t="shared" si="14"/>
        <v>0</v>
      </c>
      <c r="CT615" s="2045"/>
      <c r="CU615" s="2045"/>
      <c r="CV615" s="2045"/>
      <c r="CW615" s="2045"/>
      <c r="CX615" s="2045">
        <f t="shared" si="15"/>
        <v>0</v>
      </c>
      <c r="CY615" s="2045"/>
      <c r="CZ615" s="2045"/>
      <c r="DA615" s="2045"/>
      <c r="DB615" s="2045"/>
      <c r="DC615" s="2045">
        <f t="shared" si="16"/>
        <v>0</v>
      </c>
      <c r="DD615" s="2045"/>
      <c r="DE615" s="2045"/>
      <c r="DF615" s="2045"/>
      <c r="DG615" s="2045"/>
      <c r="DH615" s="2045">
        <f t="shared" si="17"/>
        <v>0</v>
      </c>
      <c r="DI615" s="2045"/>
      <c r="DJ615" s="2045"/>
      <c r="DK615" s="2045"/>
      <c r="DL615" s="2045"/>
      <c r="DM615" s="2045">
        <f t="shared" si="18"/>
        <v>0</v>
      </c>
      <c r="DN615" s="2045"/>
      <c r="DO615" s="2045"/>
      <c r="DP615" s="2045"/>
      <c r="DQ615" s="2045"/>
      <c r="DR615" s="2045">
        <f t="shared" si="19"/>
        <v>0</v>
      </c>
      <c r="DS615" s="2045"/>
      <c r="DT615" s="2045"/>
      <c r="DU615" s="2045"/>
      <c r="DV615" s="2045"/>
      <c r="DX615" s="2033" t="str">
        <f t="shared" si="20"/>
        <v xml:space="preserve"> </v>
      </c>
      <c r="DY615" s="2034"/>
      <c r="DZ615" s="2034"/>
      <c r="EA615" s="2034"/>
      <c r="EB615" s="2035"/>
      <c r="EC615" s="2033">
        <f t="shared" si="21"/>
        <v>1822</v>
      </c>
      <c r="ED615" s="2034"/>
      <c r="EE615" s="2034"/>
      <c r="EF615" s="2034"/>
      <c r="EG615" s="2035"/>
      <c r="EH615" s="2033" t="str">
        <f t="shared" si="22"/>
        <v xml:space="preserve"> </v>
      </c>
      <c r="EI615" s="2034"/>
      <c r="EJ615" s="2034"/>
      <c r="EK615" s="2034"/>
      <c r="EL615" s="2035"/>
      <c r="EM615" s="2033" t="str">
        <f t="shared" si="23"/>
        <v xml:space="preserve"> </v>
      </c>
      <c r="EN615" s="2034"/>
      <c r="EO615" s="2034"/>
      <c r="EP615" s="2034"/>
      <c r="EQ615" s="2035"/>
      <c r="ER615" s="2033" t="str">
        <f t="shared" si="24"/>
        <v xml:space="preserve"> </v>
      </c>
      <c r="ES615" s="2034"/>
      <c r="ET615" s="2034"/>
      <c r="EU615" s="2034"/>
      <c r="EV615" s="2035"/>
      <c r="EW615" s="2033" t="str">
        <f t="shared" si="25"/>
        <v xml:space="preserve"> </v>
      </c>
      <c r="EX615" s="2034"/>
      <c r="EY615" s="2034"/>
      <c r="EZ615" s="2034"/>
      <c r="FA615" s="2035"/>
    </row>
    <row r="616" spans="1:157" ht="12.75">
      <c r="A616" s="35"/>
      <c r="B616" s="12" t="s">
        <v>18</v>
      </c>
      <c r="H616" s="2055"/>
      <c r="I616" s="2055"/>
      <c r="J616" s="2055"/>
      <c r="K616" s="2055"/>
      <c r="L616" s="2055"/>
      <c r="M616" s="2055"/>
      <c r="N616" s="2055"/>
      <c r="O616" s="2055"/>
      <c r="P616" s="2055"/>
      <c r="Q616" s="2055"/>
      <c r="R616" s="2055"/>
      <c r="T616" s="35"/>
      <c r="U616" s="12" t="s">
        <v>18</v>
      </c>
      <c r="AA616" s="2055"/>
      <c r="AB616" s="2055"/>
      <c r="AC616" s="2055"/>
      <c r="AD616" s="2055"/>
      <c r="AE616" s="2055"/>
      <c r="AF616" s="2055"/>
      <c r="AG616" s="2055"/>
      <c r="AH616" s="2055"/>
      <c r="AI616" s="2055"/>
      <c r="AJ616" s="2055"/>
      <c r="AK616" s="2055"/>
      <c r="AZ616" s="58"/>
      <c r="BA616" s="58"/>
      <c r="BB616" s="58"/>
      <c r="BC616" s="58"/>
      <c r="BD616" s="58"/>
      <c r="BE616" s="2033">
        <f t="shared" si="4"/>
        <v>0</v>
      </c>
      <c r="BF616" s="2035"/>
      <c r="BG616" s="2354">
        <f t="shared" si="5"/>
        <v>0</v>
      </c>
      <c r="BH616" s="2355"/>
      <c r="BI616" s="2033">
        <f t="shared" si="6"/>
        <v>1</v>
      </c>
      <c r="BJ616" s="2035"/>
      <c r="BK616" s="2354">
        <f t="shared" si="7"/>
        <v>7</v>
      </c>
      <c r="BL616" s="2355"/>
      <c r="BM616" s="58"/>
      <c r="BN616" s="2025">
        <f t="shared" si="8"/>
        <v>0</v>
      </c>
      <c r="BO616" s="2026"/>
      <c r="BP616" s="2026"/>
      <c r="BQ616" s="2026"/>
      <c r="BR616" s="2027"/>
      <c r="BS616" s="2024">
        <f t="shared" si="9"/>
        <v>0</v>
      </c>
      <c r="BT616" s="2024"/>
      <c r="BU616" s="2024"/>
      <c r="BV616" s="2024"/>
      <c r="BW616" s="2024"/>
      <c r="BX616" s="2024">
        <f t="shared" si="10"/>
        <v>7</v>
      </c>
      <c r="BY616" s="2024"/>
      <c r="BZ616" s="2024"/>
      <c r="CA616" s="2024"/>
      <c r="CB616" s="2024"/>
      <c r="CC616" s="2024">
        <f t="shared" si="11"/>
        <v>0</v>
      </c>
      <c r="CD616" s="2024"/>
      <c r="CE616" s="2024"/>
      <c r="CF616" s="2024"/>
      <c r="CG616" s="2024"/>
      <c r="CH616" s="2024">
        <f t="shared" si="12"/>
        <v>0</v>
      </c>
      <c r="CI616" s="2024"/>
      <c r="CJ616" s="2024"/>
      <c r="CK616" s="2024"/>
      <c r="CL616" s="2024"/>
      <c r="CM616" s="2024">
        <f t="shared" si="13"/>
        <v>0</v>
      </c>
      <c r="CN616" s="2024"/>
      <c r="CO616" s="2024"/>
      <c r="CP616" s="2024"/>
      <c r="CQ616" s="2024"/>
      <c r="CR616" s="265"/>
      <c r="CS616" s="2045">
        <f t="shared" si="14"/>
        <v>0</v>
      </c>
      <c r="CT616" s="2045"/>
      <c r="CU616" s="2045"/>
      <c r="CV616" s="2045"/>
      <c r="CW616" s="2045"/>
      <c r="CX616" s="2045">
        <f t="shared" si="15"/>
        <v>0</v>
      </c>
      <c r="CY616" s="2045"/>
      <c r="CZ616" s="2045"/>
      <c r="DA616" s="2045"/>
      <c r="DB616" s="2045"/>
      <c r="DC616" s="2045">
        <f t="shared" si="16"/>
        <v>7</v>
      </c>
      <c r="DD616" s="2045"/>
      <c r="DE616" s="2045"/>
      <c r="DF616" s="2045"/>
      <c r="DG616" s="2045"/>
      <c r="DH616" s="2045">
        <f t="shared" si="17"/>
        <v>0</v>
      </c>
      <c r="DI616" s="2045"/>
      <c r="DJ616" s="2045"/>
      <c r="DK616" s="2045"/>
      <c r="DL616" s="2045"/>
      <c r="DM616" s="2045">
        <f t="shared" si="18"/>
        <v>0</v>
      </c>
      <c r="DN616" s="2045"/>
      <c r="DO616" s="2045"/>
      <c r="DP616" s="2045"/>
      <c r="DQ616" s="2045"/>
      <c r="DR616" s="2045">
        <f t="shared" si="19"/>
        <v>0</v>
      </c>
      <c r="DS616" s="2045"/>
      <c r="DT616" s="2045"/>
      <c r="DU616" s="2045"/>
      <c r="DV616" s="2045"/>
      <c r="DX616" s="2033" t="str">
        <f t="shared" si="20"/>
        <v xml:space="preserve"> </v>
      </c>
      <c r="DY616" s="2034"/>
      <c r="DZ616" s="2034"/>
      <c r="EA616" s="2034"/>
      <c r="EB616" s="2035"/>
      <c r="EC616" s="2033" t="str">
        <f t="shared" si="21"/>
        <v xml:space="preserve"> </v>
      </c>
      <c r="ED616" s="2034"/>
      <c r="EE616" s="2034"/>
      <c r="EF616" s="2034"/>
      <c r="EG616" s="2035"/>
      <c r="EH616" s="2033">
        <f t="shared" si="22"/>
        <v>1062</v>
      </c>
      <c r="EI616" s="2034"/>
      <c r="EJ616" s="2034"/>
      <c r="EK616" s="2034"/>
      <c r="EL616" s="2035"/>
      <c r="EM616" s="2033" t="str">
        <f t="shared" si="23"/>
        <v xml:space="preserve"> </v>
      </c>
      <c r="EN616" s="2034"/>
      <c r="EO616" s="2034"/>
      <c r="EP616" s="2034"/>
      <c r="EQ616" s="2035"/>
      <c r="ER616" s="2033" t="str">
        <f t="shared" si="24"/>
        <v xml:space="preserve"> </v>
      </c>
      <c r="ES616" s="2034"/>
      <c r="ET616" s="2034"/>
      <c r="EU616" s="2034"/>
      <c r="EV616" s="2035"/>
      <c r="EW616" s="2033" t="str">
        <f t="shared" si="25"/>
        <v xml:space="preserve"> </v>
      </c>
      <c r="EX616" s="2034"/>
      <c r="EY616" s="2034"/>
      <c r="EZ616" s="2034"/>
      <c r="FA616" s="2035"/>
    </row>
    <row r="617" spans="1:157" ht="12.75">
      <c r="A617" s="35"/>
      <c r="B617" s="12" t="s">
        <v>20</v>
      </c>
      <c r="N617" s="2028" t="s">
        <v>706</v>
      </c>
      <c r="O617" s="2028"/>
      <c r="T617" s="35"/>
      <c r="U617" s="12" t="s">
        <v>20</v>
      </c>
      <c r="AG617" s="2028" t="s">
        <v>706</v>
      </c>
      <c r="AH617" s="2028"/>
      <c r="AZ617" s="58"/>
      <c r="BA617" s="58"/>
      <c r="BB617" s="58"/>
      <c r="BC617" s="58"/>
      <c r="BD617" s="58"/>
      <c r="BE617" s="2033">
        <f t="shared" si="4"/>
        <v>1</v>
      </c>
      <c r="BF617" s="2035"/>
      <c r="BG617" s="2354">
        <f t="shared" si="5"/>
        <v>7</v>
      </c>
      <c r="BH617" s="2355"/>
      <c r="BI617" s="2033">
        <f t="shared" si="6"/>
        <v>0</v>
      </c>
      <c r="BJ617" s="2035"/>
      <c r="BK617" s="2354">
        <f t="shared" si="7"/>
        <v>0</v>
      </c>
      <c r="BL617" s="2355"/>
      <c r="BM617" s="58"/>
      <c r="BN617" s="2025">
        <f t="shared" si="8"/>
        <v>0</v>
      </c>
      <c r="BO617" s="2026"/>
      <c r="BP617" s="2026"/>
      <c r="BQ617" s="2026"/>
      <c r="BR617" s="2027"/>
      <c r="BS617" s="2024">
        <f t="shared" si="9"/>
        <v>0</v>
      </c>
      <c r="BT617" s="2024"/>
      <c r="BU617" s="2024"/>
      <c r="BV617" s="2024"/>
      <c r="BW617" s="2024"/>
      <c r="BX617" s="2024">
        <f t="shared" si="10"/>
        <v>7</v>
      </c>
      <c r="BY617" s="2024"/>
      <c r="BZ617" s="2024"/>
      <c r="CA617" s="2024"/>
      <c r="CB617" s="2024"/>
      <c r="CC617" s="2024">
        <f t="shared" si="11"/>
        <v>0</v>
      </c>
      <c r="CD617" s="2024"/>
      <c r="CE617" s="2024"/>
      <c r="CF617" s="2024"/>
      <c r="CG617" s="2024"/>
      <c r="CH617" s="2024">
        <f t="shared" si="12"/>
        <v>0</v>
      </c>
      <c r="CI617" s="2024"/>
      <c r="CJ617" s="2024"/>
      <c r="CK617" s="2024"/>
      <c r="CL617" s="2024"/>
      <c r="CM617" s="2024">
        <f t="shared" si="13"/>
        <v>0</v>
      </c>
      <c r="CN617" s="2024"/>
      <c r="CO617" s="2024"/>
      <c r="CP617" s="2024"/>
      <c r="CQ617" s="2024"/>
      <c r="CR617" s="265"/>
      <c r="CS617" s="2045">
        <f t="shared" si="14"/>
        <v>0</v>
      </c>
      <c r="CT617" s="2045"/>
      <c r="CU617" s="2045"/>
      <c r="CV617" s="2045"/>
      <c r="CW617" s="2045"/>
      <c r="CX617" s="2045">
        <f t="shared" si="15"/>
        <v>0</v>
      </c>
      <c r="CY617" s="2045"/>
      <c r="CZ617" s="2045"/>
      <c r="DA617" s="2045"/>
      <c r="DB617" s="2045"/>
      <c r="DC617" s="2045">
        <f t="shared" si="16"/>
        <v>0</v>
      </c>
      <c r="DD617" s="2045"/>
      <c r="DE617" s="2045"/>
      <c r="DF617" s="2045"/>
      <c r="DG617" s="2045"/>
      <c r="DH617" s="2045">
        <f t="shared" si="17"/>
        <v>0</v>
      </c>
      <c r="DI617" s="2045"/>
      <c r="DJ617" s="2045"/>
      <c r="DK617" s="2045"/>
      <c r="DL617" s="2045"/>
      <c r="DM617" s="2045">
        <f t="shared" si="18"/>
        <v>0</v>
      </c>
      <c r="DN617" s="2045"/>
      <c r="DO617" s="2045"/>
      <c r="DP617" s="2045"/>
      <c r="DQ617" s="2045"/>
      <c r="DR617" s="2045">
        <f t="shared" si="19"/>
        <v>0</v>
      </c>
      <c r="DS617" s="2045"/>
      <c r="DT617" s="2045"/>
      <c r="DU617" s="2045"/>
      <c r="DV617" s="2045"/>
      <c r="DX617" s="2033" t="str">
        <f t="shared" si="20"/>
        <v xml:space="preserve"> </v>
      </c>
      <c r="DY617" s="2034"/>
      <c r="DZ617" s="2034"/>
      <c r="EA617" s="2034"/>
      <c r="EB617" s="2035"/>
      <c r="EC617" s="2033" t="str">
        <f t="shared" si="21"/>
        <v xml:space="preserve"> </v>
      </c>
      <c r="ED617" s="2034"/>
      <c r="EE617" s="2034"/>
      <c r="EF617" s="2034"/>
      <c r="EG617" s="2035"/>
      <c r="EH617" s="2033">
        <f t="shared" si="22"/>
        <v>1808</v>
      </c>
      <c r="EI617" s="2034"/>
      <c r="EJ617" s="2034"/>
      <c r="EK617" s="2034"/>
      <c r="EL617" s="2035"/>
      <c r="EM617" s="2033" t="str">
        <f t="shared" si="23"/>
        <v xml:space="preserve"> </v>
      </c>
      <c r="EN617" s="2034"/>
      <c r="EO617" s="2034"/>
      <c r="EP617" s="2034"/>
      <c r="EQ617" s="2035"/>
      <c r="ER617" s="2033" t="str">
        <f t="shared" si="24"/>
        <v xml:space="preserve"> </v>
      </c>
      <c r="ES617" s="2034"/>
      <c r="ET617" s="2034"/>
      <c r="EU617" s="2034"/>
      <c r="EV617" s="2035"/>
      <c r="EW617" s="2033" t="str">
        <f t="shared" si="25"/>
        <v xml:space="preserve"> </v>
      </c>
      <c r="EX617" s="2034"/>
      <c r="EY617" s="2034"/>
      <c r="EZ617" s="2034"/>
      <c r="FA617" s="2035"/>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3">
        <f t="shared" si="4"/>
        <v>0</v>
      </c>
      <c r="BF618" s="2035"/>
      <c r="BG618" s="2354">
        <f t="shared" si="5"/>
        <v>0</v>
      </c>
      <c r="BH618" s="2355"/>
      <c r="BI618" s="2033">
        <f t="shared" si="6"/>
        <v>0</v>
      </c>
      <c r="BJ618" s="2035"/>
      <c r="BK618" s="2354">
        <f t="shared" si="7"/>
        <v>0</v>
      </c>
      <c r="BL618" s="2355"/>
      <c r="BM618" s="58"/>
      <c r="BN618" s="2025">
        <f t="shared" si="8"/>
        <v>0</v>
      </c>
      <c r="BO618" s="2026"/>
      <c r="BP618" s="2026"/>
      <c r="BQ618" s="2026"/>
      <c r="BR618" s="2027"/>
      <c r="BS618" s="2024">
        <f t="shared" si="9"/>
        <v>0</v>
      </c>
      <c r="BT618" s="2024"/>
      <c r="BU618" s="2024"/>
      <c r="BV618" s="2024"/>
      <c r="BW618" s="2024"/>
      <c r="BX618" s="2024">
        <f t="shared" si="10"/>
        <v>58</v>
      </c>
      <c r="BY618" s="2024"/>
      <c r="BZ618" s="2024"/>
      <c r="CA618" s="2024"/>
      <c r="CB618" s="2024"/>
      <c r="CC618" s="2024">
        <f t="shared" si="11"/>
        <v>0</v>
      </c>
      <c r="CD618" s="2024"/>
      <c r="CE618" s="2024"/>
      <c r="CF618" s="2024"/>
      <c r="CG618" s="2024"/>
      <c r="CH618" s="2024">
        <f t="shared" si="12"/>
        <v>0</v>
      </c>
      <c r="CI618" s="2024"/>
      <c r="CJ618" s="2024"/>
      <c r="CK618" s="2024"/>
      <c r="CL618" s="2024"/>
      <c r="CM618" s="2024">
        <f t="shared" si="13"/>
        <v>0</v>
      </c>
      <c r="CN618" s="2024"/>
      <c r="CO618" s="2024"/>
      <c r="CP618" s="2024"/>
      <c r="CQ618" s="2024"/>
      <c r="CR618" s="265"/>
      <c r="CS618" s="2045">
        <f t="shared" si="14"/>
        <v>0</v>
      </c>
      <c r="CT618" s="2045"/>
      <c r="CU618" s="2045"/>
      <c r="CV618" s="2045"/>
      <c r="CW618" s="2045"/>
      <c r="CX618" s="2045">
        <f t="shared" si="15"/>
        <v>0</v>
      </c>
      <c r="CY618" s="2045"/>
      <c r="CZ618" s="2045"/>
      <c r="DA618" s="2045"/>
      <c r="DB618" s="2045"/>
      <c r="DC618" s="2045">
        <f t="shared" si="16"/>
        <v>0</v>
      </c>
      <c r="DD618" s="2045"/>
      <c r="DE618" s="2045"/>
      <c r="DF618" s="2045"/>
      <c r="DG618" s="2045"/>
      <c r="DH618" s="2045">
        <f t="shared" si="17"/>
        <v>0</v>
      </c>
      <c r="DI618" s="2045"/>
      <c r="DJ618" s="2045"/>
      <c r="DK618" s="2045"/>
      <c r="DL618" s="2045"/>
      <c r="DM618" s="2045">
        <f t="shared" si="18"/>
        <v>0</v>
      </c>
      <c r="DN618" s="2045"/>
      <c r="DO618" s="2045"/>
      <c r="DP618" s="2045"/>
      <c r="DQ618" s="2045"/>
      <c r="DR618" s="2045">
        <f t="shared" si="19"/>
        <v>0</v>
      </c>
      <c r="DS618" s="2045"/>
      <c r="DT618" s="2045"/>
      <c r="DU618" s="2045"/>
      <c r="DV618" s="2045"/>
      <c r="DX618" s="2033" t="str">
        <f t="shared" si="20"/>
        <v xml:space="preserve"> </v>
      </c>
      <c r="DY618" s="2034"/>
      <c r="DZ618" s="2034"/>
      <c r="EA618" s="2034"/>
      <c r="EB618" s="2035"/>
      <c r="EC618" s="2033" t="str">
        <f t="shared" si="21"/>
        <v xml:space="preserve"> </v>
      </c>
      <c r="ED618" s="2034"/>
      <c r="EE618" s="2034"/>
      <c r="EF618" s="2034"/>
      <c r="EG618" s="2035"/>
      <c r="EH618" s="2033">
        <f t="shared" si="22"/>
        <v>2181</v>
      </c>
      <c r="EI618" s="2034"/>
      <c r="EJ618" s="2034"/>
      <c r="EK618" s="2034"/>
      <c r="EL618" s="2035"/>
      <c r="EM618" s="2033" t="str">
        <f t="shared" si="23"/>
        <v xml:space="preserve"> </v>
      </c>
      <c r="EN618" s="2034"/>
      <c r="EO618" s="2034"/>
      <c r="EP618" s="2034"/>
      <c r="EQ618" s="2035"/>
      <c r="ER618" s="2033" t="str">
        <f t="shared" si="24"/>
        <v xml:space="preserve"> </v>
      </c>
      <c r="ES618" s="2034"/>
      <c r="ET618" s="2034"/>
      <c r="EU618" s="2034"/>
      <c r="EV618" s="2035"/>
      <c r="EW618" s="2033" t="str">
        <f t="shared" si="25"/>
        <v xml:space="preserve"> </v>
      </c>
      <c r="EX618" s="2034"/>
      <c r="EY618" s="2034"/>
      <c r="EZ618" s="2034"/>
      <c r="FA618" s="2035"/>
    </row>
    <row r="619" spans="1:157" s="7" customFormat="1" ht="12.75">
      <c r="A619" s="87" t="s">
        <v>372</v>
      </c>
      <c r="B619" s="12" t="s">
        <v>496</v>
      </c>
      <c r="C619" s="12"/>
      <c r="D619" s="12"/>
      <c r="E619" s="12"/>
      <c r="F619" s="12"/>
      <c r="G619" s="2014">
        <f>C574</f>
        <v>0</v>
      </c>
      <c r="H619" s="2014"/>
      <c r="I619" s="2014"/>
      <c r="J619" s="2014"/>
      <c r="K619" s="2014"/>
      <c r="L619" s="2014"/>
      <c r="M619" s="2014"/>
      <c r="N619" s="2014"/>
      <c r="O619" s="2014"/>
      <c r="P619" s="2014"/>
      <c r="Q619" s="2014"/>
      <c r="R619" s="2014"/>
      <c r="S619" s="12"/>
      <c r="T619" s="87" t="s">
        <v>373</v>
      </c>
      <c r="U619" s="12" t="s">
        <v>496</v>
      </c>
      <c r="V619" s="12"/>
      <c r="W619" s="12"/>
      <c r="X619" s="12"/>
      <c r="Y619" s="12"/>
      <c r="Z619" s="2014">
        <f>C575</f>
        <v>0</v>
      </c>
      <c r="AA619" s="2014"/>
      <c r="AB619" s="2014"/>
      <c r="AC619" s="2014"/>
      <c r="AD619" s="2014"/>
      <c r="AE619" s="2014"/>
      <c r="AF619" s="2014"/>
      <c r="AG619" s="2014"/>
      <c r="AH619" s="2014"/>
      <c r="AI619" s="2014"/>
      <c r="AJ619" s="2014"/>
      <c r="AK619" s="2014"/>
      <c r="AL619" s="12"/>
      <c r="AM619" s="39"/>
      <c r="AN619" s="39"/>
      <c r="AO619" s="39"/>
      <c r="AP619" s="39"/>
      <c r="AQ619" s="39"/>
      <c r="AR619" s="39"/>
      <c r="AS619" s="39"/>
      <c r="AT619" s="39"/>
      <c r="AU619" s="39"/>
      <c r="AV619" s="39"/>
      <c r="AW619" s="39"/>
      <c r="AX619" s="39"/>
      <c r="AY619" s="39"/>
      <c r="AZ619" s="58"/>
      <c r="BA619" s="58"/>
      <c r="BB619" s="58"/>
      <c r="BC619" s="58"/>
      <c r="BD619" s="58"/>
      <c r="BE619" s="2033">
        <f t="shared" si="4"/>
        <v>0</v>
      </c>
      <c r="BF619" s="2035"/>
      <c r="BG619" s="2354">
        <f t="shared" si="5"/>
        <v>0</v>
      </c>
      <c r="BH619" s="2355"/>
      <c r="BI619" s="2033">
        <f t="shared" si="6"/>
        <v>1</v>
      </c>
      <c r="BJ619" s="2035"/>
      <c r="BK619" s="2354">
        <f t="shared" si="7"/>
        <v>4</v>
      </c>
      <c r="BL619" s="2355"/>
      <c r="BM619" s="58"/>
      <c r="BN619" s="2025">
        <f t="shared" si="8"/>
        <v>0</v>
      </c>
      <c r="BO619" s="2026"/>
      <c r="BP619" s="2026"/>
      <c r="BQ619" s="2026"/>
      <c r="BR619" s="2027"/>
      <c r="BS619" s="2024">
        <f t="shared" si="9"/>
        <v>0</v>
      </c>
      <c r="BT619" s="2024"/>
      <c r="BU619" s="2024"/>
      <c r="BV619" s="2024"/>
      <c r="BW619" s="2024"/>
      <c r="BX619" s="2024">
        <f t="shared" si="10"/>
        <v>4</v>
      </c>
      <c r="BY619" s="2024"/>
      <c r="BZ619" s="2024"/>
      <c r="CA619" s="2024"/>
      <c r="CB619" s="2024"/>
      <c r="CC619" s="2024">
        <f t="shared" si="11"/>
        <v>0</v>
      </c>
      <c r="CD619" s="2024"/>
      <c r="CE619" s="2024"/>
      <c r="CF619" s="2024"/>
      <c r="CG619" s="2024"/>
      <c r="CH619" s="2024">
        <f t="shared" si="12"/>
        <v>0</v>
      </c>
      <c r="CI619" s="2024"/>
      <c r="CJ619" s="2024"/>
      <c r="CK619" s="2024"/>
      <c r="CL619" s="2024"/>
      <c r="CM619" s="2024">
        <f t="shared" si="13"/>
        <v>0</v>
      </c>
      <c r="CN619" s="2024"/>
      <c r="CO619" s="2024"/>
      <c r="CP619" s="2024"/>
      <c r="CQ619" s="2024"/>
      <c r="CR619" s="265"/>
      <c r="CS619" s="2045">
        <f t="shared" si="14"/>
        <v>0</v>
      </c>
      <c r="CT619" s="2045"/>
      <c r="CU619" s="2045"/>
      <c r="CV619" s="2045"/>
      <c r="CW619" s="2045"/>
      <c r="CX619" s="2045">
        <f t="shared" si="15"/>
        <v>0</v>
      </c>
      <c r="CY619" s="2045"/>
      <c r="CZ619" s="2045"/>
      <c r="DA619" s="2045"/>
      <c r="DB619" s="2045"/>
      <c r="DC619" s="2045">
        <f t="shared" si="16"/>
        <v>4</v>
      </c>
      <c r="DD619" s="2045"/>
      <c r="DE619" s="2045"/>
      <c r="DF619" s="2045"/>
      <c r="DG619" s="2045"/>
      <c r="DH619" s="2045">
        <f t="shared" si="17"/>
        <v>0</v>
      </c>
      <c r="DI619" s="2045"/>
      <c r="DJ619" s="2045"/>
      <c r="DK619" s="2045"/>
      <c r="DL619" s="2045"/>
      <c r="DM619" s="2045">
        <f t="shared" si="18"/>
        <v>0</v>
      </c>
      <c r="DN619" s="2045"/>
      <c r="DO619" s="2045"/>
      <c r="DP619" s="2045"/>
      <c r="DQ619" s="2045"/>
      <c r="DR619" s="2045">
        <f t="shared" si="19"/>
        <v>0</v>
      </c>
      <c r="DS619" s="2045"/>
      <c r="DT619" s="2045"/>
      <c r="DU619" s="2045"/>
      <c r="DV619" s="2045"/>
      <c r="DX619" s="2033" t="str">
        <f t="shared" si="20"/>
        <v xml:space="preserve"> </v>
      </c>
      <c r="DY619" s="2034"/>
      <c r="DZ619" s="2034"/>
      <c r="EA619" s="2034"/>
      <c r="EB619" s="2035"/>
      <c r="EC619" s="2033" t="str">
        <f t="shared" si="21"/>
        <v xml:space="preserve"> </v>
      </c>
      <c r="ED619" s="2034"/>
      <c r="EE619" s="2034"/>
      <c r="EF619" s="2034"/>
      <c r="EG619" s="2035"/>
      <c r="EH619" s="2033">
        <f t="shared" si="22"/>
        <v>1062</v>
      </c>
      <c r="EI619" s="2034"/>
      <c r="EJ619" s="2034"/>
      <c r="EK619" s="2034"/>
      <c r="EL619" s="2035"/>
      <c r="EM619" s="2033" t="str">
        <f t="shared" si="23"/>
        <v xml:space="preserve"> </v>
      </c>
      <c r="EN619" s="2034"/>
      <c r="EO619" s="2034"/>
      <c r="EP619" s="2034"/>
      <c r="EQ619" s="2035"/>
      <c r="ER619" s="2033" t="str">
        <f t="shared" si="24"/>
        <v xml:space="preserve"> </v>
      </c>
      <c r="ES619" s="2034"/>
      <c r="ET619" s="2034"/>
      <c r="EU619" s="2034"/>
      <c r="EV619" s="2035"/>
      <c r="EW619" s="2033" t="str">
        <f t="shared" si="25"/>
        <v xml:space="preserve"> </v>
      </c>
      <c r="EX619" s="2034"/>
      <c r="EY619" s="2034"/>
      <c r="EZ619" s="2034"/>
      <c r="FA619" s="2035"/>
    </row>
    <row r="620" spans="1:157" s="7" customFormat="1" ht="12.75">
      <c r="A620" s="12"/>
      <c r="B620" s="12" t="s">
        <v>90</v>
      </c>
      <c r="C620" s="12"/>
      <c r="D620" s="12"/>
      <c r="E620" s="12"/>
      <c r="F620" s="12"/>
      <c r="G620" s="2055"/>
      <c r="H620" s="2055"/>
      <c r="I620" s="2055"/>
      <c r="J620" s="2055"/>
      <c r="K620" s="2055"/>
      <c r="L620" s="2055"/>
      <c r="M620" s="2055"/>
      <c r="N620" s="2055"/>
      <c r="O620" s="2055"/>
      <c r="P620" s="2055"/>
      <c r="Q620" s="2055"/>
      <c r="R620" s="2055"/>
      <c r="S620" s="12"/>
      <c r="T620" s="12"/>
      <c r="U620" s="12" t="s">
        <v>90</v>
      </c>
      <c r="V620" s="12"/>
      <c r="W620" s="12"/>
      <c r="X620" s="12"/>
      <c r="Y620" s="12"/>
      <c r="Z620" s="2055"/>
      <c r="AA620" s="2055"/>
      <c r="AB620" s="2055"/>
      <c r="AC620" s="2055"/>
      <c r="AD620" s="2055"/>
      <c r="AE620" s="2055"/>
      <c r="AF620" s="2055"/>
      <c r="AG620" s="2055"/>
      <c r="AH620" s="2055"/>
      <c r="AI620" s="2055"/>
      <c r="AJ620" s="2055"/>
      <c r="AK620" s="2055"/>
      <c r="AL620" s="12"/>
      <c r="AM620" s="39"/>
      <c r="AN620" s="39"/>
      <c r="AO620" s="39"/>
      <c r="AP620" s="39"/>
      <c r="AQ620" s="39"/>
      <c r="AR620" s="39"/>
      <c r="AS620" s="39"/>
      <c r="AT620" s="39"/>
      <c r="AU620" s="39"/>
      <c r="AV620" s="39"/>
      <c r="AW620" s="39"/>
      <c r="AX620" s="39"/>
      <c r="AY620" s="39"/>
      <c r="AZ620" s="58"/>
      <c r="BA620" s="58"/>
      <c r="BB620" s="58"/>
      <c r="BC620" s="58"/>
      <c r="BD620" s="58"/>
      <c r="BE620" s="2033">
        <f t="shared" si="4"/>
        <v>1</v>
      </c>
      <c r="BF620" s="2035"/>
      <c r="BG620" s="2354">
        <f t="shared" si="5"/>
        <v>5</v>
      </c>
      <c r="BH620" s="2355"/>
      <c r="BI620" s="2033">
        <f t="shared" si="6"/>
        <v>0</v>
      </c>
      <c r="BJ620" s="2035"/>
      <c r="BK620" s="2354">
        <f t="shared" si="7"/>
        <v>0</v>
      </c>
      <c r="BL620" s="2355"/>
      <c r="BM620" s="58"/>
      <c r="BN620" s="2025">
        <f t="shared" si="8"/>
        <v>0</v>
      </c>
      <c r="BO620" s="2026"/>
      <c r="BP620" s="2026"/>
      <c r="BQ620" s="2026"/>
      <c r="BR620" s="2027"/>
      <c r="BS620" s="2024">
        <f t="shared" si="9"/>
        <v>0</v>
      </c>
      <c r="BT620" s="2024"/>
      <c r="BU620" s="2024"/>
      <c r="BV620" s="2024"/>
      <c r="BW620" s="2024"/>
      <c r="BX620" s="2024">
        <f t="shared" si="10"/>
        <v>5</v>
      </c>
      <c r="BY620" s="2024"/>
      <c r="BZ620" s="2024"/>
      <c r="CA620" s="2024"/>
      <c r="CB620" s="2024"/>
      <c r="CC620" s="2024">
        <f t="shared" si="11"/>
        <v>0</v>
      </c>
      <c r="CD620" s="2024"/>
      <c r="CE620" s="2024"/>
      <c r="CF620" s="2024"/>
      <c r="CG620" s="2024"/>
      <c r="CH620" s="2024">
        <f t="shared" si="12"/>
        <v>0</v>
      </c>
      <c r="CI620" s="2024"/>
      <c r="CJ620" s="2024"/>
      <c r="CK620" s="2024"/>
      <c r="CL620" s="2024"/>
      <c r="CM620" s="2024">
        <f t="shared" si="13"/>
        <v>0</v>
      </c>
      <c r="CN620" s="2024"/>
      <c r="CO620" s="2024"/>
      <c r="CP620" s="2024"/>
      <c r="CQ620" s="2024"/>
      <c r="CR620" s="265"/>
      <c r="CS620" s="2045">
        <f t="shared" si="14"/>
        <v>0</v>
      </c>
      <c r="CT620" s="2045"/>
      <c r="CU620" s="2045"/>
      <c r="CV620" s="2045"/>
      <c r="CW620" s="2045"/>
      <c r="CX620" s="2045">
        <f t="shared" si="15"/>
        <v>0</v>
      </c>
      <c r="CY620" s="2045"/>
      <c r="CZ620" s="2045"/>
      <c r="DA620" s="2045"/>
      <c r="DB620" s="2045"/>
      <c r="DC620" s="2045">
        <f t="shared" si="16"/>
        <v>0</v>
      </c>
      <c r="DD620" s="2045"/>
      <c r="DE620" s="2045"/>
      <c r="DF620" s="2045"/>
      <c r="DG620" s="2045"/>
      <c r="DH620" s="2045">
        <f t="shared" si="17"/>
        <v>0</v>
      </c>
      <c r="DI620" s="2045"/>
      <c r="DJ620" s="2045"/>
      <c r="DK620" s="2045"/>
      <c r="DL620" s="2045"/>
      <c r="DM620" s="2045">
        <f t="shared" si="18"/>
        <v>0</v>
      </c>
      <c r="DN620" s="2045"/>
      <c r="DO620" s="2045"/>
      <c r="DP620" s="2045"/>
      <c r="DQ620" s="2045"/>
      <c r="DR620" s="2045">
        <f t="shared" si="19"/>
        <v>0</v>
      </c>
      <c r="DS620" s="2045"/>
      <c r="DT620" s="2045"/>
      <c r="DU620" s="2045"/>
      <c r="DV620" s="2045"/>
      <c r="DX620" s="2033" t="str">
        <f t="shared" si="20"/>
        <v xml:space="preserve"> </v>
      </c>
      <c r="DY620" s="2034"/>
      <c r="DZ620" s="2034"/>
      <c r="EA620" s="2034"/>
      <c r="EB620" s="2035"/>
      <c r="EC620" s="2033" t="str">
        <f t="shared" si="21"/>
        <v xml:space="preserve"> </v>
      </c>
      <c r="ED620" s="2034"/>
      <c r="EE620" s="2034"/>
      <c r="EF620" s="2034"/>
      <c r="EG620" s="2035"/>
      <c r="EH620" s="2033">
        <f t="shared" si="22"/>
        <v>1808</v>
      </c>
      <c r="EI620" s="2034"/>
      <c r="EJ620" s="2034"/>
      <c r="EK620" s="2034"/>
      <c r="EL620" s="2035"/>
      <c r="EM620" s="2033" t="str">
        <f t="shared" si="23"/>
        <v xml:space="preserve"> </v>
      </c>
      <c r="EN620" s="2034"/>
      <c r="EO620" s="2034"/>
      <c r="EP620" s="2034"/>
      <c r="EQ620" s="2035"/>
      <c r="ER620" s="2033" t="str">
        <f t="shared" si="24"/>
        <v xml:space="preserve"> </v>
      </c>
      <c r="ES620" s="2034"/>
      <c r="ET620" s="2034"/>
      <c r="EU620" s="2034"/>
      <c r="EV620" s="2035"/>
      <c r="EW620" s="2033" t="str">
        <f t="shared" si="25"/>
        <v xml:space="preserve"> </v>
      </c>
      <c r="EX620" s="2034"/>
      <c r="EY620" s="2034"/>
      <c r="EZ620" s="2034"/>
      <c r="FA620" s="2035"/>
    </row>
    <row r="621" spans="1:157" ht="12.75">
      <c r="B621" s="12" t="s">
        <v>615</v>
      </c>
      <c r="G621" s="2055"/>
      <c r="H621" s="2055"/>
      <c r="I621" s="2055"/>
      <c r="J621" s="2055"/>
      <c r="K621" s="2055"/>
      <c r="L621" s="2055"/>
      <c r="M621" s="2055"/>
      <c r="N621" s="2055"/>
      <c r="O621" s="2055"/>
      <c r="P621" s="2055"/>
      <c r="Q621" s="2055"/>
      <c r="R621" s="2055"/>
      <c r="U621" s="12" t="s">
        <v>615</v>
      </c>
      <c r="Z621" s="2288"/>
      <c r="AA621" s="2288"/>
      <c r="AB621" s="2288"/>
      <c r="AC621" s="2288"/>
      <c r="AD621" s="2288"/>
      <c r="AE621" s="2288"/>
      <c r="AF621" s="2288"/>
      <c r="AG621" s="2288"/>
      <c r="AH621" s="2288"/>
      <c r="AI621" s="2288"/>
      <c r="AJ621" s="2288"/>
      <c r="AK621" s="2288"/>
      <c r="AZ621" s="58"/>
      <c r="BA621" s="58"/>
      <c r="BB621" s="58"/>
      <c r="BC621" s="58"/>
      <c r="BD621" s="58"/>
      <c r="BE621" s="2033">
        <f t="shared" si="4"/>
        <v>0</v>
      </c>
      <c r="BF621" s="2035"/>
      <c r="BG621" s="2354">
        <f t="shared" si="5"/>
        <v>0</v>
      </c>
      <c r="BH621" s="2355"/>
      <c r="BI621" s="2033">
        <f t="shared" si="6"/>
        <v>0</v>
      </c>
      <c r="BJ621" s="2035"/>
      <c r="BK621" s="2354">
        <f t="shared" si="7"/>
        <v>0</v>
      </c>
      <c r="BL621" s="2355"/>
      <c r="BM621" s="58"/>
      <c r="BN621" s="2025">
        <f t="shared" si="8"/>
        <v>0</v>
      </c>
      <c r="BO621" s="2026"/>
      <c r="BP621" s="2026"/>
      <c r="BQ621" s="2026"/>
      <c r="BR621" s="2027"/>
      <c r="BS621" s="2024">
        <f t="shared" si="9"/>
        <v>0</v>
      </c>
      <c r="BT621" s="2024"/>
      <c r="BU621" s="2024"/>
      <c r="BV621" s="2024"/>
      <c r="BW621" s="2024"/>
      <c r="BX621" s="2024">
        <f t="shared" si="10"/>
        <v>32</v>
      </c>
      <c r="BY621" s="2024"/>
      <c r="BZ621" s="2024"/>
      <c r="CA621" s="2024"/>
      <c r="CB621" s="2024"/>
      <c r="CC621" s="2024">
        <f t="shared" si="11"/>
        <v>0</v>
      </c>
      <c r="CD621" s="2024"/>
      <c r="CE621" s="2024"/>
      <c r="CF621" s="2024"/>
      <c r="CG621" s="2024"/>
      <c r="CH621" s="2024">
        <f t="shared" si="12"/>
        <v>0</v>
      </c>
      <c r="CI621" s="2024"/>
      <c r="CJ621" s="2024"/>
      <c r="CK621" s="2024"/>
      <c r="CL621" s="2024"/>
      <c r="CM621" s="2024">
        <f t="shared" si="13"/>
        <v>0</v>
      </c>
      <c r="CN621" s="2024"/>
      <c r="CO621" s="2024"/>
      <c r="CP621" s="2024"/>
      <c r="CQ621" s="2024"/>
      <c r="CR621" s="265"/>
      <c r="CS621" s="2045">
        <f t="shared" si="14"/>
        <v>0</v>
      </c>
      <c r="CT621" s="2045"/>
      <c r="CU621" s="2045"/>
      <c r="CV621" s="2045"/>
      <c r="CW621" s="2045"/>
      <c r="CX621" s="2045">
        <f t="shared" si="15"/>
        <v>0</v>
      </c>
      <c r="CY621" s="2045"/>
      <c r="CZ621" s="2045"/>
      <c r="DA621" s="2045"/>
      <c r="DB621" s="2045"/>
      <c r="DC621" s="2045">
        <f t="shared" si="16"/>
        <v>0</v>
      </c>
      <c r="DD621" s="2045"/>
      <c r="DE621" s="2045"/>
      <c r="DF621" s="2045"/>
      <c r="DG621" s="2045"/>
      <c r="DH621" s="2045">
        <f t="shared" si="17"/>
        <v>0</v>
      </c>
      <c r="DI621" s="2045"/>
      <c r="DJ621" s="2045"/>
      <c r="DK621" s="2045"/>
      <c r="DL621" s="2045"/>
      <c r="DM621" s="2045">
        <f t="shared" si="18"/>
        <v>0</v>
      </c>
      <c r="DN621" s="2045"/>
      <c r="DO621" s="2045"/>
      <c r="DP621" s="2045"/>
      <c r="DQ621" s="2045"/>
      <c r="DR621" s="2045">
        <f t="shared" si="19"/>
        <v>0</v>
      </c>
      <c r="DS621" s="2045"/>
      <c r="DT621" s="2045"/>
      <c r="DU621" s="2045"/>
      <c r="DV621" s="2045"/>
      <c r="DX621" s="2033" t="str">
        <f t="shared" si="20"/>
        <v xml:space="preserve"> </v>
      </c>
      <c r="DY621" s="2034"/>
      <c r="DZ621" s="2034"/>
      <c r="EA621" s="2034"/>
      <c r="EB621" s="2035"/>
      <c r="EC621" s="2033" t="str">
        <f t="shared" si="21"/>
        <v xml:space="preserve"> </v>
      </c>
      <c r="ED621" s="2034"/>
      <c r="EE621" s="2034"/>
      <c r="EF621" s="2034"/>
      <c r="EG621" s="2035"/>
      <c r="EH621" s="2033">
        <f t="shared" si="22"/>
        <v>2181</v>
      </c>
      <c r="EI621" s="2034"/>
      <c r="EJ621" s="2034"/>
      <c r="EK621" s="2034"/>
      <c r="EL621" s="2035"/>
      <c r="EM621" s="2033" t="str">
        <f t="shared" si="23"/>
        <v xml:space="preserve"> </v>
      </c>
      <c r="EN621" s="2034"/>
      <c r="EO621" s="2034"/>
      <c r="EP621" s="2034"/>
      <c r="EQ621" s="2035"/>
      <c r="ER621" s="2033" t="str">
        <f t="shared" si="24"/>
        <v xml:space="preserve"> </v>
      </c>
      <c r="ES621" s="2034"/>
      <c r="ET621" s="2034"/>
      <c r="EU621" s="2034"/>
      <c r="EV621" s="2035"/>
      <c r="EW621" s="2033" t="str">
        <f t="shared" si="25"/>
        <v xml:space="preserve"> </v>
      </c>
      <c r="EX621" s="2034"/>
      <c r="EY621" s="2034"/>
      <c r="EZ621" s="2034"/>
      <c r="FA621" s="2035"/>
    </row>
    <row r="622" spans="1:157" ht="12.75">
      <c r="B622" s="12" t="s">
        <v>17</v>
      </c>
      <c r="G622" s="2055"/>
      <c r="H622" s="2055"/>
      <c r="I622" s="2055"/>
      <c r="J622" s="2055"/>
      <c r="K622" s="2055"/>
      <c r="L622" s="2055"/>
      <c r="M622" s="2055"/>
      <c r="N622" s="2055"/>
      <c r="O622" s="2055"/>
      <c r="P622" s="2055"/>
      <c r="Q622" s="2055"/>
      <c r="R622" s="2055"/>
      <c r="U622" s="12" t="s">
        <v>17</v>
      </c>
      <c r="Z622" s="2288"/>
      <c r="AA622" s="2288"/>
      <c r="AB622" s="2288"/>
      <c r="AC622" s="2288"/>
      <c r="AD622" s="2288"/>
      <c r="AE622" s="2288"/>
      <c r="AF622" s="2288"/>
      <c r="AG622" s="2288"/>
      <c r="AH622" s="2288"/>
      <c r="AI622" s="2288"/>
      <c r="AJ622" s="2288"/>
      <c r="AK622" s="2288"/>
      <c r="AZ622" s="58"/>
      <c r="BA622" s="58"/>
      <c r="BB622" s="58"/>
      <c r="BC622" s="58"/>
      <c r="BD622" s="58"/>
      <c r="BE622" s="2033">
        <f t="shared" si="4"/>
        <v>0</v>
      </c>
      <c r="BF622" s="2035"/>
      <c r="BG622" s="2354">
        <f t="shared" si="5"/>
        <v>0</v>
      </c>
      <c r="BH622" s="2355"/>
      <c r="BI622" s="2033">
        <f t="shared" si="6"/>
        <v>1</v>
      </c>
      <c r="BJ622" s="2035"/>
      <c r="BK622" s="2354">
        <f t="shared" si="7"/>
        <v>5</v>
      </c>
      <c r="BL622" s="2355"/>
      <c r="BM622" s="58"/>
      <c r="BN622" s="2025">
        <f t="shared" si="8"/>
        <v>0</v>
      </c>
      <c r="BO622" s="2026"/>
      <c r="BP622" s="2026"/>
      <c r="BQ622" s="2026"/>
      <c r="BR622" s="2027"/>
      <c r="BS622" s="2024">
        <f t="shared" si="9"/>
        <v>0</v>
      </c>
      <c r="BT622" s="2024"/>
      <c r="BU622" s="2024"/>
      <c r="BV622" s="2024"/>
      <c r="BW622" s="2024"/>
      <c r="BX622" s="2024">
        <f t="shared" si="10"/>
        <v>0</v>
      </c>
      <c r="BY622" s="2024"/>
      <c r="BZ622" s="2024"/>
      <c r="CA622" s="2024"/>
      <c r="CB622" s="2024"/>
      <c r="CC622" s="2024">
        <f t="shared" si="11"/>
        <v>5</v>
      </c>
      <c r="CD622" s="2024"/>
      <c r="CE622" s="2024"/>
      <c r="CF622" s="2024"/>
      <c r="CG622" s="2024"/>
      <c r="CH622" s="2024">
        <f t="shared" si="12"/>
        <v>0</v>
      </c>
      <c r="CI622" s="2024"/>
      <c r="CJ622" s="2024"/>
      <c r="CK622" s="2024"/>
      <c r="CL622" s="2024"/>
      <c r="CM622" s="2024">
        <f t="shared" si="13"/>
        <v>0</v>
      </c>
      <c r="CN622" s="2024"/>
      <c r="CO622" s="2024"/>
      <c r="CP622" s="2024"/>
      <c r="CQ622" s="2024"/>
      <c r="CR622" s="265"/>
      <c r="CS622" s="2045">
        <f t="shared" si="14"/>
        <v>0</v>
      </c>
      <c r="CT622" s="2045"/>
      <c r="CU622" s="2045"/>
      <c r="CV622" s="2045"/>
      <c r="CW622" s="2045"/>
      <c r="CX622" s="2045">
        <f t="shared" si="15"/>
        <v>0</v>
      </c>
      <c r="CY622" s="2045"/>
      <c r="CZ622" s="2045"/>
      <c r="DA622" s="2045"/>
      <c r="DB622" s="2045"/>
      <c r="DC622" s="2045">
        <f t="shared" si="16"/>
        <v>0</v>
      </c>
      <c r="DD622" s="2045"/>
      <c r="DE622" s="2045"/>
      <c r="DF622" s="2045"/>
      <c r="DG622" s="2045"/>
      <c r="DH622" s="2045">
        <f t="shared" si="17"/>
        <v>5</v>
      </c>
      <c r="DI622" s="2045"/>
      <c r="DJ622" s="2045"/>
      <c r="DK622" s="2045"/>
      <c r="DL622" s="2045"/>
      <c r="DM622" s="2045">
        <f t="shared" si="18"/>
        <v>0</v>
      </c>
      <c r="DN622" s="2045"/>
      <c r="DO622" s="2045"/>
      <c r="DP622" s="2045"/>
      <c r="DQ622" s="2045"/>
      <c r="DR622" s="2045">
        <f t="shared" si="19"/>
        <v>0</v>
      </c>
      <c r="DS622" s="2045"/>
      <c r="DT622" s="2045"/>
      <c r="DU622" s="2045"/>
      <c r="DV622" s="2045"/>
      <c r="DX622" s="2033" t="str">
        <f t="shared" si="20"/>
        <v xml:space="preserve"> </v>
      </c>
      <c r="DY622" s="2034"/>
      <c r="DZ622" s="2034"/>
      <c r="EA622" s="2034"/>
      <c r="EB622" s="2035"/>
      <c r="EC622" s="2033" t="str">
        <f t="shared" si="21"/>
        <v xml:space="preserve"> </v>
      </c>
      <c r="ED622" s="2034"/>
      <c r="EE622" s="2034"/>
      <c r="EF622" s="2034"/>
      <c r="EG622" s="2035"/>
      <c r="EH622" s="2033" t="str">
        <f t="shared" si="22"/>
        <v xml:space="preserve"> </v>
      </c>
      <c r="EI622" s="2034"/>
      <c r="EJ622" s="2034"/>
      <c r="EK622" s="2034"/>
      <c r="EL622" s="2035"/>
      <c r="EM622" s="2033">
        <f t="shared" si="23"/>
        <v>1220</v>
      </c>
      <c r="EN622" s="2034"/>
      <c r="EO622" s="2034"/>
      <c r="EP622" s="2034"/>
      <c r="EQ622" s="2035"/>
      <c r="ER622" s="2033" t="str">
        <f t="shared" si="24"/>
        <v xml:space="preserve"> </v>
      </c>
      <c r="ES622" s="2034"/>
      <c r="ET622" s="2034"/>
      <c r="EU622" s="2034"/>
      <c r="EV622" s="2035"/>
      <c r="EW622" s="2033" t="str">
        <f t="shared" si="25"/>
        <v xml:space="preserve"> </v>
      </c>
      <c r="EX622" s="2034"/>
      <c r="EY622" s="2034"/>
      <c r="EZ622" s="2034"/>
      <c r="FA622" s="2035"/>
    </row>
    <row r="623" spans="1:157" ht="12.75">
      <c r="B623" s="12" t="s">
        <v>325</v>
      </c>
      <c r="G623" s="2057"/>
      <c r="H623" s="2057"/>
      <c r="I623" s="2057"/>
      <c r="J623" s="2057"/>
      <c r="K623" s="2057"/>
      <c r="L623" s="2057"/>
      <c r="O623" s="137" t="s">
        <v>212</v>
      </c>
      <c r="P623" s="2066"/>
      <c r="Q623" s="2066"/>
      <c r="R623" s="2066"/>
      <c r="U623" s="12" t="s">
        <v>325</v>
      </c>
      <c r="Z623" s="2057"/>
      <c r="AA623" s="2057"/>
      <c r="AB623" s="2057"/>
      <c r="AC623" s="2057"/>
      <c r="AD623" s="2057"/>
      <c r="AE623" s="2057"/>
      <c r="AH623" s="137" t="s">
        <v>212</v>
      </c>
      <c r="AI623" s="2066"/>
      <c r="AJ623" s="2066"/>
      <c r="AK623" s="2066"/>
      <c r="AZ623" s="58"/>
      <c r="BA623" s="58"/>
      <c r="BB623" s="58"/>
      <c r="BC623" s="58"/>
      <c r="BD623" s="58"/>
      <c r="BE623" s="2033">
        <f t="shared" si="4"/>
        <v>1</v>
      </c>
      <c r="BF623" s="2035"/>
      <c r="BG623" s="2354">
        <f t="shared" si="5"/>
        <v>5</v>
      </c>
      <c r="BH623" s="2355"/>
      <c r="BI623" s="2033">
        <f t="shared" si="6"/>
        <v>0</v>
      </c>
      <c r="BJ623" s="2035"/>
      <c r="BK623" s="2354">
        <f t="shared" si="7"/>
        <v>0</v>
      </c>
      <c r="BL623" s="2355"/>
      <c r="BM623" s="58"/>
      <c r="BN623" s="2025">
        <f t="shared" si="8"/>
        <v>0</v>
      </c>
      <c r="BO623" s="2026"/>
      <c r="BP623" s="2026"/>
      <c r="BQ623" s="2026"/>
      <c r="BR623" s="2027"/>
      <c r="BS623" s="2024">
        <f t="shared" si="9"/>
        <v>0</v>
      </c>
      <c r="BT623" s="2024"/>
      <c r="BU623" s="2024"/>
      <c r="BV623" s="2024"/>
      <c r="BW623" s="2024"/>
      <c r="BX623" s="2024">
        <f t="shared" si="10"/>
        <v>0</v>
      </c>
      <c r="BY623" s="2024"/>
      <c r="BZ623" s="2024"/>
      <c r="CA623" s="2024"/>
      <c r="CB623" s="2024"/>
      <c r="CC623" s="2024">
        <f t="shared" si="11"/>
        <v>5</v>
      </c>
      <c r="CD623" s="2024"/>
      <c r="CE623" s="2024"/>
      <c r="CF623" s="2024"/>
      <c r="CG623" s="2024"/>
      <c r="CH623" s="2024">
        <f t="shared" si="12"/>
        <v>0</v>
      </c>
      <c r="CI623" s="2024"/>
      <c r="CJ623" s="2024"/>
      <c r="CK623" s="2024"/>
      <c r="CL623" s="2024"/>
      <c r="CM623" s="2024">
        <f t="shared" si="13"/>
        <v>0</v>
      </c>
      <c r="CN623" s="2024"/>
      <c r="CO623" s="2024"/>
      <c r="CP623" s="2024"/>
      <c r="CQ623" s="2024"/>
      <c r="CR623" s="265"/>
      <c r="CS623" s="2045">
        <f t="shared" si="14"/>
        <v>0</v>
      </c>
      <c r="CT623" s="2045"/>
      <c r="CU623" s="2045"/>
      <c r="CV623" s="2045"/>
      <c r="CW623" s="2045"/>
      <c r="CX623" s="2045">
        <f t="shared" si="15"/>
        <v>0</v>
      </c>
      <c r="CY623" s="2045"/>
      <c r="CZ623" s="2045"/>
      <c r="DA623" s="2045"/>
      <c r="DB623" s="2045"/>
      <c r="DC623" s="2045">
        <f t="shared" si="16"/>
        <v>0</v>
      </c>
      <c r="DD623" s="2045"/>
      <c r="DE623" s="2045"/>
      <c r="DF623" s="2045"/>
      <c r="DG623" s="2045"/>
      <c r="DH623" s="2045">
        <f t="shared" si="17"/>
        <v>0</v>
      </c>
      <c r="DI623" s="2045"/>
      <c r="DJ623" s="2045"/>
      <c r="DK623" s="2045"/>
      <c r="DL623" s="2045"/>
      <c r="DM623" s="2045">
        <f t="shared" si="18"/>
        <v>0</v>
      </c>
      <c r="DN623" s="2045"/>
      <c r="DO623" s="2045"/>
      <c r="DP623" s="2045"/>
      <c r="DQ623" s="2045"/>
      <c r="DR623" s="2045">
        <f t="shared" si="19"/>
        <v>0</v>
      </c>
      <c r="DS623" s="2045"/>
      <c r="DT623" s="2045"/>
      <c r="DU623" s="2045"/>
      <c r="DV623" s="2045"/>
      <c r="DX623" s="2033" t="str">
        <f t="shared" si="20"/>
        <v xml:space="preserve"> </v>
      </c>
      <c r="DY623" s="2034"/>
      <c r="DZ623" s="2034"/>
      <c r="EA623" s="2034"/>
      <c r="EB623" s="2035"/>
      <c r="EC623" s="2033" t="str">
        <f t="shared" si="21"/>
        <v xml:space="preserve"> </v>
      </c>
      <c r="ED623" s="2034"/>
      <c r="EE623" s="2034"/>
      <c r="EF623" s="2034"/>
      <c r="EG623" s="2035"/>
      <c r="EH623" s="2033" t="str">
        <f t="shared" si="22"/>
        <v xml:space="preserve"> </v>
      </c>
      <c r="EI623" s="2034"/>
      <c r="EJ623" s="2034"/>
      <c r="EK623" s="2034"/>
      <c r="EL623" s="2035"/>
      <c r="EM623" s="2033">
        <f t="shared" si="23"/>
        <v>2082</v>
      </c>
      <c r="EN623" s="2034"/>
      <c r="EO623" s="2034"/>
      <c r="EP623" s="2034"/>
      <c r="EQ623" s="2035"/>
      <c r="ER623" s="2033" t="str">
        <f t="shared" si="24"/>
        <v xml:space="preserve"> </v>
      </c>
      <c r="ES623" s="2034"/>
      <c r="ET623" s="2034"/>
      <c r="EU623" s="2034"/>
      <c r="EV623" s="2035"/>
      <c r="EW623" s="2033" t="str">
        <f t="shared" si="25"/>
        <v xml:space="preserve"> </v>
      </c>
      <c r="EX623" s="2034"/>
      <c r="EY623" s="2034"/>
      <c r="EZ623" s="2034"/>
      <c r="FA623" s="2035"/>
    </row>
    <row r="624" spans="1:157" ht="12.75">
      <c r="B624" s="12" t="s">
        <v>18</v>
      </c>
      <c r="H624" s="2055"/>
      <c r="I624" s="2055"/>
      <c r="J624" s="2055"/>
      <c r="K624" s="2055"/>
      <c r="L624" s="2055"/>
      <c r="M624" s="2055"/>
      <c r="N624" s="2055"/>
      <c r="O624" s="2055"/>
      <c r="P624" s="2055"/>
      <c r="Q624" s="2055"/>
      <c r="R624" s="2055"/>
      <c r="U624" s="12" t="s">
        <v>18</v>
      </c>
      <c r="AA624" s="2055"/>
      <c r="AB624" s="2055"/>
      <c r="AC624" s="2055"/>
      <c r="AD624" s="2055"/>
      <c r="AE624" s="2055"/>
      <c r="AF624" s="2055"/>
      <c r="AG624" s="2055"/>
      <c r="AH624" s="2055"/>
      <c r="AI624" s="2055"/>
      <c r="AJ624" s="2055"/>
      <c r="AK624" s="2055"/>
      <c r="AZ624" s="58"/>
      <c r="BA624" s="58"/>
      <c r="BB624" s="58"/>
      <c r="BC624" s="58"/>
      <c r="BD624" s="58"/>
      <c r="BE624" s="2033">
        <f t="shared" si="4"/>
        <v>0</v>
      </c>
      <c r="BF624" s="2035"/>
      <c r="BG624" s="2354">
        <f t="shared" si="5"/>
        <v>0</v>
      </c>
      <c r="BH624" s="2355"/>
      <c r="BI624" s="2033">
        <f t="shared" si="6"/>
        <v>0</v>
      </c>
      <c r="BJ624" s="2035"/>
      <c r="BK624" s="2354">
        <f t="shared" si="7"/>
        <v>0</v>
      </c>
      <c r="BL624" s="2355"/>
      <c r="BM624" s="58"/>
      <c r="BN624" s="2025">
        <f t="shared" si="8"/>
        <v>0</v>
      </c>
      <c r="BO624" s="2026"/>
      <c r="BP624" s="2026"/>
      <c r="BQ624" s="2026"/>
      <c r="BR624" s="2027"/>
      <c r="BS624" s="2024">
        <f t="shared" si="9"/>
        <v>0</v>
      </c>
      <c r="BT624" s="2024"/>
      <c r="BU624" s="2024"/>
      <c r="BV624" s="2024"/>
      <c r="BW624" s="2024"/>
      <c r="BX624" s="2024">
        <f t="shared" si="10"/>
        <v>0</v>
      </c>
      <c r="BY624" s="2024"/>
      <c r="BZ624" s="2024"/>
      <c r="CA624" s="2024"/>
      <c r="CB624" s="2024"/>
      <c r="CC624" s="2024">
        <f t="shared" si="11"/>
        <v>41</v>
      </c>
      <c r="CD624" s="2024"/>
      <c r="CE624" s="2024"/>
      <c r="CF624" s="2024"/>
      <c r="CG624" s="2024"/>
      <c r="CH624" s="2024">
        <f t="shared" si="12"/>
        <v>0</v>
      </c>
      <c r="CI624" s="2024"/>
      <c r="CJ624" s="2024"/>
      <c r="CK624" s="2024"/>
      <c r="CL624" s="2024"/>
      <c r="CM624" s="2024">
        <f t="shared" si="13"/>
        <v>0</v>
      </c>
      <c r="CN624" s="2024"/>
      <c r="CO624" s="2024"/>
      <c r="CP624" s="2024"/>
      <c r="CQ624" s="2024"/>
      <c r="CR624" s="265"/>
      <c r="CS624" s="2045">
        <f t="shared" si="14"/>
        <v>0</v>
      </c>
      <c r="CT624" s="2045"/>
      <c r="CU624" s="2045"/>
      <c r="CV624" s="2045"/>
      <c r="CW624" s="2045"/>
      <c r="CX624" s="2045">
        <f t="shared" si="15"/>
        <v>0</v>
      </c>
      <c r="CY624" s="2045"/>
      <c r="CZ624" s="2045"/>
      <c r="DA624" s="2045"/>
      <c r="DB624" s="2045"/>
      <c r="DC624" s="2045">
        <f t="shared" si="16"/>
        <v>0</v>
      </c>
      <c r="DD624" s="2045"/>
      <c r="DE624" s="2045"/>
      <c r="DF624" s="2045"/>
      <c r="DG624" s="2045"/>
      <c r="DH624" s="2045">
        <f t="shared" si="17"/>
        <v>0</v>
      </c>
      <c r="DI624" s="2045"/>
      <c r="DJ624" s="2045"/>
      <c r="DK624" s="2045"/>
      <c r="DL624" s="2045"/>
      <c r="DM624" s="2045">
        <f t="shared" si="18"/>
        <v>0</v>
      </c>
      <c r="DN624" s="2045"/>
      <c r="DO624" s="2045"/>
      <c r="DP624" s="2045"/>
      <c r="DQ624" s="2045"/>
      <c r="DR624" s="2045">
        <f t="shared" si="19"/>
        <v>0</v>
      </c>
      <c r="DS624" s="2045"/>
      <c r="DT624" s="2045"/>
      <c r="DU624" s="2045"/>
      <c r="DV624" s="2045"/>
      <c r="DX624" s="2033" t="str">
        <f t="shared" si="20"/>
        <v xml:space="preserve"> </v>
      </c>
      <c r="DY624" s="2034"/>
      <c r="DZ624" s="2034"/>
      <c r="EA624" s="2034"/>
      <c r="EB624" s="2035"/>
      <c r="EC624" s="2033" t="str">
        <f t="shared" si="21"/>
        <v xml:space="preserve"> </v>
      </c>
      <c r="ED624" s="2034"/>
      <c r="EE624" s="2034"/>
      <c r="EF624" s="2034"/>
      <c r="EG624" s="2035"/>
      <c r="EH624" s="2033" t="str">
        <f t="shared" si="22"/>
        <v xml:space="preserve"> </v>
      </c>
      <c r="EI624" s="2034"/>
      <c r="EJ624" s="2034"/>
      <c r="EK624" s="2034"/>
      <c r="EL624" s="2035"/>
      <c r="EM624" s="2033">
        <f t="shared" si="23"/>
        <v>2513</v>
      </c>
      <c r="EN624" s="2034"/>
      <c r="EO624" s="2034"/>
      <c r="EP624" s="2034"/>
      <c r="EQ624" s="2035"/>
      <c r="ER624" s="2033" t="str">
        <f t="shared" si="24"/>
        <v xml:space="preserve"> </v>
      </c>
      <c r="ES624" s="2034"/>
      <c r="ET624" s="2034"/>
      <c r="EU624" s="2034"/>
      <c r="EV624" s="2035"/>
      <c r="EW624" s="2033" t="str">
        <f t="shared" si="25"/>
        <v xml:space="preserve"> </v>
      </c>
      <c r="EX624" s="2034"/>
      <c r="EY624" s="2034"/>
      <c r="EZ624" s="2034"/>
      <c r="FA624" s="2035"/>
    </row>
    <row r="625" spans="1:157" ht="12.75">
      <c r="B625" s="12" t="s">
        <v>20</v>
      </c>
      <c r="N625" s="2028" t="s">
        <v>706</v>
      </c>
      <c r="O625" s="2028"/>
      <c r="U625" s="12" t="s">
        <v>20</v>
      </c>
      <c r="AG625" s="2028" t="s">
        <v>706</v>
      </c>
      <c r="AH625" s="2028"/>
      <c r="AZ625" s="58"/>
      <c r="BA625" s="58"/>
      <c r="BB625" s="58"/>
      <c r="BC625" s="58"/>
      <c r="BD625" s="58"/>
      <c r="BE625" s="2033">
        <f t="shared" si="4"/>
        <v>0</v>
      </c>
      <c r="BF625" s="2035"/>
      <c r="BG625" s="2354">
        <f t="shared" si="5"/>
        <v>0</v>
      </c>
      <c r="BH625" s="2355"/>
      <c r="BI625" s="2033">
        <f t="shared" si="6"/>
        <v>1</v>
      </c>
      <c r="BJ625" s="2035"/>
      <c r="BK625" s="2354">
        <f t="shared" si="7"/>
        <v>1</v>
      </c>
      <c r="BL625" s="2355"/>
      <c r="BM625" s="58"/>
      <c r="BN625" s="2025">
        <f t="shared" si="8"/>
        <v>0</v>
      </c>
      <c r="BO625" s="2026"/>
      <c r="BP625" s="2026"/>
      <c r="BQ625" s="2026"/>
      <c r="BR625" s="2027"/>
      <c r="BS625" s="2024">
        <f t="shared" si="9"/>
        <v>0</v>
      </c>
      <c r="BT625" s="2024"/>
      <c r="BU625" s="2024"/>
      <c r="BV625" s="2024"/>
      <c r="BW625" s="2024"/>
      <c r="BX625" s="2024">
        <f t="shared" si="10"/>
        <v>0</v>
      </c>
      <c r="BY625" s="2024"/>
      <c r="BZ625" s="2024"/>
      <c r="CA625" s="2024"/>
      <c r="CB625" s="2024"/>
      <c r="CC625" s="2024">
        <f t="shared" si="11"/>
        <v>1</v>
      </c>
      <c r="CD625" s="2024"/>
      <c r="CE625" s="2024"/>
      <c r="CF625" s="2024"/>
      <c r="CG625" s="2024"/>
      <c r="CH625" s="2024">
        <f t="shared" si="12"/>
        <v>0</v>
      </c>
      <c r="CI625" s="2024"/>
      <c r="CJ625" s="2024"/>
      <c r="CK625" s="2024"/>
      <c r="CL625" s="2024"/>
      <c r="CM625" s="2024">
        <f t="shared" si="13"/>
        <v>0</v>
      </c>
      <c r="CN625" s="2024"/>
      <c r="CO625" s="2024"/>
      <c r="CP625" s="2024"/>
      <c r="CQ625" s="2024"/>
      <c r="CR625" s="265"/>
      <c r="CS625" s="2045">
        <f t="shared" si="14"/>
        <v>0</v>
      </c>
      <c r="CT625" s="2045"/>
      <c r="CU625" s="2045"/>
      <c r="CV625" s="2045"/>
      <c r="CW625" s="2045"/>
      <c r="CX625" s="2045">
        <f t="shared" si="15"/>
        <v>0</v>
      </c>
      <c r="CY625" s="2045"/>
      <c r="CZ625" s="2045"/>
      <c r="DA625" s="2045"/>
      <c r="DB625" s="2045"/>
      <c r="DC625" s="2045">
        <f t="shared" si="16"/>
        <v>0</v>
      </c>
      <c r="DD625" s="2045"/>
      <c r="DE625" s="2045"/>
      <c r="DF625" s="2045"/>
      <c r="DG625" s="2045"/>
      <c r="DH625" s="2045">
        <f t="shared" si="17"/>
        <v>1</v>
      </c>
      <c r="DI625" s="2045"/>
      <c r="DJ625" s="2045"/>
      <c r="DK625" s="2045"/>
      <c r="DL625" s="2045"/>
      <c r="DM625" s="2045">
        <f t="shared" si="18"/>
        <v>0</v>
      </c>
      <c r="DN625" s="2045"/>
      <c r="DO625" s="2045"/>
      <c r="DP625" s="2045"/>
      <c r="DQ625" s="2045"/>
      <c r="DR625" s="2045">
        <f t="shared" si="19"/>
        <v>0</v>
      </c>
      <c r="DS625" s="2045"/>
      <c r="DT625" s="2045"/>
      <c r="DU625" s="2045"/>
      <c r="DV625" s="2045"/>
      <c r="DX625" s="2033" t="str">
        <f t="shared" si="20"/>
        <v xml:space="preserve"> </v>
      </c>
      <c r="DY625" s="2034"/>
      <c r="DZ625" s="2034"/>
      <c r="EA625" s="2034"/>
      <c r="EB625" s="2035"/>
      <c r="EC625" s="2033" t="str">
        <f t="shared" si="21"/>
        <v xml:space="preserve"> </v>
      </c>
      <c r="ED625" s="2034"/>
      <c r="EE625" s="2034"/>
      <c r="EF625" s="2034"/>
      <c r="EG625" s="2035"/>
      <c r="EH625" s="2033" t="str">
        <f t="shared" si="22"/>
        <v xml:space="preserve"> </v>
      </c>
      <c r="EI625" s="2034"/>
      <c r="EJ625" s="2034"/>
      <c r="EK625" s="2034"/>
      <c r="EL625" s="2035"/>
      <c r="EM625" s="2033">
        <f t="shared" si="23"/>
        <v>1220</v>
      </c>
      <c r="EN625" s="2034"/>
      <c r="EO625" s="2034"/>
      <c r="EP625" s="2034"/>
      <c r="EQ625" s="2035"/>
      <c r="ER625" s="2033" t="str">
        <f t="shared" si="24"/>
        <v xml:space="preserve"> </v>
      </c>
      <c r="ES625" s="2034"/>
      <c r="ET625" s="2034"/>
      <c r="EU625" s="2034"/>
      <c r="EV625" s="2035"/>
      <c r="EW625" s="2033" t="str">
        <f t="shared" si="25"/>
        <v xml:space="preserve"> </v>
      </c>
      <c r="EX625" s="2034"/>
      <c r="EY625" s="2034"/>
      <c r="EZ625" s="2034"/>
      <c r="FA625" s="2035"/>
    </row>
    <row r="626" spans="1:157" ht="12.75">
      <c r="AZ626" s="58"/>
      <c r="BA626" s="58"/>
      <c r="BB626" s="58"/>
      <c r="BC626" s="58"/>
      <c r="BD626" s="58"/>
      <c r="BE626" s="2033">
        <f t="shared" si="4"/>
        <v>1</v>
      </c>
      <c r="BF626" s="2035"/>
      <c r="BG626" s="2354">
        <f t="shared" si="5"/>
        <v>1</v>
      </c>
      <c r="BH626" s="2355"/>
      <c r="BI626" s="2033">
        <f t="shared" si="6"/>
        <v>0</v>
      </c>
      <c r="BJ626" s="2035"/>
      <c r="BK626" s="2354">
        <f t="shared" si="7"/>
        <v>0</v>
      </c>
      <c r="BL626" s="2355"/>
      <c r="BM626" s="58"/>
      <c r="BN626" s="2025">
        <f t="shared" si="8"/>
        <v>0</v>
      </c>
      <c r="BO626" s="2026"/>
      <c r="BP626" s="2026"/>
      <c r="BQ626" s="2026"/>
      <c r="BR626" s="2027"/>
      <c r="BS626" s="2024">
        <f t="shared" si="9"/>
        <v>0</v>
      </c>
      <c r="BT626" s="2024"/>
      <c r="BU626" s="2024"/>
      <c r="BV626" s="2024"/>
      <c r="BW626" s="2024"/>
      <c r="BX626" s="2024">
        <f t="shared" si="10"/>
        <v>0</v>
      </c>
      <c r="BY626" s="2024"/>
      <c r="BZ626" s="2024"/>
      <c r="CA626" s="2024"/>
      <c r="CB626" s="2024"/>
      <c r="CC626" s="2024">
        <f t="shared" si="11"/>
        <v>1</v>
      </c>
      <c r="CD626" s="2024"/>
      <c r="CE626" s="2024"/>
      <c r="CF626" s="2024"/>
      <c r="CG626" s="2024"/>
      <c r="CH626" s="2024">
        <f t="shared" si="12"/>
        <v>0</v>
      </c>
      <c r="CI626" s="2024"/>
      <c r="CJ626" s="2024"/>
      <c r="CK626" s="2024"/>
      <c r="CL626" s="2024"/>
      <c r="CM626" s="2024">
        <f t="shared" si="13"/>
        <v>0</v>
      </c>
      <c r="CN626" s="2024"/>
      <c r="CO626" s="2024"/>
      <c r="CP626" s="2024"/>
      <c r="CQ626" s="2024"/>
      <c r="CR626" s="265"/>
      <c r="CS626" s="2045">
        <f t="shared" si="14"/>
        <v>0</v>
      </c>
      <c r="CT626" s="2045"/>
      <c r="CU626" s="2045"/>
      <c r="CV626" s="2045"/>
      <c r="CW626" s="2045"/>
      <c r="CX626" s="2045">
        <f t="shared" si="15"/>
        <v>0</v>
      </c>
      <c r="CY626" s="2045"/>
      <c r="CZ626" s="2045"/>
      <c r="DA626" s="2045"/>
      <c r="DB626" s="2045"/>
      <c r="DC626" s="2045">
        <f t="shared" si="16"/>
        <v>0</v>
      </c>
      <c r="DD626" s="2045"/>
      <c r="DE626" s="2045"/>
      <c r="DF626" s="2045"/>
      <c r="DG626" s="2045"/>
      <c r="DH626" s="2045">
        <f t="shared" si="17"/>
        <v>0</v>
      </c>
      <c r="DI626" s="2045"/>
      <c r="DJ626" s="2045"/>
      <c r="DK626" s="2045"/>
      <c r="DL626" s="2045"/>
      <c r="DM626" s="2045">
        <f t="shared" si="18"/>
        <v>0</v>
      </c>
      <c r="DN626" s="2045"/>
      <c r="DO626" s="2045"/>
      <c r="DP626" s="2045"/>
      <c r="DQ626" s="2045"/>
      <c r="DR626" s="2045">
        <f t="shared" si="19"/>
        <v>0</v>
      </c>
      <c r="DS626" s="2045"/>
      <c r="DT626" s="2045"/>
      <c r="DU626" s="2045"/>
      <c r="DV626" s="2045"/>
      <c r="DX626" s="2033" t="str">
        <f t="shared" si="20"/>
        <v xml:space="preserve"> </v>
      </c>
      <c r="DY626" s="2034"/>
      <c r="DZ626" s="2034"/>
      <c r="EA626" s="2034"/>
      <c r="EB626" s="2035"/>
      <c r="EC626" s="2033" t="str">
        <f t="shared" si="21"/>
        <v xml:space="preserve"> </v>
      </c>
      <c r="ED626" s="2034"/>
      <c r="EE626" s="2034"/>
      <c r="EF626" s="2034"/>
      <c r="EG626" s="2035"/>
      <c r="EH626" s="2033" t="str">
        <f t="shared" si="22"/>
        <v xml:space="preserve"> </v>
      </c>
      <c r="EI626" s="2034"/>
      <c r="EJ626" s="2034"/>
      <c r="EK626" s="2034"/>
      <c r="EL626" s="2035"/>
      <c r="EM626" s="2033">
        <f t="shared" si="23"/>
        <v>2082</v>
      </c>
      <c r="EN626" s="2034"/>
      <c r="EO626" s="2034"/>
      <c r="EP626" s="2034"/>
      <c r="EQ626" s="2035"/>
      <c r="ER626" s="2033" t="str">
        <f t="shared" si="24"/>
        <v xml:space="preserve"> </v>
      </c>
      <c r="ES626" s="2034"/>
      <c r="ET626" s="2034"/>
      <c r="EU626" s="2034"/>
      <c r="EV626" s="2035"/>
      <c r="EW626" s="2033" t="str">
        <f t="shared" si="25"/>
        <v xml:space="preserve"> </v>
      </c>
      <c r="EX626" s="2034"/>
      <c r="EY626" s="2034"/>
      <c r="EZ626" s="2034"/>
      <c r="FA626" s="2035"/>
    </row>
    <row r="627" spans="1:157" ht="12.75" customHeight="1">
      <c r="A627" s="1862" t="s">
        <v>577</v>
      </c>
      <c r="B627" s="1862"/>
      <c r="C627" s="1862"/>
      <c r="D627" s="1862"/>
      <c r="E627" s="1862"/>
      <c r="F627" s="1862"/>
      <c r="G627" s="1862"/>
      <c r="H627" s="1862"/>
      <c r="I627" s="1862"/>
      <c r="J627" s="1862"/>
      <c r="K627" s="1862"/>
      <c r="L627" s="1862"/>
      <c r="M627" s="1862"/>
      <c r="N627" s="1862"/>
      <c r="O627" s="1862"/>
      <c r="P627" s="1862"/>
      <c r="Q627" s="1862"/>
      <c r="R627" s="1862"/>
      <c r="S627" s="1862"/>
      <c r="T627" s="1862"/>
      <c r="U627" s="1862"/>
      <c r="V627" s="1862"/>
      <c r="W627" s="1862"/>
      <c r="X627" s="1862"/>
      <c r="Y627" s="1862"/>
      <c r="Z627" s="1862"/>
      <c r="AA627" s="1862"/>
      <c r="AB627" s="1862"/>
      <c r="AC627" s="1862"/>
      <c r="AD627" s="1862"/>
      <c r="AE627" s="1862"/>
      <c r="AF627" s="1862"/>
      <c r="AG627" s="1862"/>
      <c r="AH627" s="1862"/>
      <c r="AI627" s="1862"/>
      <c r="AJ627" s="1862"/>
      <c r="AK627" s="1862"/>
      <c r="AL627" s="1862"/>
      <c r="AM627" s="1862"/>
      <c r="AN627" s="1862"/>
      <c r="AO627" s="1862"/>
      <c r="AP627" s="1862"/>
      <c r="AQ627" s="1862"/>
      <c r="AR627" s="1862"/>
      <c r="AS627" s="1862"/>
      <c r="AT627" s="1570"/>
      <c r="AU627" s="1570"/>
      <c r="AV627" s="1570"/>
      <c r="AW627" s="1570"/>
      <c r="AX627" s="1570"/>
      <c r="AY627" s="1570"/>
      <c r="AZ627" s="58"/>
      <c r="BA627" s="58"/>
      <c r="BB627" s="58"/>
      <c r="BC627" s="58"/>
      <c r="BD627" s="58"/>
      <c r="BE627" s="2033">
        <f t="shared" si="4"/>
        <v>0</v>
      </c>
      <c r="BF627" s="2035"/>
      <c r="BG627" s="2354">
        <f t="shared" si="5"/>
        <v>0</v>
      </c>
      <c r="BH627" s="2355"/>
      <c r="BI627" s="2033">
        <f t="shared" si="6"/>
        <v>0</v>
      </c>
      <c r="BJ627" s="2035"/>
      <c r="BK627" s="2354">
        <f t="shared" si="7"/>
        <v>0</v>
      </c>
      <c r="BL627" s="2355"/>
      <c r="BM627" s="58"/>
      <c r="BN627" s="2025">
        <f t="shared" si="8"/>
        <v>0</v>
      </c>
      <c r="BO627" s="2026"/>
      <c r="BP627" s="2026"/>
      <c r="BQ627" s="2026"/>
      <c r="BR627" s="2027"/>
      <c r="BS627" s="2024">
        <f t="shared" si="9"/>
        <v>0</v>
      </c>
      <c r="BT627" s="2024"/>
      <c r="BU627" s="2024"/>
      <c r="BV627" s="2024"/>
      <c r="BW627" s="2024"/>
      <c r="BX627" s="2024">
        <f t="shared" si="10"/>
        <v>0</v>
      </c>
      <c r="BY627" s="2024"/>
      <c r="BZ627" s="2024"/>
      <c r="CA627" s="2024"/>
      <c r="CB627" s="2024"/>
      <c r="CC627" s="2024">
        <f t="shared" si="11"/>
        <v>4</v>
      </c>
      <c r="CD627" s="2024"/>
      <c r="CE627" s="2024"/>
      <c r="CF627" s="2024"/>
      <c r="CG627" s="2024"/>
      <c r="CH627" s="2024">
        <f t="shared" si="12"/>
        <v>0</v>
      </c>
      <c r="CI627" s="2024"/>
      <c r="CJ627" s="2024"/>
      <c r="CK627" s="2024"/>
      <c r="CL627" s="2024"/>
      <c r="CM627" s="2024">
        <f t="shared" si="13"/>
        <v>0</v>
      </c>
      <c r="CN627" s="2024"/>
      <c r="CO627" s="2024"/>
      <c r="CP627" s="2024"/>
      <c r="CQ627" s="2024"/>
      <c r="CR627" s="265"/>
      <c r="CS627" s="2045">
        <f t="shared" si="14"/>
        <v>0</v>
      </c>
      <c r="CT627" s="2045"/>
      <c r="CU627" s="2045"/>
      <c r="CV627" s="2045"/>
      <c r="CW627" s="2045"/>
      <c r="CX627" s="2045">
        <f t="shared" si="15"/>
        <v>0</v>
      </c>
      <c r="CY627" s="2045"/>
      <c r="CZ627" s="2045"/>
      <c r="DA627" s="2045"/>
      <c r="DB627" s="2045"/>
      <c r="DC627" s="2045">
        <f t="shared" si="16"/>
        <v>0</v>
      </c>
      <c r="DD627" s="2045"/>
      <c r="DE627" s="2045"/>
      <c r="DF627" s="2045"/>
      <c r="DG627" s="2045"/>
      <c r="DH627" s="2045">
        <f t="shared" si="17"/>
        <v>0</v>
      </c>
      <c r="DI627" s="2045"/>
      <c r="DJ627" s="2045"/>
      <c r="DK627" s="2045"/>
      <c r="DL627" s="2045"/>
      <c r="DM627" s="2045">
        <f t="shared" si="18"/>
        <v>0</v>
      </c>
      <c r="DN627" s="2045"/>
      <c r="DO627" s="2045"/>
      <c r="DP627" s="2045"/>
      <c r="DQ627" s="2045"/>
      <c r="DR627" s="2045">
        <f t="shared" si="19"/>
        <v>0</v>
      </c>
      <c r="DS627" s="2045"/>
      <c r="DT627" s="2045"/>
      <c r="DU627" s="2045"/>
      <c r="DV627" s="2045"/>
      <c r="DX627" s="2033" t="str">
        <f t="shared" si="20"/>
        <v xml:space="preserve"> </v>
      </c>
      <c r="DY627" s="2034"/>
      <c r="DZ627" s="2034"/>
      <c r="EA627" s="2034"/>
      <c r="EB627" s="2035"/>
      <c r="EC627" s="2033" t="str">
        <f t="shared" si="21"/>
        <v xml:space="preserve"> </v>
      </c>
      <c r="ED627" s="2034"/>
      <c r="EE627" s="2034"/>
      <c r="EF627" s="2034"/>
      <c r="EG627" s="2035"/>
      <c r="EH627" s="2033" t="str">
        <f t="shared" si="22"/>
        <v xml:space="preserve"> </v>
      </c>
      <c r="EI627" s="2034"/>
      <c r="EJ627" s="2034"/>
      <c r="EK627" s="2034"/>
      <c r="EL627" s="2035"/>
      <c r="EM627" s="2033">
        <f t="shared" si="23"/>
        <v>2513</v>
      </c>
      <c r="EN627" s="2034"/>
      <c r="EO627" s="2034"/>
      <c r="EP627" s="2034"/>
      <c r="EQ627" s="2035"/>
      <c r="ER627" s="2033" t="str">
        <f t="shared" si="24"/>
        <v xml:space="preserve"> </v>
      </c>
      <c r="ES627" s="2034"/>
      <c r="ET627" s="2034"/>
      <c r="EU627" s="2034"/>
      <c r="EV627" s="2035"/>
      <c r="EW627" s="2033" t="str">
        <f t="shared" si="25"/>
        <v xml:space="preserve"> </v>
      </c>
      <c r="EX627" s="2034"/>
      <c r="EY627" s="2034"/>
      <c r="EZ627" s="2034"/>
      <c r="FA627" s="2035"/>
    </row>
    <row r="628" spans="1:157" ht="12.75">
      <c r="A628" s="1862"/>
      <c r="B628" s="1862"/>
      <c r="C628" s="1862"/>
      <c r="D628" s="1862"/>
      <c r="E628" s="1862"/>
      <c r="F628" s="1862"/>
      <c r="G628" s="1862"/>
      <c r="H628" s="1862"/>
      <c r="I628" s="1862"/>
      <c r="J628" s="1862"/>
      <c r="K628" s="1862"/>
      <c r="L628" s="1862"/>
      <c r="M628" s="1862"/>
      <c r="N628" s="1862"/>
      <c r="O628" s="1862"/>
      <c r="P628" s="1862"/>
      <c r="Q628" s="1862"/>
      <c r="R628" s="1862"/>
      <c r="S628" s="1862"/>
      <c r="T628" s="1862"/>
      <c r="U628" s="1862"/>
      <c r="V628" s="1862"/>
      <c r="W628" s="1862"/>
      <c r="X628" s="1862"/>
      <c r="Y628" s="1862"/>
      <c r="Z628" s="1862"/>
      <c r="AA628" s="1862"/>
      <c r="AB628" s="1862"/>
      <c r="AC628" s="1862"/>
      <c r="AD628" s="1862"/>
      <c r="AE628" s="1862"/>
      <c r="AF628" s="1862"/>
      <c r="AG628" s="1862"/>
      <c r="AH628" s="1862"/>
      <c r="AI628" s="1862"/>
      <c r="AJ628" s="1862"/>
      <c r="AK628" s="1862"/>
      <c r="AL628" s="1862"/>
      <c r="AM628" s="1862"/>
      <c r="AN628" s="1862"/>
      <c r="AO628" s="1862"/>
      <c r="AP628" s="1862"/>
      <c r="AQ628" s="1862"/>
      <c r="AR628" s="1862"/>
      <c r="AS628" s="1862"/>
      <c r="AT628" s="1570"/>
      <c r="AU628" s="1570"/>
      <c r="AV628" s="1570"/>
      <c r="AW628" s="1570"/>
      <c r="AX628" s="1570"/>
      <c r="AY628" s="1570"/>
      <c r="AZ628" s="58"/>
      <c r="BA628" s="58"/>
      <c r="BB628" s="58"/>
      <c r="BC628" s="58"/>
      <c r="BD628" s="58"/>
      <c r="BE628" s="2033">
        <f t="shared" si="4"/>
        <v>0</v>
      </c>
      <c r="BF628" s="2035"/>
      <c r="BG628" s="2354">
        <f t="shared" si="5"/>
        <v>0</v>
      </c>
      <c r="BH628" s="2355"/>
      <c r="BI628" s="2033">
        <f t="shared" si="6"/>
        <v>1</v>
      </c>
      <c r="BJ628" s="2035"/>
      <c r="BK628" s="2354">
        <f t="shared" si="7"/>
        <v>1</v>
      </c>
      <c r="BL628" s="2355"/>
      <c r="BM628" s="58"/>
      <c r="BN628" s="2025">
        <f t="shared" si="8"/>
        <v>0</v>
      </c>
      <c r="BO628" s="2026"/>
      <c r="BP628" s="2026"/>
      <c r="BQ628" s="2026"/>
      <c r="BR628" s="2027"/>
      <c r="BS628" s="2024">
        <f t="shared" si="9"/>
        <v>0</v>
      </c>
      <c r="BT628" s="2024"/>
      <c r="BU628" s="2024"/>
      <c r="BV628" s="2024"/>
      <c r="BW628" s="2024"/>
      <c r="BX628" s="2024">
        <f t="shared" si="10"/>
        <v>0</v>
      </c>
      <c r="BY628" s="2024"/>
      <c r="BZ628" s="2024"/>
      <c r="CA628" s="2024"/>
      <c r="CB628" s="2024"/>
      <c r="CC628" s="2024">
        <f t="shared" si="11"/>
        <v>1</v>
      </c>
      <c r="CD628" s="2024"/>
      <c r="CE628" s="2024"/>
      <c r="CF628" s="2024"/>
      <c r="CG628" s="2024"/>
      <c r="CH628" s="2024">
        <f t="shared" si="12"/>
        <v>0</v>
      </c>
      <c r="CI628" s="2024"/>
      <c r="CJ628" s="2024"/>
      <c r="CK628" s="2024"/>
      <c r="CL628" s="2024"/>
      <c r="CM628" s="2024">
        <f t="shared" si="13"/>
        <v>0</v>
      </c>
      <c r="CN628" s="2024"/>
      <c r="CO628" s="2024"/>
      <c r="CP628" s="2024"/>
      <c r="CQ628" s="2024"/>
      <c r="CR628" s="265"/>
      <c r="CS628" s="2045">
        <f t="shared" si="14"/>
        <v>0</v>
      </c>
      <c r="CT628" s="2045"/>
      <c r="CU628" s="2045"/>
      <c r="CV628" s="2045"/>
      <c r="CW628" s="2045"/>
      <c r="CX628" s="2045">
        <f t="shared" si="15"/>
        <v>0</v>
      </c>
      <c r="CY628" s="2045"/>
      <c r="CZ628" s="2045"/>
      <c r="DA628" s="2045"/>
      <c r="DB628" s="2045"/>
      <c r="DC628" s="2045">
        <f t="shared" si="16"/>
        <v>0</v>
      </c>
      <c r="DD628" s="2045"/>
      <c r="DE628" s="2045"/>
      <c r="DF628" s="2045"/>
      <c r="DG628" s="2045"/>
      <c r="DH628" s="2045">
        <f t="shared" si="17"/>
        <v>1</v>
      </c>
      <c r="DI628" s="2045"/>
      <c r="DJ628" s="2045"/>
      <c r="DK628" s="2045"/>
      <c r="DL628" s="2045"/>
      <c r="DM628" s="2045">
        <f t="shared" si="18"/>
        <v>0</v>
      </c>
      <c r="DN628" s="2045"/>
      <c r="DO628" s="2045"/>
      <c r="DP628" s="2045"/>
      <c r="DQ628" s="2045"/>
      <c r="DR628" s="2045">
        <f t="shared" si="19"/>
        <v>0</v>
      </c>
      <c r="DS628" s="2045"/>
      <c r="DT628" s="2045"/>
      <c r="DU628" s="2045"/>
      <c r="DV628" s="2045"/>
      <c r="DX628" s="2033" t="str">
        <f t="shared" si="20"/>
        <v xml:space="preserve"> </v>
      </c>
      <c r="DY628" s="2034"/>
      <c r="DZ628" s="2034"/>
      <c r="EA628" s="2034"/>
      <c r="EB628" s="2035"/>
      <c r="EC628" s="2033" t="str">
        <f t="shared" si="21"/>
        <v xml:space="preserve"> </v>
      </c>
      <c r="ED628" s="2034"/>
      <c r="EE628" s="2034"/>
      <c r="EF628" s="2034"/>
      <c r="EG628" s="2035"/>
      <c r="EH628" s="2033" t="str">
        <f t="shared" si="22"/>
        <v xml:space="preserve"> </v>
      </c>
      <c r="EI628" s="2034"/>
      <c r="EJ628" s="2034"/>
      <c r="EK628" s="2034"/>
      <c r="EL628" s="2035"/>
      <c r="EM628" s="2033">
        <f t="shared" si="23"/>
        <v>1220</v>
      </c>
      <c r="EN628" s="2034"/>
      <c r="EO628" s="2034"/>
      <c r="EP628" s="2034"/>
      <c r="EQ628" s="2035"/>
      <c r="ER628" s="2033" t="str">
        <f t="shared" si="24"/>
        <v xml:space="preserve"> </v>
      </c>
      <c r="ES628" s="2034"/>
      <c r="ET628" s="2034"/>
      <c r="EU628" s="2034"/>
      <c r="EV628" s="2035"/>
      <c r="EW628" s="2033" t="str">
        <f t="shared" si="25"/>
        <v xml:space="preserve"> </v>
      </c>
      <c r="EX628" s="2034"/>
      <c r="EY628" s="2034"/>
      <c r="EZ628" s="2034"/>
      <c r="FA628" s="2035"/>
    </row>
    <row r="629" spans="1:157" ht="12.75">
      <c r="A629" s="25"/>
      <c r="B629" s="25"/>
      <c r="C629" s="25"/>
      <c r="D629" s="25"/>
      <c r="E629" s="25"/>
      <c r="F629" s="25"/>
      <c r="G629" s="3"/>
      <c r="H629" s="25"/>
      <c r="AZ629" s="58"/>
      <c r="BA629" s="58"/>
      <c r="BB629" s="58"/>
      <c r="BC629" s="58"/>
      <c r="BD629" s="58"/>
      <c r="BE629" s="2033">
        <f t="shared" si="4"/>
        <v>0</v>
      </c>
      <c r="BF629" s="2035"/>
      <c r="BG629" s="2354">
        <f t="shared" si="5"/>
        <v>0</v>
      </c>
      <c r="BH629" s="2355"/>
      <c r="BI629" s="2033">
        <f t="shared" si="6"/>
        <v>0</v>
      </c>
      <c r="BJ629" s="2035"/>
      <c r="BK629" s="2354">
        <f t="shared" si="7"/>
        <v>0</v>
      </c>
      <c r="BL629" s="2355"/>
      <c r="BM629" s="58"/>
      <c r="BN629" s="2025">
        <f t="shared" si="8"/>
        <v>0</v>
      </c>
      <c r="BO629" s="2026"/>
      <c r="BP629" s="2026"/>
      <c r="BQ629" s="2026"/>
      <c r="BR629" s="2027"/>
      <c r="BS629" s="2024">
        <f t="shared" si="9"/>
        <v>0</v>
      </c>
      <c r="BT629" s="2024"/>
      <c r="BU629" s="2024"/>
      <c r="BV629" s="2024"/>
      <c r="BW629" s="2024"/>
      <c r="BX629" s="2024">
        <f t="shared" si="10"/>
        <v>0</v>
      </c>
      <c r="BY629" s="2024"/>
      <c r="BZ629" s="2024"/>
      <c r="CA629" s="2024"/>
      <c r="CB629" s="2024"/>
      <c r="CC629" s="2024">
        <f t="shared" si="11"/>
        <v>5</v>
      </c>
      <c r="CD629" s="2024"/>
      <c r="CE629" s="2024"/>
      <c r="CF629" s="2024"/>
      <c r="CG629" s="2024"/>
      <c r="CH629" s="2024">
        <f t="shared" si="12"/>
        <v>0</v>
      </c>
      <c r="CI629" s="2024"/>
      <c r="CJ629" s="2024"/>
      <c r="CK629" s="2024"/>
      <c r="CL629" s="2024"/>
      <c r="CM629" s="2024">
        <f t="shared" si="13"/>
        <v>0</v>
      </c>
      <c r="CN629" s="2024"/>
      <c r="CO629" s="2024"/>
      <c r="CP629" s="2024"/>
      <c r="CQ629" s="2024"/>
      <c r="CR629" s="265"/>
      <c r="CS629" s="2045">
        <f t="shared" si="14"/>
        <v>0</v>
      </c>
      <c r="CT629" s="2045"/>
      <c r="CU629" s="2045"/>
      <c r="CV629" s="2045"/>
      <c r="CW629" s="2045"/>
      <c r="CX629" s="2045">
        <f t="shared" si="15"/>
        <v>0</v>
      </c>
      <c r="CY629" s="2045"/>
      <c r="CZ629" s="2045"/>
      <c r="DA629" s="2045"/>
      <c r="DB629" s="2045"/>
      <c r="DC629" s="2045">
        <f t="shared" si="16"/>
        <v>0</v>
      </c>
      <c r="DD629" s="2045"/>
      <c r="DE629" s="2045"/>
      <c r="DF629" s="2045"/>
      <c r="DG629" s="2045"/>
      <c r="DH629" s="2045">
        <f t="shared" si="17"/>
        <v>0</v>
      </c>
      <c r="DI629" s="2045"/>
      <c r="DJ629" s="2045"/>
      <c r="DK629" s="2045"/>
      <c r="DL629" s="2045"/>
      <c r="DM629" s="2045">
        <f t="shared" si="18"/>
        <v>0</v>
      </c>
      <c r="DN629" s="2045"/>
      <c r="DO629" s="2045"/>
      <c r="DP629" s="2045"/>
      <c r="DQ629" s="2045"/>
      <c r="DR629" s="2045">
        <f t="shared" si="19"/>
        <v>0</v>
      </c>
      <c r="DS629" s="2045"/>
      <c r="DT629" s="2045"/>
      <c r="DU629" s="2045"/>
      <c r="DV629" s="2045"/>
      <c r="DX629" s="2033" t="str">
        <f t="shared" si="20"/>
        <v xml:space="preserve"> </v>
      </c>
      <c r="DY629" s="2034"/>
      <c r="DZ629" s="2034"/>
      <c r="EA629" s="2034"/>
      <c r="EB629" s="2035"/>
      <c r="EC629" s="2033" t="str">
        <f t="shared" si="21"/>
        <v xml:space="preserve"> </v>
      </c>
      <c r="ED629" s="2034"/>
      <c r="EE629" s="2034"/>
      <c r="EF629" s="2034"/>
      <c r="EG629" s="2035"/>
      <c r="EH629" s="2033" t="str">
        <f t="shared" si="22"/>
        <v xml:space="preserve"> </v>
      </c>
      <c r="EI629" s="2034"/>
      <c r="EJ629" s="2034"/>
      <c r="EK629" s="2034"/>
      <c r="EL629" s="2035"/>
      <c r="EM629" s="2033">
        <f t="shared" si="23"/>
        <v>2513</v>
      </c>
      <c r="EN629" s="2034"/>
      <c r="EO629" s="2034"/>
      <c r="EP629" s="2034"/>
      <c r="EQ629" s="2035"/>
      <c r="ER629" s="2033" t="str">
        <f t="shared" si="24"/>
        <v xml:space="preserve"> </v>
      </c>
      <c r="ES629" s="2034"/>
      <c r="ET629" s="2034"/>
      <c r="EU629" s="2034"/>
      <c r="EV629" s="2035"/>
      <c r="EW629" s="2033" t="str">
        <f t="shared" si="25"/>
        <v xml:space="preserve"> </v>
      </c>
      <c r="EX629" s="2034"/>
      <c r="EY629" s="2034"/>
      <c r="EZ629" s="2034"/>
      <c r="FA629" s="2035"/>
    </row>
    <row r="630" spans="1:157" ht="12.75">
      <c r="A630" s="50" t="s">
        <v>328</v>
      </c>
      <c r="B630" s="50"/>
      <c r="C630" s="50" t="s">
        <v>21</v>
      </c>
      <c r="AZ630" s="58"/>
      <c r="BA630" s="58"/>
      <c r="BB630" s="58"/>
      <c r="BC630" s="58"/>
      <c r="BD630" s="58"/>
      <c r="BE630" s="2033">
        <f t="shared" si="4"/>
        <v>0</v>
      </c>
      <c r="BF630" s="2035"/>
      <c r="BG630" s="2354">
        <f t="shared" si="5"/>
        <v>0</v>
      </c>
      <c r="BH630" s="2355"/>
      <c r="BI630" s="2033">
        <f t="shared" si="6"/>
        <v>0</v>
      </c>
      <c r="BJ630" s="2035"/>
      <c r="BK630" s="2354">
        <f t="shared" si="7"/>
        <v>0</v>
      </c>
      <c r="BL630" s="2355"/>
      <c r="BM630" s="58"/>
      <c r="BN630" s="2025">
        <f t="shared" si="8"/>
        <v>0</v>
      </c>
      <c r="BO630" s="2026"/>
      <c r="BP630" s="2026"/>
      <c r="BQ630" s="2026"/>
      <c r="BR630" s="2027"/>
      <c r="BS630" s="2024">
        <f t="shared" si="9"/>
        <v>0</v>
      </c>
      <c r="BT630" s="2024"/>
      <c r="BU630" s="2024"/>
      <c r="BV630" s="2024"/>
      <c r="BW630" s="2024"/>
      <c r="BX630" s="2024">
        <f t="shared" si="10"/>
        <v>0</v>
      </c>
      <c r="BY630" s="2024"/>
      <c r="BZ630" s="2024"/>
      <c r="CA630" s="2024"/>
      <c r="CB630" s="2024"/>
      <c r="CC630" s="2024">
        <f t="shared" si="11"/>
        <v>0</v>
      </c>
      <c r="CD630" s="2024"/>
      <c r="CE630" s="2024"/>
      <c r="CF630" s="2024"/>
      <c r="CG630" s="2024"/>
      <c r="CH630" s="2024">
        <f t="shared" si="12"/>
        <v>0</v>
      </c>
      <c r="CI630" s="2024"/>
      <c r="CJ630" s="2024"/>
      <c r="CK630" s="2024"/>
      <c r="CL630" s="2024"/>
      <c r="CM630" s="2024">
        <f t="shared" si="13"/>
        <v>0</v>
      </c>
      <c r="CN630" s="2024"/>
      <c r="CO630" s="2024"/>
      <c r="CP630" s="2024"/>
      <c r="CQ630" s="2024"/>
      <c r="CR630" s="265"/>
      <c r="CS630" s="2045">
        <f t="shared" si="14"/>
        <v>0</v>
      </c>
      <c r="CT630" s="2045"/>
      <c r="CU630" s="2045"/>
      <c r="CV630" s="2045"/>
      <c r="CW630" s="2045"/>
      <c r="CX630" s="2045">
        <f t="shared" si="15"/>
        <v>0</v>
      </c>
      <c r="CY630" s="2045"/>
      <c r="CZ630" s="2045"/>
      <c r="DA630" s="2045"/>
      <c r="DB630" s="2045"/>
      <c r="DC630" s="2045">
        <f t="shared" si="16"/>
        <v>0</v>
      </c>
      <c r="DD630" s="2045"/>
      <c r="DE630" s="2045"/>
      <c r="DF630" s="2045"/>
      <c r="DG630" s="2045"/>
      <c r="DH630" s="2045">
        <f t="shared" si="17"/>
        <v>0</v>
      </c>
      <c r="DI630" s="2045"/>
      <c r="DJ630" s="2045"/>
      <c r="DK630" s="2045"/>
      <c r="DL630" s="2045"/>
      <c r="DM630" s="2045">
        <f t="shared" si="18"/>
        <v>0</v>
      </c>
      <c r="DN630" s="2045"/>
      <c r="DO630" s="2045"/>
      <c r="DP630" s="2045"/>
      <c r="DQ630" s="2045"/>
      <c r="DR630" s="2045">
        <f t="shared" si="19"/>
        <v>0</v>
      </c>
      <c r="DS630" s="2045"/>
      <c r="DT630" s="2045"/>
      <c r="DU630" s="2045"/>
      <c r="DV630" s="2045"/>
      <c r="DX630" s="2033" t="str">
        <f t="shared" si="20"/>
        <v xml:space="preserve"> </v>
      </c>
      <c r="DY630" s="2034"/>
      <c r="DZ630" s="2034"/>
      <c r="EA630" s="2034"/>
      <c r="EB630" s="2035"/>
      <c r="EC630" s="2033" t="str">
        <f t="shared" si="21"/>
        <v xml:space="preserve"> </v>
      </c>
      <c r="ED630" s="2034"/>
      <c r="EE630" s="2034"/>
      <c r="EF630" s="2034"/>
      <c r="EG630" s="2035"/>
      <c r="EH630" s="2033" t="str">
        <f t="shared" si="22"/>
        <v xml:space="preserve"> </v>
      </c>
      <c r="EI630" s="2034"/>
      <c r="EJ630" s="2034"/>
      <c r="EK630" s="2034"/>
      <c r="EL630" s="2035"/>
      <c r="EM630" s="2033" t="str">
        <f t="shared" si="23"/>
        <v xml:space="preserve"> </v>
      </c>
      <c r="EN630" s="2034"/>
      <c r="EO630" s="2034"/>
      <c r="EP630" s="2034"/>
      <c r="EQ630" s="2035"/>
      <c r="ER630" s="2033" t="str">
        <f t="shared" si="24"/>
        <v xml:space="preserve"> </v>
      </c>
      <c r="ES630" s="2034"/>
      <c r="ET630" s="2034"/>
      <c r="EU630" s="2034"/>
      <c r="EV630" s="2035"/>
      <c r="EW630" s="2033" t="str">
        <f t="shared" si="25"/>
        <v xml:space="preserve"> </v>
      </c>
      <c r="EX630" s="2034"/>
      <c r="EY630" s="2034"/>
      <c r="EZ630" s="2034"/>
      <c r="FA630" s="2035"/>
    </row>
    <row r="631" spans="1:157" ht="12.75">
      <c r="A631" s="50"/>
      <c r="B631" s="50"/>
      <c r="C631" s="50"/>
      <c r="AZ631" s="58"/>
      <c r="BA631" s="58"/>
      <c r="BB631" s="58"/>
      <c r="BC631" s="58"/>
      <c r="BD631" s="58"/>
      <c r="BE631" s="2033">
        <f t="shared" si="4"/>
        <v>0</v>
      </c>
      <c r="BF631" s="2035"/>
      <c r="BG631" s="2354">
        <f t="shared" si="5"/>
        <v>0</v>
      </c>
      <c r="BH631" s="2355"/>
      <c r="BI631" s="2033">
        <f t="shared" si="6"/>
        <v>0</v>
      </c>
      <c r="BJ631" s="2035"/>
      <c r="BK631" s="2354">
        <f t="shared" si="7"/>
        <v>0</v>
      </c>
      <c r="BL631" s="2355"/>
      <c r="BM631" s="58"/>
      <c r="BN631" s="2025">
        <f t="shared" si="8"/>
        <v>0</v>
      </c>
      <c r="BO631" s="2026"/>
      <c r="BP631" s="2026"/>
      <c r="BQ631" s="2026"/>
      <c r="BR631" s="2027"/>
      <c r="BS631" s="2024">
        <f t="shared" si="9"/>
        <v>0</v>
      </c>
      <c r="BT631" s="2024"/>
      <c r="BU631" s="2024"/>
      <c r="BV631" s="2024"/>
      <c r="BW631" s="2024"/>
      <c r="BX631" s="2024">
        <f t="shared" si="10"/>
        <v>0</v>
      </c>
      <c r="BY631" s="2024"/>
      <c r="BZ631" s="2024"/>
      <c r="CA631" s="2024"/>
      <c r="CB631" s="2024"/>
      <c r="CC631" s="2024">
        <f t="shared" si="11"/>
        <v>0</v>
      </c>
      <c r="CD631" s="2024"/>
      <c r="CE631" s="2024"/>
      <c r="CF631" s="2024"/>
      <c r="CG631" s="2024"/>
      <c r="CH631" s="2024">
        <f t="shared" si="12"/>
        <v>0</v>
      </c>
      <c r="CI631" s="2024"/>
      <c r="CJ631" s="2024"/>
      <c r="CK631" s="2024"/>
      <c r="CL631" s="2024"/>
      <c r="CM631" s="2024">
        <f t="shared" si="13"/>
        <v>0</v>
      </c>
      <c r="CN631" s="2024"/>
      <c r="CO631" s="2024"/>
      <c r="CP631" s="2024"/>
      <c r="CQ631" s="2024"/>
      <c r="CR631" s="265"/>
      <c r="CS631" s="2045">
        <f t="shared" si="14"/>
        <v>0</v>
      </c>
      <c r="CT631" s="2045"/>
      <c r="CU631" s="2045"/>
      <c r="CV631" s="2045"/>
      <c r="CW631" s="2045"/>
      <c r="CX631" s="2045">
        <f t="shared" si="15"/>
        <v>0</v>
      </c>
      <c r="CY631" s="2045"/>
      <c r="CZ631" s="2045"/>
      <c r="DA631" s="2045"/>
      <c r="DB631" s="2045"/>
      <c r="DC631" s="2045">
        <f t="shared" si="16"/>
        <v>0</v>
      </c>
      <c r="DD631" s="2045"/>
      <c r="DE631" s="2045"/>
      <c r="DF631" s="2045"/>
      <c r="DG631" s="2045"/>
      <c r="DH631" s="2045">
        <f t="shared" si="17"/>
        <v>0</v>
      </c>
      <c r="DI631" s="2045"/>
      <c r="DJ631" s="2045"/>
      <c r="DK631" s="2045"/>
      <c r="DL631" s="2045"/>
      <c r="DM631" s="2045">
        <f t="shared" si="18"/>
        <v>0</v>
      </c>
      <c r="DN631" s="2045"/>
      <c r="DO631" s="2045"/>
      <c r="DP631" s="2045"/>
      <c r="DQ631" s="2045"/>
      <c r="DR631" s="2045">
        <f t="shared" si="19"/>
        <v>0</v>
      </c>
      <c r="DS631" s="2045"/>
      <c r="DT631" s="2045"/>
      <c r="DU631" s="2045"/>
      <c r="DV631" s="2045"/>
      <c r="DX631" s="2033" t="str">
        <f t="shared" si="20"/>
        <v xml:space="preserve"> </v>
      </c>
      <c r="DY631" s="2034"/>
      <c r="DZ631" s="2034"/>
      <c r="EA631" s="2034"/>
      <c r="EB631" s="2035"/>
      <c r="EC631" s="2033" t="str">
        <f t="shared" si="21"/>
        <v xml:space="preserve"> </v>
      </c>
      <c r="ED631" s="2034"/>
      <c r="EE631" s="2034"/>
      <c r="EF631" s="2034"/>
      <c r="EG631" s="2035"/>
      <c r="EH631" s="2033" t="str">
        <f t="shared" si="22"/>
        <v xml:space="preserve"> </v>
      </c>
      <c r="EI631" s="2034"/>
      <c r="EJ631" s="2034"/>
      <c r="EK631" s="2034"/>
      <c r="EL631" s="2035"/>
      <c r="EM631" s="2033" t="str">
        <f t="shared" si="23"/>
        <v xml:space="preserve"> </v>
      </c>
      <c r="EN631" s="2034"/>
      <c r="EO631" s="2034"/>
      <c r="EP631" s="2034"/>
      <c r="EQ631" s="2035"/>
      <c r="ER631" s="2033" t="str">
        <f t="shared" si="24"/>
        <v xml:space="preserve"> </v>
      </c>
      <c r="ES631" s="2034"/>
      <c r="ET631" s="2034"/>
      <c r="EU631" s="2034"/>
      <c r="EV631" s="2035"/>
      <c r="EW631" s="2033" t="str">
        <f t="shared" si="25"/>
        <v xml:space="preserve"> </v>
      </c>
      <c r="EX631" s="2034"/>
      <c r="EY631" s="2034"/>
      <c r="EZ631" s="2034"/>
      <c r="FA631" s="2035"/>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3">
        <f t="shared" si="4"/>
        <v>0</v>
      </c>
      <c r="BF632" s="2035"/>
      <c r="BG632" s="2354">
        <f t="shared" si="5"/>
        <v>0</v>
      </c>
      <c r="BH632" s="2355"/>
      <c r="BI632" s="2033">
        <f t="shared" si="6"/>
        <v>0</v>
      </c>
      <c r="BJ632" s="2035"/>
      <c r="BK632" s="2354">
        <f t="shared" si="7"/>
        <v>0</v>
      </c>
      <c r="BL632" s="2355"/>
      <c r="BM632" s="58"/>
      <c r="BN632" s="2025">
        <f t="shared" si="8"/>
        <v>0</v>
      </c>
      <c r="BO632" s="2026"/>
      <c r="BP632" s="2026"/>
      <c r="BQ632" s="2026"/>
      <c r="BR632" s="2027"/>
      <c r="BS632" s="2024">
        <f t="shared" si="9"/>
        <v>0</v>
      </c>
      <c r="BT632" s="2024"/>
      <c r="BU632" s="2024"/>
      <c r="BV632" s="2024"/>
      <c r="BW632" s="2024"/>
      <c r="BX632" s="2024">
        <f t="shared" si="10"/>
        <v>0</v>
      </c>
      <c r="BY632" s="2024"/>
      <c r="BZ632" s="2024"/>
      <c r="CA632" s="2024"/>
      <c r="CB632" s="2024"/>
      <c r="CC632" s="2024">
        <f t="shared" si="11"/>
        <v>0</v>
      </c>
      <c r="CD632" s="2024"/>
      <c r="CE632" s="2024"/>
      <c r="CF632" s="2024"/>
      <c r="CG632" s="2024"/>
      <c r="CH632" s="2024">
        <f t="shared" si="12"/>
        <v>0</v>
      </c>
      <c r="CI632" s="2024"/>
      <c r="CJ632" s="2024"/>
      <c r="CK632" s="2024"/>
      <c r="CL632" s="2024"/>
      <c r="CM632" s="2024">
        <f t="shared" si="13"/>
        <v>0</v>
      </c>
      <c r="CN632" s="2024"/>
      <c r="CO632" s="2024"/>
      <c r="CP632" s="2024"/>
      <c r="CQ632" s="2024"/>
      <c r="CR632" s="265"/>
      <c r="CS632" s="2045">
        <f t="shared" si="14"/>
        <v>0</v>
      </c>
      <c r="CT632" s="2045"/>
      <c r="CU632" s="2045"/>
      <c r="CV632" s="2045"/>
      <c r="CW632" s="2045"/>
      <c r="CX632" s="2045">
        <f t="shared" si="15"/>
        <v>0</v>
      </c>
      <c r="CY632" s="2045"/>
      <c r="CZ632" s="2045"/>
      <c r="DA632" s="2045"/>
      <c r="DB632" s="2045"/>
      <c r="DC632" s="2045">
        <f t="shared" si="16"/>
        <v>0</v>
      </c>
      <c r="DD632" s="2045"/>
      <c r="DE632" s="2045"/>
      <c r="DF632" s="2045"/>
      <c r="DG632" s="2045"/>
      <c r="DH632" s="2045">
        <f t="shared" si="17"/>
        <v>0</v>
      </c>
      <c r="DI632" s="2045"/>
      <c r="DJ632" s="2045"/>
      <c r="DK632" s="2045"/>
      <c r="DL632" s="2045"/>
      <c r="DM632" s="2045">
        <f t="shared" si="18"/>
        <v>0</v>
      </c>
      <c r="DN632" s="2045"/>
      <c r="DO632" s="2045"/>
      <c r="DP632" s="2045"/>
      <c r="DQ632" s="2045"/>
      <c r="DR632" s="2045">
        <f t="shared" si="19"/>
        <v>0</v>
      </c>
      <c r="DS632" s="2045"/>
      <c r="DT632" s="2045"/>
      <c r="DU632" s="2045"/>
      <c r="DV632" s="2045"/>
      <c r="DX632" s="2033" t="str">
        <f t="shared" si="20"/>
        <v xml:space="preserve"> </v>
      </c>
      <c r="DY632" s="2034"/>
      <c r="DZ632" s="2034"/>
      <c r="EA632" s="2034"/>
      <c r="EB632" s="2035"/>
      <c r="EC632" s="2033" t="str">
        <f t="shared" si="21"/>
        <v xml:space="preserve"> </v>
      </c>
      <c r="ED632" s="2034"/>
      <c r="EE632" s="2034"/>
      <c r="EF632" s="2034"/>
      <c r="EG632" s="2035"/>
      <c r="EH632" s="2033" t="str">
        <f t="shared" si="22"/>
        <v xml:space="preserve"> </v>
      </c>
      <c r="EI632" s="2034"/>
      <c r="EJ632" s="2034"/>
      <c r="EK632" s="2034"/>
      <c r="EL632" s="2035"/>
      <c r="EM632" s="2033" t="str">
        <f t="shared" si="23"/>
        <v xml:space="preserve"> </v>
      </c>
      <c r="EN632" s="2034"/>
      <c r="EO632" s="2034"/>
      <c r="EP632" s="2034"/>
      <c r="EQ632" s="2035"/>
      <c r="ER632" s="2033" t="str">
        <f t="shared" si="24"/>
        <v xml:space="preserve"> </v>
      </c>
      <c r="ES632" s="2034"/>
      <c r="ET632" s="2034"/>
      <c r="EU632" s="2034"/>
      <c r="EV632" s="2035"/>
      <c r="EW632" s="2033" t="str">
        <f t="shared" si="25"/>
        <v xml:space="preserve"> </v>
      </c>
      <c r="EX632" s="2034"/>
      <c r="EY632" s="2034"/>
      <c r="EZ632" s="2034"/>
      <c r="FA632" s="2035"/>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3">
        <f t="shared" si="4"/>
        <v>0</v>
      </c>
      <c r="BF633" s="2035"/>
      <c r="BG633" s="2354">
        <f t="shared" si="5"/>
        <v>0</v>
      </c>
      <c r="BH633" s="2355"/>
      <c r="BI633" s="2033">
        <f t="shared" si="6"/>
        <v>0</v>
      </c>
      <c r="BJ633" s="2035"/>
      <c r="BK633" s="2354">
        <f t="shared" si="7"/>
        <v>0</v>
      </c>
      <c r="BL633" s="2355"/>
      <c r="BM633" s="58"/>
      <c r="BN633" s="2025">
        <f t="shared" si="8"/>
        <v>0</v>
      </c>
      <c r="BO633" s="2026"/>
      <c r="BP633" s="2026"/>
      <c r="BQ633" s="2026"/>
      <c r="BR633" s="2027"/>
      <c r="BS633" s="2024">
        <f t="shared" si="9"/>
        <v>0</v>
      </c>
      <c r="BT633" s="2024"/>
      <c r="BU633" s="2024"/>
      <c r="BV633" s="2024"/>
      <c r="BW633" s="2024"/>
      <c r="BX633" s="2024">
        <f t="shared" si="10"/>
        <v>0</v>
      </c>
      <c r="BY633" s="2024"/>
      <c r="BZ633" s="2024"/>
      <c r="CA633" s="2024"/>
      <c r="CB633" s="2024"/>
      <c r="CC633" s="2024">
        <f t="shared" si="11"/>
        <v>0</v>
      </c>
      <c r="CD633" s="2024"/>
      <c r="CE633" s="2024"/>
      <c r="CF633" s="2024"/>
      <c r="CG633" s="2024"/>
      <c r="CH633" s="2024">
        <f t="shared" si="12"/>
        <v>0</v>
      </c>
      <c r="CI633" s="2024"/>
      <c r="CJ633" s="2024"/>
      <c r="CK633" s="2024"/>
      <c r="CL633" s="2024"/>
      <c r="CM633" s="2024">
        <f t="shared" si="13"/>
        <v>0</v>
      </c>
      <c r="CN633" s="2024"/>
      <c r="CO633" s="2024"/>
      <c r="CP633" s="2024"/>
      <c r="CQ633" s="2024"/>
      <c r="CR633" s="265"/>
      <c r="CS633" s="2045">
        <f t="shared" si="14"/>
        <v>0</v>
      </c>
      <c r="CT633" s="2045"/>
      <c r="CU633" s="2045"/>
      <c r="CV633" s="2045"/>
      <c r="CW633" s="2045"/>
      <c r="CX633" s="2045">
        <f t="shared" si="15"/>
        <v>0</v>
      </c>
      <c r="CY633" s="2045"/>
      <c r="CZ633" s="2045"/>
      <c r="DA633" s="2045"/>
      <c r="DB633" s="2045"/>
      <c r="DC633" s="2045">
        <f t="shared" si="16"/>
        <v>0</v>
      </c>
      <c r="DD633" s="2045"/>
      <c r="DE633" s="2045"/>
      <c r="DF633" s="2045"/>
      <c r="DG633" s="2045"/>
      <c r="DH633" s="2045">
        <f t="shared" si="17"/>
        <v>0</v>
      </c>
      <c r="DI633" s="2045"/>
      <c r="DJ633" s="2045"/>
      <c r="DK633" s="2045"/>
      <c r="DL633" s="2045"/>
      <c r="DM633" s="2045">
        <f t="shared" si="18"/>
        <v>0</v>
      </c>
      <c r="DN633" s="2045"/>
      <c r="DO633" s="2045"/>
      <c r="DP633" s="2045"/>
      <c r="DQ633" s="2045"/>
      <c r="DR633" s="2045">
        <f t="shared" si="19"/>
        <v>0</v>
      </c>
      <c r="DS633" s="2045"/>
      <c r="DT633" s="2045"/>
      <c r="DU633" s="2045"/>
      <c r="DV633" s="2045"/>
      <c r="DX633" s="2033" t="str">
        <f t="shared" si="20"/>
        <v xml:space="preserve"> </v>
      </c>
      <c r="DY633" s="2034"/>
      <c r="DZ633" s="2034"/>
      <c r="EA633" s="2034"/>
      <c r="EB633" s="2035"/>
      <c r="EC633" s="2033" t="str">
        <f t="shared" si="21"/>
        <v xml:space="preserve"> </v>
      </c>
      <c r="ED633" s="2034"/>
      <c r="EE633" s="2034"/>
      <c r="EF633" s="2034"/>
      <c r="EG633" s="2035"/>
      <c r="EH633" s="2033" t="str">
        <f t="shared" si="22"/>
        <v xml:space="preserve"> </v>
      </c>
      <c r="EI633" s="2034"/>
      <c r="EJ633" s="2034"/>
      <c r="EK633" s="2034"/>
      <c r="EL633" s="2035"/>
      <c r="EM633" s="2033" t="str">
        <f t="shared" si="23"/>
        <v xml:space="preserve"> </v>
      </c>
      <c r="EN633" s="2034"/>
      <c r="EO633" s="2034"/>
      <c r="EP633" s="2034"/>
      <c r="EQ633" s="2035"/>
      <c r="ER633" s="2033" t="str">
        <f t="shared" si="24"/>
        <v xml:space="preserve"> </v>
      </c>
      <c r="ES633" s="2034"/>
      <c r="ET633" s="2034"/>
      <c r="EU633" s="2034"/>
      <c r="EV633" s="2035"/>
      <c r="EW633" s="2033" t="str">
        <f t="shared" si="25"/>
        <v xml:space="preserve"> </v>
      </c>
      <c r="EX633" s="2034"/>
      <c r="EY633" s="2034"/>
      <c r="EZ633" s="2034"/>
      <c r="FA633" s="2035"/>
    </row>
    <row r="634" spans="1:157" s="1819" customFormat="1" ht="12.75" customHeight="1">
      <c r="B634" s="2082" t="s">
        <v>484</v>
      </c>
      <c r="C634" s="2083"/>
      <c r="D634" s="2083"/>
      <c r="E634" s="2083"/>
      <c r="F634" s="2083"/>
      <c r="G634" s="2083"/>
      <c r="H634" s="2083"/>
      <c r="I634" s="2083"/>
      <c r="J634" s="2083"/>
      <c r="K634" s="2083"/>
      <c r="L634" s="2083"/>
      <c r="M634" s="2083"/>
      <c r="N634" s="2084"/>
      <c r="O634" s="2073" t="s">
        <v>2379</v>
      </c>
      <c r="P634" s="2074"/>
      <c r="Q634" s="2075"/>
      <c r="R634" s="2073" t="s">
        <v>2377</v>
      </c>
      <c r="S634" s="2074"/>
      <c r="T634" s="2075"/>
      <c r="U634" s="2060" t="s">
        <v>485</v>
      </c>
      <c r="V634" s="2060"/>
      <c r="W634" s="2061"/>
      <c r="X634" s="2073" t="s">
        <v>2153</v>
      </c>
      <c r="Y634" s="2074"/>
      <c r="Z634" s="2074"/>
      <c r="AA634" s="2074"/>
      <c r="AB634" s="2075"/>
      <c r="AC634" s="2311" t="s">
        <v>2151</v>
      </c>
      <c r="AD634" s="2312"/>
      <c r="AE634" s="2313"/>
      <c r="AF634" s="2073" t="s">
        <v>2154</v>
      </c>
      <c r="AG634" s="2074"/>
      <c r="AH634" s="2074"/>
      <c r="AI634" s="2074"/>
      <c r="AJ634" s="2075"/>
      <c r="AK634" s="2298" t="s">
        <v>2155</v>
      </c>
      <c r="AL634" s="2299"/>
      <c r="AM634" s="2299"/>
      <c r="AN634" s="2300"/>
      <c r="AO634" s="2423" t="s">
        <v>486</v>
      </c>
      <c r="AP634" s="2423"/>
      <c r="AQ634" s="2423"/>
      <c r="AR634" s="2423"/>
      <c r="AS634" s="2423"/>
      <c r="AT634" s="1820"/>
      <c r="AU634" s="1820"/>
      <c r="AV634" s="1820"/>
      <c r="AW634" s="1820"/>
      <c r="AX634" s="1820"/>
      <c r="AY634" s="1820"/>
      <c r="AZ634" s="181"/>
      <c r="BA634" s="181"/>
      <c r="BB634" s="181"/>
      <c r="BC634" s="181"/>
      <c r="BD634" s="181"/>
      <c r="BE634" s="2033">
        <f t="shared" si="4"/>
        <v>0</v>
      </c>
      <c r="BF634" s="2035"/>
      <c r="BG634" s="2354">
        <f t="shared" si="5"/>
        <v>0</v>
      </c>
      <c r="BH634" s="2355"/>
      <c r="BI634" s="2033">
        <f t="shared" si="6"/>
        <v>0</v>
      </c>
      <c r="BJ634" s="2035"/>
      <c r="BK634" s="2354">
        <f t="shared" si="7"/>
        <v>0</v>
      </c>
      <c r="BL634" s="2355"/>
      <c r="BM634" s="181"/>
      <c r="BN634" s="2025">
        <f t="shared" si="8"/>
        <v>0</v>
      </c>
      <c r="BO634" s="2026"/>
      <c r="BP634" s="2026"/>
      <c r="BQ634" s="2026"/>
      <c r="BR634" s="2027"/>
      <c r="BS634" s="2024">
        <f t="shared" si="9"/>
        <v>0</v>
      </c>
      <c r="BT634" s="2024"/>
      <c r="BU634" s="2024"/>
      <c r="BV634" s="2024"/>
      <c r="BW634" s="2024"/>
      <c r="BX634" s="2024">
        <f t="shared" si="10"/>
        <v>0</v>
      </c>
      <c r="BY634" s="2024"/>
      <c r="BZ634" s="2024"/>
      <c r="CA634" s="2024"/>
      <c r="CB634" s="2024"/>
      <c r="CC634" s="2024">
        <f t="shared" si="11"/>
        <v>0</v>
      </c>
      <c r="CD634" s="2024"/>
      <c r="CE634" s="2024"/>
      <c r="CF634" s="2024"/>
      <c r="CG634" s="2024"/>
      <c r="CH634" s="2024">
        <f t="shared" si="12"/>
        <v>0</v>
      </c>
      <c r="CI634" s="2024"/>
      <c r="CJ634" s="2024"/>
      <c r="CK634" s="2024"/>
      <c r="CL634" s="2024"/>
      <c r="CM634" s="2024">
        <f t="shared" si="13"/>
        <v>0</v>
      </c>
      <c r="CN634" s="2024"/>
      <c r="CO634" s="2024"/>
      <c r="CP634" s="2024"/>
      <c r="CQ634" s="2024"/>
      <c r="CR634" s="265"/>
      <c r="CS634" s="2045">
        <f t="shared" si="14"/>
        <v>0</v>
      </c>
      <c r="CT634" s="2045"/>
      <c r="CU634" s="2045"/>
      <c r="CV634" s="2045"/>
      <c r="CW634" s="2045"/>
      <c r="CX634" s="2045">
        <f t="shared" si="15"/>
        <v>0</v>
      </c>
      <c r="CY634" s="2045"/>
      <c r="CZ634" s="2045"/>
      <c r="DA634" s="2045"/>
      <c r="DB634" s="2045"/>
      <c r="DC634" s="2045">
        <f t="shared" si="16"/>
        <v>0</v>
      </c>
      <c r="DD634" s="2045"/>
      <c r="DE634" s="2045"/>
      <c r="DF634" s="2045"/>
      <c r="DG634" s="2045"/>
      <c r="DH634" s="2045">
        <f t="shared" si="17"/>
        <v>0</v>
      </c>
      <c r="DI634" s="2045"/>
      <c r="DJ634" s="2045"/>
      <c r="DK634" s="2045"/>
      <c r="DL634" s="2045"/>
      <c r="DM634" s="2045">
        <f t="shared" si="18"/>
        <v>0</v>
      </c>
      <c r="DN634" s="2045"/>
      <c r="DO634" s="2045"/>
      <c r="DP634" s="2045"/>
      <c r="DQ634" s="2045"/>
      <c r="DR634" s="2045">
        <f t="shared" si="19"/>
        <v>0</v>
      </c>
      <c r="DS634" s="2045"/>
      <c r="DT634" s="2045"/>
      <c r="DU634" s="2045"/>
      <c r="DV634" s="2045"/>
      <c r="DX634" s="2033" t="str">
        <f t="shared" si="20"/>
        <v xml:space="preserve"> </v>
      </c>
      <c r="DY634" s="2034"/>
      <c r="DZ634" s="2034"/>
      <c r="EA634" s="2034"/>
      <c r="EB634" s="2035"/>
      <c r="EC634" s="2033" t="str">
        <f t="shared" si="21"/>
        <v xml:space="preserve"> </v>
      </c>
      <c r="ED634" s="2034"/>
      <c r="EE634" s="2034"/>
      <c r="EF634" s="2034"/>
      <c r="EG634" s="2035"/>
      <c r="EH634" s="2033" t="str">
        <f t="shared" si="22"/>
        <v xml:space="preserve"> </v>
      </c>
      <c r="EI634" s="2034"/>
      <c r="EJ634" s="2034"/>
      <c r="EK634" s="2034"/>
      <c r="EL634" s="2035"/>
      <c r="EM634" s="2033" t="str">
        <f t="shared" si="23"/>
        <v xml:space="preserve"> </v>
      </c>
      <c r="EN634" s="2034"/>
      <c r="EO634" s="2034"/>
      <c r="EP634" s="2034"/>
      <c r="EQ634" s="2035"/>
      <c r="ER634" s="2033" t="str">
        <f t="shared" si="24"/>
        <v xml:space="preserve"> </v>
      </c>
      <c r="ES634" s="2034"/>
      <c r="ET634" s="2034"/>
      <c r="EU634" s="2034"/>
      <c r="EV634" s="2035"/>
      <c r="EW634" s="2033" t="str">
        <f t="shared" si="25"/>
        <v xml:space="preserve"> </v>
      </c>
      <c r="EX634" s="2034"/>
      <c r="EY634" s="2034"/>
      <c r="EZ634" s="2034"/>
      <c r="FA634" s="2035"/>
    </row>
    <row r="635" spans="1:157" s="1819" customFormat="1" ht="12.75">
      <c r="B635" s="2085"/>
      <c r="C635" s="2086"/>
      <c r="D635" s="2086"/>
      <c r="E635" s="2086"/>
      <c r="F635" s="2086"/>
      <c r="G635" s="2086"/>
      <c r="H635" s="2086"/>
      <c r="I635" s="2086"/>
      <c r="J635" s="2086"/>
      <c r="K635" s="2086"/>
      <c r="L635" s="2086"/>
      <c r="M635" s="2086"/>
      <c r="N635" s="2087"/>
      <c r="O635" s="2076"/>
      <c r="P635" s="2077"/>
      <c r="Q635" s="2078"/>
      <c r="R635" s="2076"/>
      <c r="S635" s="2077"/>
      <c r="T635" s="2078"/>
      <c r="U635" s="2062"/>
      <c r="V635" s="2062"/>
      <c r="W635" s="2063"/>
      <c r="X635" s="2076"/>
      <c r="Y635" s="2077"/>
      <c r="Z635" s="2077"/>
      <c r="AA635" s="2077"/>
      <c r="AB635" s="2078"/>
      <c r="AC635" s="2314"/>
      <c r="AD635" s="2315"/>
      <c r="AE635" s="2316"/>
      <c r="AF635" s="2076"/>
      <c r="AG635" s="2077"/>
      <c r="AH635" s="2077"/>
      <c r="AI635" s="2077"/>
      <c r="AJ635" s="2078"/>
      <c r="AK635" s="2301"/>
      <c r="AL635" s="2302"/>
      <c r="AM635" s="2302"/>
      <c r="AN635" s="2303"/>
      <c r="AO635" s="2423"/>
      <c r="AP635" s="2423"/>
      <c r="AQ635" s="2423"/>
      <c r="AR635" s="2423"/>
      <c r="AS635" s="2423"/>
      <c r="AT635" s="1820"/>
      <c r="AU635" s="1820"/>
      <c r="AV635" s="1820"/>
      <c r="AW635" s="1820"/>
      <c r="AX635" s="1820"/>
      <c r="AY635" s="1820"/>
      <c r="AZ635" s="181"/>
      <c r="BA635" s="181"/>
      <c r="BB635" s="181"/>
      <c r="BC635" s="181"/>
      <c r="BD635" s="181"/>
      <c r="BE635" s="181"/>
      <c r="BF635" s="181"/>
      <c r="BG635" s="2033">
        <f>SUM(BG610:BH634)</f>
        <v>25</v>
      </c>
      <c r="BH635" s="2035"/>
      <c r="BI635" s="181"/>
      <c r="BJ635" s="181"/>
      <c r="BK635" s="2033">
        <f>SUM(BK610:BL634)</f>
        <v>25</v>
      </c>
      <c r="BL635" s="2035"/>
      <c r="BM635" s="181"/>
      <c r="BN635" s="2033">
        <f>SUM(BN610:BR634)</f>
        <v>0</v>
      </c>
      <c r="BO635" s="2034"/>
      <c r="BP635" s="2034"/>
      <c r="BQ635" s="2034"/>
      <c r="BR635" s="2035"/>
      <c r="BS635" s="2044">
        <f>SUM(BS610:BW634)</f>
        <v>70</v>
      </c>
      <c r="BT635" s="2044"/>
      <c r="BU635" s="2044"/>
      <c r="BV635" s="2044"/>
      <c r="BW635" s="2044"/>
      <c r="BX635" s="2044">
        <f>SUM(BX610:CB634)</f>
        <v>113</v>
      </c>
      <c r="BY635" s="2044"/>
      <c r="BZ635" s="2044"/>
      <c r="CA635" s="2044"/>
      <c r="CB635" s="2044"/>
      <c r="CC635" s="2044">
        <f>SUM(CC610:CG634)</f>
        <v>63</v>
      </c>
      <c r="CD635" s="2044"/>
      <c r="CE635" s="2044"/>
      <c r="CF635" s="2044"/>
      <c r="CG635" s="2044"/>
      <c r="CH635" s="2044">
        <f>SUM(CH610:CL634)</f>
        <v>0</v>
      </c>
      <c r="CI635" s="2044"/>
      <c r="CJ635" s="2044"/>
      <c r="CK635" s="2044"/>
      <c r="CL635" s="2044"/>
      <c r="CM635" s="2044">
        <f>SUM(CM610:CQ634)</f>
        <v>0</v>
      </c>
      <c r="CN635" s="2044"/>
      <c r="CO635" s="2044"/>
      <c r="CP635" s="2044"/>
      <c r="CQ635" s="2044"/>
      <c r="CR635" s="697"/>
      <c r="CS635" s="2044">
        <f>SUM(CS610:CW634)</f>
        <v>0</v>
      </c>
      <c r="CT635" s="2044"/>
      <c r="CU635" s="2044"/>
      <c r="CV635" s="2044"/>
      <c r="CW635" s="2044"/>
      <c r="CX635" s="2044">
        <f>SUM(CX610:DB634)</f>
        <v>7</v>
      </c>
      <c r="CY635" s="2044"/>
      <c r="CZ635" s="2044"/>
      <c r="DA635" s="2044"/>
      <c r="DB635" s="2044"/>
      <c r="DC635" s="2044">
        <f>SUM(DC610:DG634)</f>
        <v>11</v>
      </c>
      <c r="DD635" s="2044"/>
      <c r="DE635" s="2044"/>
      <c r="DF635" s="2044"/>
      <c r="DG635" s="2044"/>
      <c r="DH635" s="2044">
        <f>SUM(DH610:DL634)</f>
        <v>7</v>
      </c>
      <c r="DI635" s="2044"/>
      <c r="DJ635" s="2044"/>
      <c r="DK635" s="2044"/>
      <c r="DL635" s="2044"/>
      <c r="DM635" s="2044">
        <f>SUM(DM610:DQ634)</f>
        <v>0</v>
      </c>
      <c r="DN635" s="2044"/>
      <c r="DO635" s="2044"/>
      <c r="DP635" s="2044"/>
      <c r="DQ635" s="2044"/>
      <c r="DR635" s="2044">
        <f>SUM(DR610:DV634)</f>
        <v>0</v>
      </c>
      <c r="DS635" s="2044"/>
      <c r="DT635" s="2044"/>
      <c r="DU635" s="2044"/>
      <c r="DV635" s="2044"/>
      <c r="DX635" s="2044">
        <f>SUM(DX610:EB634)</f>
        <v>0</v>
      </c>
      <c r="DY635" s="2044"/>
      <c r="DZ635" s="2044"/>
      <c r="EA635" s="2044"/>
      <c r="EB635" s="2044"/>
      <c r="EC635" s="2044">
        <f>SUM(EC610:EG634)</f>
        <v>8446</v>
      </c>
      <c r="ED635" s="2044"/>
      <c r="EE635" s="2044"/>
      <c r="EF635" s="2044"/>
      <c r="EG635" s="2044"/>
      <c r="EH635" s="2044">
        <f>SUM(EH610:EL634)</f>
        <v>10102</v>
      </c>
      <c r="EI635" s="2044"/>
      <c r="EJ635" s="2044"/>
      <c r="EK635" s="2044"/>
      <c r="EL635" s="2044"/>
      <c r="EM635" s="2044">
        <f>SUM(EM610:EQ634)</f>
        <v>15363</v>
      </c>
      <c r="EN635" s="2044"/>
      <c r="EO635" s="2044"/>
      <c r="EP635" s="2044"/>
      <c r="EQ635" s="2044"/>
      <c r="ER635" s="2044">
        <f>SUM(ER610:EV634)</f>
        <v>0</v>
      </c>
      <c r="ES635" s="2044"/>
      <c r="ET635" s="2044"/>
      <c r="EU635" s="2044"/>
      <c r="EV635" s="2044"/>
      <c r="EW635" s="2044">
        <f>SUM(EW610:FA634)</f>
        <v>0</v>
      </c>
      <c r="EX635" s="2044"/>
      <c r="EY635" s="2044"/>
      <c r="EZ635" s="2044"/>
      <c r="FA635" s="2044"/>
    </row>
    <row r="636" spans="1:157" s="1819" customFormat="1" ht="12.75">
      <c r="B636" s="2088"/>
      <c r="C636" s="2086"/>
      <c r="D636" s="2086"/>
      <c r="E636" s="2086"/>
      <c r="F636" s="2086"/>
      <c r="G636" s="2086"/>
      <c r="H636" s="2086"/>
      <c r="I636" s="2086"/>
      <c r="J636" s="2086"/>
      <c r="K636" s="2086"/>
      <c r="L636" s="2086"/>
      <c r="M636" s="2086"/>
      <c r="N636" s="2087"/>
      <c r="O636" s="2079"/>
      <c r="P636" s="2080"/>
      <c r="Q636" s="2081"/>
      <c r="R636" s="2079"/>
      <c r="S636" s="2080"/>
      <c r="T636" s="2081"/>
      <c r="U636" s="2064"/>
      <c r="V636" s="2064"/>
      <c r="W636" s="2065"/>
      <c r="X636" s="2079"/>
      <c r="Y636" s="2080"/>
      <c r="Z636" s="2080"/>
      <c r="AA636" s="2080"/>
      <c r="AB636" s="2081"/>
      <c r="AC636" s="2317"/>
      <c r="AD636" s="2318"/>
      <c r="AE636" s="2319"/>
      <c r="AF636" s="2079"/>
      <c r="AG636" s="2080"/>
      <c r="AH636" s="2080"/>
      <c r="AI636" s="2080"/>
      <c r="AJ636" s="2081"/>
      <c r="AK636" s="2304"/>
      <c r="AL636" s="2305"/>
      <c r="AM636" s="2305"/>
      <c r="AN636" s="2306"/>
      <c r="AO636" s="2423"/>
      <c r="AP636" s="2423"/>
      <c r="AQ636" s="2423"/>
      <c r="AR636" s="2423"/>
      <c r="AS636" s="2423"/>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33">
        <f>BN635+BS635+BX635+CC635+CH635+CM635</f>
        <v>246</v>
      </c>
      <c r="CN636" s="2034"/>
      <c r="CO636" s="2034"/>
      <c r="CP636" s="2034"/>
      <c r="CQ636" s="2035"/>
      <c r="CR636" s="697"/>
      <c r="CS636" s="181"/>
      <c r="CT636" s="181"/>
      <c r="CU636" s="181"/>
      <c r="CV636" s="181"/>
      <c r="CW636" s="181"/>
      <c r="CX636" s="181"/>
      <c r="CY636" s="181"/>
      <c r="CZ636" s="181"/>
      <c r="DA636" s="181"/>
      <c r="DB636" s="181"/>
      <c r="DC636" s="181"/>
      <c r="DD636" s="181"/>
      <c r="DE636" s="181"/>
      <c r="DF636" s="181"/>
    </row>
    <row r="637" spans="1:157" ht="12.75">
      <c r="B637" s="83" t="s">
        <v>117</v>
      </c>
      <c r="C637" s="2058" t="s">
        <v>2615</v>
      </c>
      <c r="D637" s="2066"/>
      <c r="E637" s="2066"/>
      <c r="F637" s="2066"/>
      <c r="G637" s="2066"/>
      <c r="H637" s="2066"/>
      <c r="I637" s="2066"/>
      <c r="J637" s="2066"/>
      <c r="K637" s="2066"/>
      <c r="L637" s="2066"/>
      <c r="M637" s="2066"/>
      <c r="N637" s="2089"/>
      <c r="O637" s="2090">
        <v>420</v>
      </c>
      <c r="P637" s="2091"/>
      <c r="Q637" s="2092"/>
      <c r="R637" s="2046"/>
      <c r="S637" s="2047"/>
      <c r="T637" s="2048"/>
      <c r="U637" s="2052">
        <v>4.3499999999999997E-2</v>
      </c>
      <c r="V637" s="2053"/>
      <c r="W637" s="2054"/>
      <c r="X637" s="2049" t="s">
        <v>2152</v>
      </c>
      <c r="Y637" s="2050"/>
      <c r="Z637" s="2050"/>
      <c r="AA637" s="2050"/>
      <c r="AB637" s="2051"/>
      <c r="AC637" s="2040">
        <v>1</v>
      </c>
      <c r="AD637" s="2041"/>
      <c r="AE637" s="2042"/>
      <c r="AF637" s="2070">
        <f>3691665</f>
        <v>3691665</v>
      </c>
      <c r="AG637" s="2071"/>
      <c r="AH637" s="2071"/>
      <c r="AI637" s="2071"/>
      <c r="AJ637" s="2072"/>
      <c r="AK637" s="2307"/>
      <c r="AL637" s="2308"/>
      <c r="AM637" s="2308"/>
      <c r="AN637" s="2309"/>
      <c r="AO637" s="2043">
        <v>66300000</v>
      </c>
      <c r="AP637" s="2043"/>
      <c r="AQ637" s="2043"/>
      <c r="AR637" s="2043"/>
      <c r="AS637" s="2043"/>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68">
        <f>BN635*1</f>
        <v>0</v>
      </c>
      <c r="BS637" s="58"/>
      <c r="BT637" s="58"/>
      <c r="BU637" s="58"/>
      <c r="BV637" s="58"/>
      <c r="BW637" s="1468">
        <f>BS635*1</f>
        <v>70</v>
      </c>
      <c r="BX637" s="58"/>
      <c r="BY637" s="58"/>
      <c r="BZ637" s="58"/>
      <c r="CA637" s="58"/>
      <c r="CB637" s="1468">
        <f>BX635*2</f>
        <v>226</v>
      </c>
      <c r="CC637" s="58"/>
      <c r="CD637" s="58"/>
      <c r="CE637" s="58"/>
      <c r="CF637" s="58"/>
      <c r="CG637" s="1468">
        <f>CC635*3</f>
        <v>189</v>
      </c>
      <c r="CH637" s="58"/>
      <c r="CI637" s="58"/>
      <c r="CJ637" s="58"/>
      <c r="CK637" s="58"/>
      <c r="CL637" s="1468">
        <f>CH635*4</f>
        <v>0</v>
      </c>
      <c r="CM637" s="58"/>
      <c r="CN637" s="58"/>
      <c r="CO637" s="58"/>
      <c r="CP637" s="58"/>
      <c r="CQ637" s="1468">
        <f>CM635*5</f>
        <v>0</v>
      </c>
      <c r="CS637" s="1468">
        <f>BR637+BW637+CB637+CG637+CL637+CQ637</f>
        <v>485</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58" t="s">
        <v>2127</v>
      </c>
      <c r="D638" s="2066"/>
      <c r="E638" s="2066"/>
      <c r="F638" s="2066"/>
      <c r="G638" s="2066"/>
      <c r="H638" s="2066"/>
      <c r="I638" s="2066"/>
      <c r="J638" s="2066"/>
      <c r="K638" s="2066"/>
      <c r="L638" s="2066"/>
      <c r="M638" s="2066"/>
      <c r="N638" s="2089"/>
      <c r="O638" s="2090">
        <v>180</v>
      </c>
      <c r="P638" s="2091"/>
      <c r="Q638" s="2092"/>
      <c r="R638" s="2046"/>
      <c r="S638" s="2047"/>
      <c r="T638" s="2048"/>
      <c r="U638" s="2052"/>
      <c r="V638" s="2053"/>
      <c r="W638" s="2054"/>
      <c r="X638" s="2049" t="s">
        <v>491</v>
      </c>
      <c r="Y638" s="2050"/>
      <c r="Z638" s="2050"/>
      <c r="AA638" s="2050"/>
      <c r="AB638" s="2051"/>
      <c r="AC638" s="2040"/>
      <c r="AD638" s="2041"/>
      <c r="AE638" s="2042"/>
      <c r="AF638" s="2070"/>
      <c r="AG638" s="2071"/>
      <c r="AH638" s="2071"/>
      <c r="AI638" s="2071"/>
      <c r="AJ638" s="2072"/>
      <c r="AK638" s="2307"/>
      <c r="AL638" s="2308"/>
      <c r="AM638" s="2308"/>
      <c r="AN638" s="2309"/>
      <c r="AO638" s="2043">
        <v>10513396</v>
      </c>
      <c r="AP638" s="2043"/>
      <c r="AQ638" s="2043"/>
      <c r="AR638" s="2043"/>
      <c r="AS638" s="2043"/>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32" t="e">
        <f t="shared" ref="DX638:DX662" si="26">DX610*(BN610/$BN$635)</f>
        <v>#VALUE!</v>
      </c>
      <c r="DY638" s="2032"/>
      <c r="DZ638" s="2032"/>
      <c r="EA638" s="2032"/>
      <c r="EB638" s="2032"/>
      <c r="EC638" s="2032">
        <f t="shared" ref="EC638:EC662" si="27">EC610*(BS610/$BS$635)</f>
        <v>25.428571428571427</v>
      </c>
      <c r="ED638" s="2032"/>
      <c r="EE638" s="2032"/>
      <c r="EF638" s="2032"/>
      <c r="EG638" s="2032"/>
      <c r="EH638" s="2032" t="e">
        <f t="shared" ref="EH638:EH662" si="28">EH610*(BX610/$BX$635)</f>
        <v>#VALUE!</v>
      </c>
      <c r="EI638" s="2032"/>
      <c r="EJ638" s="2032"/>
      <c r="EK638" s="2032"/>
      <c r="EL638" s="2032"/>
      <c r="EM638" s="2032" t="e">
        <f t="shared" ref="EM638:EM662" si="29">EM610*(CC610/$CC$635)</f>
        <v>#VALUE!</v>
      </c>
      <c r="EN638" s="2032"/>
      <c r="EO638" s="2032"/>
      <c r="EP638" s="2032"/>
      <c r="EQ638" s="2032"/>
      <c r="ER638" s="2032" t="e">
        <f t="shared" ref="ER638:ER662" si="30">ER610*(CH610/$CH$635)</f>
        <v>#VALUE!</v>
      </c>
      <c r="ES638" s="2032"/>
      <c r="ET638" s="2032"/>
      <c r="EU638" s="2032"/>
      <c r="EV638" s="2032"/>
      <c r="EW638" s="2032" t="e">
        <f t="shared" ref="EW638:EW662" si="31">EW610*(CM610/$CM$635)</f>
        <v>#VALUE!</v>
      </c>
      <c r="EX638" s="2032"/>
      <c r="EY638" s="2032"/>
      <c r="EZ638" s="2032"/>
      <c r="FA638" s="2032"/>
    </row>
    <row r="639" spans="1:157" ht="12.75" customHeight="1">
      <c r="B639" s="84" t="s">
        <v>124</v>
      </c>
      <c r="C639" s="2058" t="s">
        <v>2603</v>
      </c>
      <c r="D639" s="2066"/>
      <c r="E639" s="2066"/>
      <c r="F639" s="2066"/>
      <c r="G639" s="2066"/>
      <c r="H639" s="2066"/>
      <c r="I639" s="2066"/>
      <c r="J639" s="2066"/>
      <c r="K639" s="2066"/>
      <c r="L639" s="2066"/>
      <c r="M639" s="2066"/>
      <c r="N639" s="2089"/>
      <c r="O639" s="2090"/>
      <c r="P639" s="2091"/>
      <c r="Q639" s="2092"/>
      <c r="R639" s="2046"/>
      <c r="S639" s="2047"/>
      <c r="T639" s="2048"/>
      <c r="U639" s="2052"/>
      <c r="V639" s="2053"/>
      <c r="W639" s="2054"/>
      <c r="X639" s="2049" t="s">
        <v>490</v>
      </c>
      <c r="Y639" s="2050"/>
      <c r="Z639" s="2050"/>
      <c r="AA639" s="2050"/>
      <c r="AB639" s="2051"/>
      <c r="AC639" s="2040"/>
      <c r="AD639" s="2041"/>
      <c r="AE639" s="2042"/>
      <c r="AF639" s="2070"/>
      <c r="AG639" s="2071"/>
      <c r="AH639" s="2071"/>
      <c r="AI639" s="2071"/>
      <c r="AJ639" s="2072"/>
      <c r="AK639" s="2307"/>
      <c r="AL639" s="2308"/>
      <c r="AM639" s="2308"/>
      <c r="AN639" s="2309"/>
      <c r="AO639" s="2043">
        <f>AM569</f>
        <v>778448</v>
      </c>
      <c r="AP639" s="2043"/>
      <c r="AQ639" s="2043"/>
      <c r="AR639" s="2043"/>
      <c r="AS639" s="2043"/>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32" t="e">
        <f t="shared" si="26"/>
        <v>#VALUE!</v>
      </c>
      <c r="DY639" s="2032"/>
      <c r="DZ639" s="2032"/>
      <c r="EA639" s="2032"/>
      <c r="EB639" s="2032"/>
      <c r="EC639" s="2032">
        <f t="shared" si="27"/>
        <v>64.757142857142853</v>
      </c>
      <c r="ED639" s="2032"/>
      <c r="EE639" s="2032"/>
      <c r="EF639" s="2032"/>
      <c r="EG639" s="2032"/>
      <c r="EH639" s="2032" t="e">
        <f t="shared" si="28"/>
        <v>#VALUE!</v>
      </c>
      <c r="EI639" s="2032"/>
      <c r="EJ639" s="2032"/>
      <c r="EK639" s="2032"/>
      <c r="EL639" s="2032"/>
      <c r="EM639" s="2032" t="e">
        <f t="shared" si="29"/>
        <v>#VALUE!</v>
      </c>
      <c r="EN639" s="2032"/>
      <c r="EO639" s="2032"/>
      <c r="EP639" s="2032"/>
      <c r="EQ639" s="2032"/>
      <c r="ER639" s="2032" t="e">
        <f t="shared" si="30"/>
        <v>#VALUE!</v>
      </c>
      <c r="ES639" s="2032"/>
      <c r="ET639" s="2032"/>
      <c r="EU639" s="2032"/>
      <c r="EV639" s="2032"/>
      <c r="EW639" s="2032" t="e">
        <f t="shared" si="31"/>
        <v>#VALUE!</v>
      </c>
      <c r="EX639" s="2032"/>
      <c r="EY639" s="2032"/>
      <c r="EZ639" s="2032"/>
      <c r="FA639" s="2032"/>
    </row>
    <row r="640" spans="1:157" ht="12.75">
      <c r="B640" s="84" t="s">
        <v>616</v>
      </c>
      <c r="C640" s="2066"/>
      <c r="D640" s="2066"/>
      <c r="E640" s="2066"/>
      <c r="F640" s="2066"/>
      <c r="G640" s="2066"/>
      <c r="H640" s="2066"/>
      <c r="I640" s="2066"/>
      <c r="J640" s="2066"/>
      <c r="K640" s="2066"/>
      <c r="L640" s="2066"/>
      <c r="M640" s="2066"/>
      <c r="N640" s="2089"/>
      <c r="O640" s="2090"/>
      <c r="P640" s="2091"/>
      <c r="Q640" s="2092"/>
      <c r="R640" s="2046"/>
      <c r="S640" s="2047"/>
      <c r="T640" s="2048"/>
      <c r="U640" s="2052"/>
      <c r="V640" s="2053"/>
      <c r="W640" s="2054"/>
      <c r="X640" s="2049" t="s">
        <v>1384</v>
      </c>
      <c r="Y640" s="2050"/>
      <c r="Z640" s="2050"/>
      <c r="AA640" s="2050"/>
      <c r="AB640" s="2051"/>
      <c r="AC640" s="2040"/>
      <c r="AD640" s="2041"/>
      <c r="AE640" s="2042"/>
      <c r="AF640" s="2070"/>
      <c r="AG640" s="2071"/>
      <c r="AH640" s="2071"/>
      <c r="AI640" s="2071"/>
      <c r="AJ640" s="2072"/>
      <c r="AK640" s="2307"/>
      <c r="AL640" s="2308"/>
      <c r="AM640" s="2308"/>
      <c r="AN640" s="2309"/>
      <c r="AO640" s="2043"/>
      <c r="AP640" s="2043"/>
      <c r="AQ640" s="2043"/>
      <c r="AR640" s="2043"/>
      <c r="AS640" s="2043"/>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25">
        <f>IF(J772="SRO/Studio",O772,0)</f>
        <v>0</v>
      </c>
      <c r="BO640" s="2026"/>
      <c r="BP640" s="2026"/>
      <c r="BQ640" s="2026"/>
      <c r="BR640" s="2027"/>
      <c r="BS640" s="2024">
        <f>IF(J772="1 Bedroom",O772,0)</f>
        <v>0</v>
      </c>
      <c r="BT640" s="2024"/>
      <c r="BU640" s="2024"/>
      <c r="BV640" s="2024"/>
      <c r="BW640" s="2024"/>
      <c r="BX640" s="2024">
        <f>IF(J772="2 Bedrooms",O772,0)</f>
        <v>3</v>
      </c>
      <c r="BY640" s="2024"/>
      <c r="BZ640" s="2024"/>
      <c r="CA640" s="2024"/>
      <c r="CB640" s="2024"/>
      <c r="CC640" s="2024">
        <f>IF(J772="3 Bedrooms",O772,0)</f>
        <v>0</v>
      </c>
      <c r="CD640" s="2024"/>
      <c r="CE640" s="2024"/>
      <c r="CF640" s="2024"/>
      <c r="CG640" s="2024"/>
      <c r="CH640" s="2024">
        <f>IF(J772="4 Bedrooms",O772,0)</f>
        <v>0</v>
      </c>
      <c r="CI640" s="2024"/>
      <c r="CJ640" s="2024"/>
      <c r="CK640" s="2024"/>
      <c r="CL640" s="2024"/>
      <c r="CM640" s="2024">
        <f>IF(J772="5 Bedrooms",O772,0)</f>
        <v>0</v>
      </c>
      <c r="CN640" s="2024"/>
      <c r="CO640" s="2024"/>
      <c r="CP640" s="2024"/>
      <c r="CQ640" s="2024"/>
      <c r="CR640" s="265"/>
      <c r="CS640" s="58"/>
      <c r="CT640" s="58"/>
      <c r="CU640" s="58"/>
      <c r="CV640" s="58"/>
      <c r="CW640" s="58"/>
      <c r="CX640" s="58"/>
      <c r="CY640" s="58"/>
      <c r="CZ640" s="58"/>
      <c r="DA640" s="58"/>
      <c r="DB640" s="58"/>
      <c r="DC640" s="58"/>
      <c r="DD640" s="58"/>
      <c r="DE640" s="58"/>
      <c r="DF640" s="58"/>
      <c r="DX640" s="2032" t="e">
        <f t="shared" si="26"/>
        <v>#VALUE!</v>
      </c>
      <c r="DY640" s="2032"/>
      <c r="DZ640" s="2032"/>
      <c r="EA640" s="2032"/>
      <c r="EB640" s="2032"/>
      <c r="EC640" s="2032">
        <f t="shared" si="27"/>
        <v>494.54285714285709</v>
      </c>
      <c r="ED640" s="2032"/>
      <c r="EE640" s="2032"/>
      <c r="EF640" s="2032"/>
      <c r="EG640" s="2032"/>
      <c r="EH640" s="2032" t="e">
        <f t="shared" si="28"/>
        <v>#VALUE!</v>
      </c>
      <c r="EI640" s="2032"/>
      <c r="EJ640" s="2032"/>
      <c r="EK640" s="2032"/>
      <c r="EL640" s="2032"/>
      <c r="EM640" s="2032" t="e">
        <f t="shared" si="29"/>
        <v>#VALUE!</v>
      </c>
      <c r="EN640" s="2032"/>
      <c r="EO640" s="2032"/>
      <c r="EP640" s="2032"/>
      <c r="EQ640" s="2032"/>
      <c r="ER640" s="2032" t="e">
        <f t="shared" si="30"/>
        <v>#VALUE!</v>
      </c>
      <c r="ES640" s="2032"/>
      <c r="ET640" s="2032"/>
      <c r="EU640" s="2032"/>
      <c r="EV640" s="2032"/>
      <c r="EW640" s="2032" t="e">
        <f t="shared" si="31"/>
        <v>#VALUE!</v>
      </c>
      <c r="EX640" s="2032"/>
      <c r="EY640" s="2032"/>
      <c r="EZ640" s="2032"/>
      <c r="FA640" s="2032"/>
    </row>
    <row r="641" spans="1:157" ht="12.75">
      <c r="B641" s="84" t="s">
        <v>821</v>
      </c>
      <c r="C641" s="2066"/>
      <c r="D641" s="2066"/>
      <c r="E641" s="2066"/>
      <c r="F641" s="2066"/>
      <c r="G641" s="2066"/>
      <c r="H641" s="2066"/>
      <c r="I641" s="2066"/>
      <c r="J641" s="2066"/>
      <c r="K641" s="2066"/>
      <c r="L641" s="2066"/>
      <c r="M641" s="2066"/>
      <c r="N641" s="2089"/>
      <c r="O641" s="2090"/>
      <c r="P641" s="2091"/>
      <c r="Q641" s="2092"/>
      <c r="R641" s="2046"/>
      <c r="S641" s="2047"/>
      <c r="T641" s="2048"/>
      <c r="U641" s="2052"/>
      <c r="V641" s="2053"/>
      <c r="W641" s="2054"/>
      <c r="X641" s="2049" t="s">
        <v>1384</v>
      </c>
      <c r="Y641" s="2050"/>
      <c r="Z641" s="2050"/>
      <c r="AA641" s="2050"/>
      <c r="AB641" s="2051"/>
      <c r="AC641" s="2040"/>
      <c r="AD641" s="2041"/>
      <c r="AE641" s="2042"/>
      <c r="AF641" s="2070"/>
      <c r="AG641" s="2071"/>
      <c r="AH641" s="2071"/>
      <c r="AI641" s="2071"/>
      <c r="AJ641" s="2072"/>
      <c r="AK641" s="2307"/>
      <c r="AL641" s="2308"/>
      <c r="AM641" s="2308"/>
      <c r="AN641" s="2309"/>
      <c r="AO641" s="2043"/>
      <c r="AP641" s="2043"/>
      <c r="AQ641" s="2043"/>
      <c r="AR641" s="2043"/>
      <c r="AS641" s="204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25">
        <f>IF(J773="SRO/Studio",O773,0)</f>
        <v>0</v>
      </c>
      <c r="BO641" s="2026"/>
      <c r="BP641" s="2026"/>
      <c r="BQ641" s="2026"/>
      <c r="BR641" s="2027"/>
      <c r="BS641" s="2024">
        <f>IF(J773="1 Bedroom",O773,0)</f>
        <v>0</v>
      </c>
      <c r="BT641" s="2024"/>
      <c r="BU641" s="2024"/>
      <c r="BV641" s="2024"/>
      <c r="BW641" s="2024"/>
      <c r="BX641" s="2024">
        <f>IF(J773="2 Bedrooms",O773,0)</f>
        <v>0</v>
      </c>
      <c r="BY641" s="2024"/>
      <c r="BZ641" s="2024"/>
      <c r="CA641" s="2024"/>
      <c r="CB641" s="2024"/>
      <c r="CC641" s="2024">
        <f>IF(J773="3 Bedrooms",O773,0)</f>
        <v>0</v>
      </c>
      <c r="CD641" s="2024"/>
      <c r="CE641" s="2024"/>
      <c r="CF641" s="2024"/>
      <c r="CG641" s="2024"/>
      <c r="CH641" s="2024">
        <f>IF(J773="4 Bedrooms",O773,0)</f>
        <v>0</v>
      </c>
      <c r="CI641" s="2024"/>
      <c r="CJ641" s="2024"/>
      <c r="CK641" s="2024"/>
      <c r="CL641" s="2024"/>
      <c r="CM641" s="2024">
        <f>IF(J773="5 Bedrooms",O773,0)</f>
        <v>0</v>
      </c>
      <c r="CN641" s="2024"/>
      <c r="CO641" s="2024"/>
      <c r="CP641" s="2024"/>
      <c r="CQ641" s="2024"/>
      <c r="CR641" s="265"/>
      <c r="CS641" s="58"/>
      <c r="CT641" s="58"/>
      <c r="CU641" s="58"/>
      <c r="CV641" s="58"/>
      <c r="CW641" s="58"/>
      <c r="CX641" s="58"/>
      <c r="CY641" s="58"/>
      <c r="CZ641" s="58"/>
      <c r="DA641" s="58"/>
      <c r="DB641" s="58"/>
      <c r="DC641" s="58"/>
      <c r="DD641" s="58"/>
      <c r="DE641" s="58"/>
      <c r="DF641" s="58"/>
      <c r="DX641" s="2032" t="e">
        <f t="shared" si="26"/>
        <v>#VALUE!</v>
      </c>
      <c r="DY641" s="2032"/>
      <c r="DZ641" s="2032"/>
      <c r="EA641" s="2032"/>
      <c r="EB641" s="2032"/>
      <c r="EC641" s="2032">
        <f t="shared" si="27"/>
        <v>63.571428571428569</v>
      </c>
      <c r="ED641" s="2032"/>
      <c r="EE641" s="2032"/>
      <c r="EF641" s="2032"/>
      <c r="EG641" s="2032"/>
      <c r="EH641" s="2032" t="e">
        <f t="shared" si="28"/>
        <v>#VALUE!</v>
      </c>
      <c r="EI641" s="2032"/>
      <c r="EJ641" s="2032"/>
      <c r="EK641" s="2032"/>
      <c r="EL641" s="2032"/>
      <c r="EM641" s="2032" t="e">
        <f t="shared" si="29"/>
        <v>#VALUE!</v>
      </c>
      <c r="EN641" s="2032"/>
      <c r="EO641" s="2032"/>
      <c r="EP641" s="2032"/>
      <c r="EQ641" s="2032"/>
      <c r="ER641" s="2032" t="e">
        <f t="shared" si="30"/>
        <v>#VALUE!</v>
      </c>
      <c r="ES641" s="2032"/>
      <c r="ET641" s="2032"/>
      <c r="EU641" s="2032"/>
      <c r="EV641" s="2032"/>
      <c r="EW641" s="2032" t="e">
        <f t="shared" si="31"/>
        <v>#VALUE!</v>
      </c>
      <c r="EX641" s="2032"/>
      <c r="EY641" s="2032"/>
      <c r="EZ641" s="2032"/>
      <c r="FA641" s="2032"/>
    </row>
    <row r="642" spans="1:157" ht="12.75">
      <c r="B642" s="84" t="s">
        <v>619</v>
      </c>
      <c r="C642" s="2066"/>
      <c r="D642" s="2066"/>
      <c r="E642" s="2066"/>
      <c r="F642" s="2066"/>
      <c r="G642" s="2066"/>
      <c r="H642" s="2066"/>
      <c r="I642" s="2066"/>
      <c r="J642" s="2066"/>
      <c r="K642" s="2066"/>
      <c r="L642" s="2066"/>
      <c r="M642" s="2066"/>
      <c r="N642" s="2089"/>
      <c r="O642" s="2090"/>
      <c r="P642" s="2091"/>
      <c r="Q642" s="2092"/>
      <c r="R642" s="2046"/>
      <c r="S642" s="2047"/>
      <c r="T642" s="2048"/>
      <c r="U642" s="2052"/>
      <c r="V642" s="2053"/>
      <c r="W642" s="2054"/>
      <c r="X642" s="2049" t="s">
        <v>1384</v>
      </c>
      <c r="Y642" s="2050"/>
      <c r="Z642" s="2050"/>
      <c r="AA642" s="2050"/>
      <c r="AB642" s="2051"/>
      <c r="AC642" s="2040"/>
      <c r="AD642" s="2041"/>
      <c r="AE642" s="2042"/>
      <c r="AF642" s="2070"/>
      <c r="AG642" s="2071"/>
      <c r="AH642" s="2071"/>
      <c r="AI642" s="2071"/>
      <c r="AJ642" s="2072"/>
      <c r="AK642" s="2307"/>
      <c r="AL642" s="2308"/>
      <c r="AM642" s="2308"/>
      <c r="AN642" s="2309"/>
      <c r="AO642" s="2043"/>
      <c r="AP642" s="2043"/>
      <c r="AQ642" s="2043"/>
      <c r="AR642" s="2043"/>
      <c r="AS642" s="204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5">
        <f>IF(J774="SRO/Studio",O774,0)</f>
        <v>0</v>
      </c>
      <c r="BO642" s="2026"/>
      <c r="BP642" s="2026"/>
      <c r="BQ642" s="2026"/>
      <c r="BR642" s="2027"/>
      <c r="BS642" s="2024">
        <f>IF(J774="1 Bedroom",O774,0)</f>
        <v>0</v>
      </c>
      <c r="BT642" s="2024"/>
      <c r="BU642" s="2024"/>
      <c r="BV642" s="2024"/>
      <c r="BW642" s="2024"/>
      <c r="BX642" s="2024">
        <f>IF(J774="2 Bedrooms",O774,0)</f>
        <v>0</v>
      </c>
      <c r="BY642" s="2024"/>
      <c r="BZ642" s="2024"/>
      <c r="CA642" s="2024"/>
      <c r="CB642" s="2024"/>
      <c r="CC642" s="2024">
        <f>IF(J774="3 Bedrooms",O774,0)</f>
        <v>0</v>
      </c>
      <c r="CD642" s="2024"/>
      <c r="CE642" s="2024"/>
      <c r="CF642" s="2024"/>
      <c r="CG642" s="2024"/>
      <c r="CH642" s="2024">
        <f>IF(J774="4 Bedrooms",O774,0)</f>
        <v>0</v>
      </c>
      <c r="CI642" s="2024"/>
      <c r="CJ642" s="2024"/>
      <c r="CK642" s="2024"/>
      <c r="CL642" s="2024"/>
      <c r="CM642" s="2024">
        <f>IF(J774="5 Bedrooms",O774,0)</f>
        <v>0</v>
      </c>
      <c r="CN642" s="2024"/>
      <c r="CO642" s="2024"/>
      <c r="CP642" s="2024"/>
      <c r="CQ642" s="2024"/>
      <c r="CR642" s="1803"/>
      <c r="CV642" s="58"/>
      <c r="CW642" s="58"/>
      <c r="CX642" s="58"/>
      <c r="CY642" s="58"/>
      <c r="CZ642" s="58"/>
      <c r="DA642" s="58"/>
      <c r="DB642" s="58"/>
      <c r="DC642" s="58"/>
      <c r="DD642" s="58"/>
      <c r="DE642" s="58"/>
      <c r="DF642" s="58"/>
      <c r="DX642" s="2032" t="e">
        <f t="shared" si="26"/>
        <v>#VALUE!</v>
      </c>
      <c r="DY642" s="2032"/>
      <c r="DZ642" s="2032"/>
      <c r="EA642" s="2032"/>
      <c r="EB642" s="2032"/>
      <c r="EC642" s="2032">
        <f t="shared" si="27"/>
        <v>86.342857142857142</v>
      </c>
      <c r="ED642" s="2032"/>
      <c r="EE642" s="2032"/>
      <c r="EF642" s="2032"/>
      <c r="EG642" s="2032"/>
      <c r="EH642" s="2032" t="e">
        <f t="shared" si="28"/>
        <v>#VALUE!</v>
      </c>
      <c r="EI642" s="2032"/>
      <c r="EJ642" s="2032"/>
      <c r="EK642" s="2032"/>
      <c r="EL642" s="2032"/>
      <c r="EM642" s="2032" t="e">
        <f t="shared" si="29"/>
        <v>#VALUE!</v>
      </c>
      <c r="EN642" s="2032"/>
      <c r="EO642" s="2032"/>
      <c r="EP642" s="2032"/>
      <c r="EQ642" s="2032"/>
      <c r="ER642" s="2032" t="e">
        <f t="shared" si="30"/>
        <v>#VALUE!</v>
      </c>
      <c r="ES642" s="2032"/>
      <c r="ET642" s="2032"/>
      <c r="EU642" s="2032"/>
      <c r="EV642" s="2032"/>
      <c r="EW642" s="2032" t="e">
        <f t="shared" si="31"/>
        <v>#VALUE!</v>
      </c>
      <c r="EX642" s="2032"/>
      <c r="EY642" s="2032"/>
      <c r="EZ642" s="2032"/>
      <c r="FA642" s="2032"/>
    </row>
    <row r="643" spans="1:157" ht="12.75">
      <c r="B643" s="84" t="s">
        <v>487</v>
      </c>
      <c r="C643" s="2066"/>
      <c r="D643" s="2066"/>
      <c r="E643" s="2066"/>
      <c r="F643" s="2066"/>
      <c r="G643" s="2066"/>
      <c r="H643" s="2066"/>
      <c r="I643" s="2066"/>
      <c r="J643" s="2066"/>
      <c r="K643" s="2066"/>
      <c r="L643" s="2066"/>
      <c r="M643" s="2066"/>
      <c r="N643" s="2089"/>
      <c r="O643" s="2090"/>
      <c r="P643" s="2091"/>
      <c r="Q643" s="2092"/>
      <c r="R643" s="2046"/>
      <c r="S643" s="2047"/>
      <c r="T643" s="2048"/>
      <c r="U643" s="2052"/>
      <c r="V643" s="2053"/>
      <c r="W643" s="2054"/>
      <c r="X643" s="2049" t="s">
        <v>1384</v>
      </c>
      <c r="Y643" s="2050"/>
      <c r="Z643" s="2050"/>
      <c r="AA643" s="2050"/>
      <c r="AB643" s="2051"/>
      <c r="AC643" s="2040"/>
      <c r="AD643" s="2041"/>
      <c r="AE643" s="2042"/>
      <c r="AF643" s="2070"/>
      <c r="AG643" s="2071"/>
      <c r="AH643" s="2071"/>
      <c r="AI643" s="2071"/>
      <c r="AJ643" s="2072"/>
      <c r="AK643" s="2307"/>
      <c r="AL643" s="2308"/>
      <c r="AM643" s="2308"/>
      <c r="AN643" s="2309"/>
      <c r="AO643" s="2043"/>
      <c r="AP643" s="2043"/>
      <c r="AQ643" s="2043"/>
      <c r="AR643" s="2043"/>
      <c r="AS643" s="204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5">
        <f>IF(J775="SRO/Studio",O775,0)</f>
        <v>0</v>
      </c>
      <c r="BO643" s="2026"/>
      <c r="BP643" s="2026"/>
      <c r="BQ643" s="2026"/>
      <c r="BR643" s="2027"/>
      <c r="BS643" s="2024">
        <f>IF(J775="1 Bedroom",O775,0)</f>
        <v>0</v>
      </c>
      <c r="BT643" s="2024"/>
      <c r="BU643" s="2024"/>
      <c r="BV643" s="2024"/>
      <c r="BW643" s="2024"/>
      <c r="BX643" s="2024">
        <f>IF(J775="2 Bedrooms",O775,0)</f>
        <v>0</v>
      </c>
      <c r="BY643" s="2024"/>
      <c r="BZ643" s="2024"/>
      <c r="CA643" s="2024"/>
      <c r="CB643" s="2024"/>
      <c r="CC643" s="2024">
        <f>IF(J775="3 Bedrooms",O775,0)</f>
        <v>0</v>
      </c>
      <c r="CD643" s="2024"/>
      <c r="CE643" s="2024"/>
      <c r="CF643" s="2024"/>
      <c r="CG643" s="2024"/>
      <c r="CH643" s="2024">
        <f>IF(J775="4 Bedrooms",O775,0)</f>
        <v>0</v>
      </c>
      <c r="CI643" s="2024"/>
      <c r="CJ643" s="2024"/>
      <c r="CK643" s="2024"/>
      <c r="CL643" s="2024"/>
      <c r="CM643" s="2024">
        <f>IF(J775="5 Bedrooms",O775,0)</f>
        <v>0</v>
      </c>
      <c r="CN643" s="2024"/>
      <c r="CO643" s="2024"/>
      <c r="CP643" s="2024"/>
      <c r="CQ643" s="2024"/>
      <c r="CV643" s="58"/>
      <c r="CW643" s="58"/>
      <c r="CX643" s="58"/>
      <c r="CY643" s="58"/>
      <c r="CZ643" s="58"/>
      <c r="DA643" s="58"/>
      <c r="DB643" s="58"/>
      <c r="DC643" s="58"/>
      <c r="DD643" s="58"/>
      <c r="DE643" s="58"/>
      <c r="DF643" s="58"/>
      <c r="DX643" s="2032" t="e">
        <f t="shared" si="26"/>
        <v>#VALUE!</v>
      </c>
      <c r="DY643" s="2032"/>
      <c r="DZ643" s="2032"/>
      <c r="EA643" s="2032"/>
      <c r="EB643" s="2032"/>
      <c r="EC643" s="2032">
        <f t="shared" si="27"/>
        <v>963.05714285714282</v>
      </c>
      <c r="ED643" s="2032"/>
      <c r="EE643" s="2032"/>
      <c r="EF643" s="2032"/>
      <c r="EG643" s="2032"/>
      <c r="EH643" s="2032" t="e">
        <f t="shared" si="28"/>
        <v>#VALUE!</v>
      </c>
      <c r="EI643" s="2032"/>
      <c r="EJ643" s="2032"/>
      <c r="EK643" s="2032"/>
      <c r="EL643" s="2032"/>
      <c r="EM643" s="2032" t="e">
        <f t="shared" si="29"/>
        <v>#VALUE!</v>
      </c>
      <c r="EN643" s="2032"/>
      <c r="EO643" s="2032"/>
      <c r="EP643" s="2032"/>
      <c r="EQ643" s="2032"/>
      <c r="ER643" s="2032" t="e">
        <f t="shared" si="30"/>
        <v>#VALUE!</v>
      </c>
      <c r="ES643" s="2032"/>
      <c r="ET643" s="2032"/>
      <c r="EU643" s="2032"/>
      <c r="EV643" s="2032"/>
      <c r="EW643" s="2032" t="e">
        <f t="shared" si="31"/>
        <v>#VALUE!</v>
      </c>
      <c r="EX643" s="2032"/>
      <c r="EY643" s="2032"/>
      <c r="EZ643" s="2032"/>
      <c r="FA643" s="2032"/>
    </row>
    <row r="644" spans="1:157" ht="12.75">
      <c r="B644" s="84" t="s">
        <v>488</v>
      </c>
      <c r="C644" s="2066"/>
      <c r="D644" s="2066"/>
      <c r="E644" s="2066"/>
      <c r="F644" s="2066"/>
      <c r="G644" s="2066"/>
      <c r="H644" s="2066"/>
      <c r="I644" s="2066"/>
      <c r="J644" s="2066"/>
      <c r="K644" s="2066"/>
      <c r="L644" s="2066"/>
      <c r="M644" s="2066"/>
      <c r="N644" s="2089"/>
      <c r="O644" s="2090"/>
      <c r="P644" s="2091"/>
      <c r="Q644" s="2092"/>
      <c r="R644" s="2046"/>
      <c r="S644" s="2047"/>
      <c r="T644" s="2048"/>
      <c r="U644" s="2052"/>
      <c r="V644" s="2053"/>
      <c r="W644" s="2054"/>
      <c r="X644" s="2049" t="s">
        <v>1384</v>
      </c>
      <c r="Y644" s="2050"/>
      <c r="Z644" s="2050"/>
      <c r="AA644" s="2050"/>
      <c r="AB644" s="2051"/>
      <c r="AC644" s="2040"/>
      <c r="AD644" s="2041"/>
      <c r="AE644" s="2042"/>
      <c r="AF644" s="2070"/>
      <c r="AG644" s="2071"/>
      <c r="AH644" s="2071"/>
      <c r="AI644" s="2071"/>
      <c r="AJ644" s="2072"/>
      <c r="AK644" s="2307"/>
      <c r="AL644" s="2308"/>
      <c r="AM644" s="2308"/>
      <c r="AN644" s="2309"/>
      <c r="AO644" s="2043"/>
      <c r="AP644" s="2043"/>
      <c r="AQ644" s="2043"/>
      <c r="AR644" s="2043"/>
      <c r="AS644" s="2043"/>
      <c r="AT644" s="239"/>
      <c r="AU644" s="239"/>
      <c r="AV644" s="239"/>
      <c r="AW644" s="239"/>
      <c r="AX644" s="239"/>
      <c r="AY644" s="239"/>
      <c r="AZ644" s="61"/>
      <c r="BA644" s="61"/>
      <c r="BB644" s="61"/>
      <c r="BC644" s="61"/>
      <c r="BD644" s="61"/>
      <c r="BE644" s="61"/>
      <c r="BF644" s="61"/>
      <c r="BG644" s="61"/>
      <c r="BH644" s="61"/>
      <c r="BI644" s="61"/>
      <c r="BJ644" s="61"/>
      <c r="BK644" s="61"/>
      <c r="BL644" s="61"/>
      <c r="BM644" s="61"/>
      <c r="BN644" s="2354">
        <f>SUM(BN640:BR643)</f>
        <v>0</v>
      </c>
      <c r="BO644" s="2565"/>
      <c r="BP644" s="2565"/>
      <c r="BQ644" s="2565"/>
      <c r="BR644" s="2355"/>
      <c r="BS644" s="2029">
        <f>SUM(BS640:BW643)</f>
        <v>0</v>
      </c>
      <c r="BT644" s="2030"/>
      <c r="BU644" s="2030"/>
      <c r="BV644" s="2030"/>
      <c r="BW644" s="2031"/>
      <c r="BX644" s="2029">
        <f>SUM(BX640:CB643)</f>
        <v>3</v>
      </c>
      <c r="BY644" s="2030"/>
      <c r="BZ644" s="2030"/>
      <c r="CA644" s="2030"/>
      <c r="CB644" s="2031"/>
      <c r="CC644" s="2029">
        <f>SUM(CC640:CG643)</f>
        <v>0</v>
      </c>
      <c r="CD644" s="2030"/>
      <c r="CE644" s="2030"/>
      <c r="CF644" s="2030"/>
      <c r="CG644" s="2031"/>
      <c r="CH644" s="2029">
        <f>SUM(CH640:CL643)</f>
        <v>0</v>
      </c>
      <c r="CI644" s="2030"/>
      <c r="CJ644" s="2030"/>
      <c r="CK644" s="2030"/>
      <c r="CL644" s="2031"/>
      <c r="CM644" s="2029">
        <f>SUM(CM640:CQ643)</f>
        <v>0</v>
      </c>
      <c r="CN644" s="2030"/>
      <c r="CO644" s="2030"/>
      <c r="CP644" s="2030"/>
      <c r="CQ644" s="2031"/>
      <c r="CS644" s="1468">
        <f>BN644+BS644+BX644+CC644+CH644+CM644</f>
        <v>3</v>
      </c>
      <c r="CT644" s="134" t="s">
        <v>2388</v>
      </c>
      <c r="CU644" s="58"/>
      <c r="CV644" s="58"/>
      <c r="CW644" s="58"/>
      <c r="CX644" s="58"/>
      <c r="CY644" s="58"/>
      <c r="CZ644" s="58"/>
      <c r="DA644" s="58"/>
      <c r="DB644" s="58"/>
      <c r="DC644" s="58"/>
      <c r="DD644" s="58"/>
      <c r="DE644" s="58"/>
      <c r="DF644" s="58"/>
      <c r="DX644" s="2032" t="e">
        <f t="shared" si="26"/>
        <v>#VALUE!</v>
      </c>
      <c r="DY644" s="2032"/>
      <c r="DZ644" s="2032"/>
      <c r="EA644" s="2032"/>
      <c r="EB644" s="2032"/>
      <c r="EC644" s="2032" t="e">
        <f t="shared" si="27"/>
        <v>#VALUE!</v>
      </c>
      <c r="ED644" s="2032"/>
      <c r="EE644" s="2032"/>
      <c r="EF644" s="2032"/>
      <c r="EG644" s="2032"/>
      <c r="EH644" s="2032">
        <f t="shared" si="28"/>
        <v>65.787610619469021</v>
      </c>
      <c r="EI644" s="2032"/>
      <c r="EJ644" s="2032"/>
      <c r="EK644" s="2032"/>
      <c r="EL644" s="2032"/>
      <c r="EM644" s="2032" t="e">
        <f t="shared" si="29"/>
        <v>#VALUE!</v>
      </c>
      <c r="EN644" s="2032"/>
      <c r="EO644" s="2032"/>
      <c r="EP644" s="2032"/>
      <c r="EQ644" s="2032"/>
      <c r="ER644" s="2032" t="e">
        <f t="shared" si="30"/>
        <v>#VALUE!</v>
      </c>
      <c r="ES644" s="2032"/>
      <c r="ET644" s="2032"/>
      <c r="EU644" s="2032"/>
      <c r="EV644" s="2032"/>
      <c r="EW644" s="2032" t="e">
        <f t="shared" si="31"/>
        <v>#VALUE!</v>
      </c>
      <c r="EX644" s="2032"/>
      <c r="EY644" s="2032"/>
      <c r="EZ644" s="2032"/>
      <c r="FA644" s="2032"/>
    </row>
    <row r="645" spans="1:157" ht="12.75">
      <c r="B645" s="84" t="s">
        <v>494</v>
      </c>
      <c r="C645" s="2066"/>
      <c r="D645" s="2066"/>
      <c r="E645" s="2066"/>
      <c r="F645" s="2066"/>
      <c r="G645" s="2066"/>
      <c r="H645" s="2066"/>
      <c r="I645" s="2066"/>
      <c r="J645" s="2066"/>
      <c r="K645" s="2066"/>
      <c r="L645" s="2066"/>
      <c r="M645" s="2066"/>
      <c r="N645" s="2089"/>
      <c r="O645" s="2090"/>
      <c r="P645" s="2091"/>
      <c r="Q645" s="2092"/>
      <c r="R645" s="2046"/>
      <c r="S645" s="2047"/>
      <c r="T645" s="2048"/>
      <c r="U645" s="2052"/>
      <c r="V645" s="2053"/>
      <c r="W645" s="2054"/>
      <c r="X645" s="2049" t="s">
        <v>1384</v>
      </c>
      <c r="Y645" s="2050"/>
      <c r="Z645" s="2050"/>
      <c r="AA645" s="2050"/>
      <c r="AB645" s="2051"/>
      <c r="AC645" s="2040"/>
      <c r="AD645" s="2041"/>
      <c r="AE645" s="2042"/>
      <c r="AF645" s="2070"/>
      <c r="AG645" s="2071"/>
      <c r="AH645" s="2071"/>
      <c r="AI645" s="2071"/>
      <c r="AJ645" s="2072"/>
      <c r="AK645" s="2307"/>
      <c r="AL645" s="2308"/>
      <c r="AM645" s="2308"/>
      <c r="AN645" s="2309"/>
      <c r="AO645" s="2043"/>
      <c r="AP645" s="2043"/>
      <c r="AQ645" s="2043"/>
      <c r="AR645" s="2043"/>
      <c r="AS645" s="204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68">
        <f>BN644*1</f>
        <v>0</v>
      </c>
      <c r="BS645" s="58"/>
      <c r="BT645" s="58"/>
      <c r="BU645" s="58"/>
      <c r="BV645" s="58"/>
      <c r="BW645" s="1468">
        <f>BS644*1</f>
        <v>0</v>
      </c>
      <c r="BX645" s="58"/>
      <c r="BY645" s="58"/>
      <c r="BZ645" s="58"/>
      <c r="CA645" s="58"/>
      <c r="CB645" s="1468">
        <f>BX644*2</f>
        <v>6</v>
      </c>
      <c r="CC645" s="58"/>
      <c r="CD645" s="58"/>
      <c r="CE645" s="58"/>
      <c r="CF645" s="58"/>
      <c r="CG645" s="1468">
        <f>CC644*3</f>
        <v>0</v>
      </c>
      <c r="CH645" s="58"/>
      <c r="CI645" s="58"/>
      <c r="CJ645" s="58"/>
      <c r="CK645" s="58"/>
      <c r="CL645" s="1468">
        <f>CH644*4</f>
        <v>0</v>
      </c>
      <c r="CM645" s="58"/>
      <c r="CN645" s="58"/>
      <c r="CO645" s="58"/>
      <c r="CP645" s="58"/>
      <c r="CQ645" s="1468">
        <f>CM644*5</f>
        <v>0</v>
      </c>
      <c r="CS645" s="1468">
        <f>BR645+BW645+CB645+CG645+CL645+CQ645</f>
        <v>6</v>
      </c>
      <c r="CT645" s="134" t="s">
        <v>2390</v>
      </c>
      <c r="CU645" s="58"/>
      <c r="CV645" s="58"/>
      <c r="CW645" s="58"/>
      <c r="CX645" s="58"/>
      <c r="CY645" s="58"/>
      <c r="CZ645" s="58"/>
      <c r="DA645" s="58"/>
      <c r="DB645" s="58"/>
      <c r="DC645" s="58"/>
      <c r="DD645" s="58"/>
      <c r="DE645" s="58"/>
      <c r="DF645" s="58"/>
      <c r="DX645" s="2032" t="e">
        <f t="shared" si="26"/>
        <v>#VALUE!</v>
      </c>
      <c r="DY645" s="2032"/>
      <c r="DZ645" s="2032"/>
      <c r="EA645" s="2032"/>
      <c r="EB645" s="2032"/>
      <c r="EC645" s="2032" t="e">
        <f t="shared" si="27"/>
        <v>#VALUE!</v>
      </c>
      <c r="ED645" s="2032"/>
      <c r="EE645" s="2032"/>
      <c r="EF645" s="2032"/>
      <c r="EG645" s="2032"/>
      <c r="EH645" s="2032">
        <f t="shared" si="28"/>
        <v>112</v>
      </c>
      <c r="EI645" s="2032"/>
      <c r="EJ645" s="2032"/>
      <c r="EK645" s="2032"/>
      <c r="EL645" s="2032"/>
      <c r="EM645" s="2032" t="e">
        <f t="shared" si="29"/>
        <v>#VALUE!</v>
      </c>
      <c r="EN645" s="2032"/>
      <c r="EO645" s="2032"/>
      <c r="EP645" s="2032"/>
      <c r="EQ645" s="2032"/>
      <c r="ER645" s="2032" t="e">
        <f t="shared" si="30"/>
        <v>#VALUE!</v>
      </c>
      <c r="ES645" s="2032"/>
      <c r="ET645" s="2032"/>
      <c r="EU645" s="2032"/>
      <c r="EV645" s="2032"/>
      <c r="EW645" s="2032" t="e">
        <f t="shared" si="31"/>
        <v>#VALUE!</v>
      </c>
      <c r="EX645" s="2032"/>
      <c r="EY645" s="2032"/>
      <c r="EZ645" s="2032"/>
      <c r="FA645" s="2032"/>
    </row>
    <row r="646" spans="1:157" ht="12.75">
      <c r="B646" s="84" t="s">
        <v>681</v>
      </c>
      <c r="C646" s="2066"/>
      <c r="D646" s="2066"/>
      <c r="E646" s="2066"/>
      <c r="F646" s="2066"/>
      <c r="G646" s="2066"/>
      <c r="H646" s="2066"/>
      <c r="I646" s="2066"/>
      <c r="J646" s="2066"/>
      <c r="K646" s="2066"/>
      <c r="L646" s="2066"/>
      <c r="M646" s="2066"/>
      <c r="N646" s="2089"/>
      <c r="O646" s="2090"/>
      <c r="P646" s="2091"/>
      <c r="Q646" s="2092"/>
      <c r="R646" s="2046"/>
      <c r="S646" s="2047"/>
      <c r="T646" s="2048"/>
      <c r="U646" s="2052"/>
      <c r="V646" s="2053"/>
      <c r="W646" s="2054"/>
      <c r="X646" s="2049" t="s">
        <v>1384</v>
      </c>
      <c r="Y646" s="2050"/>
      <c r="Z646" s="2050"/>
      <c r="AA646" s="2050"/>
      <c r="AB646" s="2051"/>
      <c r="AC646" s="2040"/>
      <c r="AD646" s="2041"/>
      <c r="AE646" s="2042"/>
      <c r="AF646" s="2070"/>
      <c r="AG646" s="2071"/>
      <c r="AH646" s="2071"/>
      <c r="AI646" s="2071"/>
      <c r="AJ646" s="2072"/>
      <c r="AK646" s="2307"/>
      <c r="AL646" s="2308"/>
      <c r="AM646" s="2308"/>
      <c r="AN646" s="2309"/>
      <c r="AO646" s="2043"/>
      <c r="AP646" s="2043"/>
      <c r="AQ646" s="2043"/>
      <c r="AR646" s="2043"/>
      <c r="AS646" s="204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32" t="e">
        <f t="shared" si="26"/>
        <v>#VALUE!</v>
      </c>
      <c r="DY646" s="2032"/>
      <c r="DZ646" s="2032"/>
      <c r="EA646" s="2032"/>
      <c r="EB646" s="2032"/>
      <c r="EC646" s="2032" t="e">
        <f t="shared" si="27"/>
        <v>#VALUE!</v>
      </c>
      <c r="ED646" s="2032"/>
      <c r="EE646" s="2032"/>
      <c r="EF646" s="2032"/>
      <c r="EG646" s="2032"/>
      <c r="EH646" s="2032">
        <f t="shared" si="28"/>
        <v>1119.4513274336284</v>
      </c>
      <c r="EI646" s="2032"/>
      <c r="EJ646" s="2032"/>
      <c r="EK646" s="2032"/>
      <c r="EL646" s="2032"/>
      <c r="EM646" s="2032" t="e">
        <f t="shared" si="29"/>
        <v>#VALUE!</v>
      </c>
      <c r="EN646" s="2032"/>
      <c r="EO646" s="2032"/>
      <c r="EP646" s="2032"/>
      <c r="EQ646" s="2032"/>
      <c r="ER646" s="2032" t="e">
        <f t="shared" si="30"/>
        <v>#VALUE!</v>
      </c>
      <c r="ES646" s="2032"/>
      <c r="ET646" s="2032"/>
      <c r="EU646" s="2032"/>
      <c r="EV646" s="2032"/>
      <c r="EW646" s="2032" t="e">
        <f t="shared" si="31"/>
        <v>#VALUE!</v>
      </c>
      <c r="EX646" s="2032"/>
      <c r="EY646" s="2032"/>
      <c r="EZ646" s="2032"/>
      <c r="FA646" s="2032"/>
    </row>
    <row r="647" spans="1:157" ht="12.75">
      <c r="B647" s="84" t="s">
        <v>372</v>
      </c>
      <c r="C647" s="2066"/>
      <c r="D647" s="2066"/>
      <c r="E647" s="2066"/>
      <c r="F647" s="2066"/>
      <c r="G647" s="2066"/>
      <c r="H647" s="2066"/>
      <c r="I647" s="2066"/>
      <c r="J647" s="2066"/>
      <c r="K647" s="2066"/>
      <c r="L647" s="2066"/>
      <c r="M647" s="2066"/>
      <c r="N647" s="2089"/>
      <c r="O647" s="2090"/>
      <c r="P647" s="2091"/>
      <c r="Q647" s="2092"/>
      <c r="R647" s="2046"/>
      <c r="S647" s="2047"/>
      <c r="T647" s="2048"/>
      <c r="U647" s="2052"/>
      <c r="V647" s="2053"/>
      <c r="W647" s="2054"/>
      <c r="X647" s="2049" t="s">
        <v>1384</v>
      </c>
      <c r="Y647" s="2050"/>
      <c r="Z647" s="2050"/>
      <c r="AA647" s="2050"/>
      <c r="AB647" s="2051"/>
      <c r="AC647" s="2040"/>
      <c r="AD647" s="2041"/>
      <c r="AE647" s="2042"/>
      <c r="AF647" s="2070"/>
      <c r="AG647" s="2071"/>
      <c r="AH647" s="2071"/>
      <c r="AI647" s="2071"/>
      <c r="AJ647" s="2072"/>
      <c r="AK647" s="2307"/>
      <c r="AL647" s="2308"/>
      <c r="AM647" s="2308"/>
      <c r="AN647" s="2309"/>
      <c r="AO647" s="2043"/>
      <c r="AP647" s="2043"/>
      <c r="AQ647" s="2043"/>
      <c r="AR647" s="2043"/>
      <c r="AS647" s="204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32" t="e">
        <f t="shared" si="26"/>
        <v>#VALUE!</v>
      </c>
      <c r="DY647" s="2032"/>
      <c r="DZ647" s="2032"/>
      <c r="EA647" s="2032"/>
      <c r="EB647" s="2032"/>
      <c r="EC647" s="2032" t="e">
        <f t="shared" si="27"/>
        <v>#VALUE!</v>
      </c>
      <c r="ED647" s="2032"/>
      <c r="EE647" s="2032"/>
      <c r="EF647" s="2032"/>
      <c r="EG647" s="2032"/>
      <c r="EH647" s="2032">
        <f t="shared" si="28"/>
        <v>37.592920353982301</v>
      </c>
      <c r="EI647" s="2032"/>
      <c r="EJ647" s="2032"/>
      <c r="EK647" s="2032"/>
      <c r="EL647" s="2032"/>
      <c r="EM647" s="2032" t="e">
        <f t="shared" si="29"/>
        <v>#VALUE!</v>
      </c>
      <c r="EN647" s="2032"/>
      <c r="EO647" s="2032"/>
      <c r="EP647" s="2032"/>
      <c r="EQ647" s="2032"/>
      <c r="ER647" s="2032" t="e">
        <f t="shared" si="30"/>
        <v>#VALUE!</v>
      </c>
      <c r="ES647" s="2032"/>
      <c r="ET647" s="2032"/>
      <c r="EU647" s="2032"/>
      <c r="EV647" s="2032"/>
      <c r="EW647" s="2032" t="e">
        <f t="shared" si="31"/>
        <v>#VALUE!</v>
      </c>
      <c r="EX647" s="2032"/>
      <c r="EY647" s="2032"/>
      <c r="EZ647" s="2032"/>
      <c r="FA647" s="2032"/>
    </row>
    <row r="648" spans="1:157" ht="12.75">
      <c r="B648" s="84" t="s">
        <v>373</v>
      </c>
      <c r="C648" s="2066"/>
      <c r="D648" s="2066"/>
      <c r="E648" s="2066"/>
      <c r="F648" s="2066"/>
      <c r="G648" s="2066"/>
      <c r="H648" s="2066"/>
      <c r="I648" s="2066"/>
      <c r="J648" s="2066"/>
      <c r="K648" s="2066"/>
      <c r="L648" s="2066"/>
      <c r="M648" s="2066"/>
      <c r="N648" s="2089"/>
      <c r="O648" s="2090"/>
      <c r="P648" s="2091"/>
      <c r="Q648" s="2092"/>
      <c r="R648" s="2046"/>
      <c r="S648" s="2047"/>
      <c r="T648" s="2048"/>
      <c r="U648" s="2052"/>
      <c r="V648" s="2053"/>
      <c r="W648" s="2054"/>
      <c r="X648" s="2049" t="s">
        <v>1384</v>
      </c>
      <c r="Y648" s="2050"/>
      <c r="Z648" s="2050"/>
      <c r="AA648" s="2050"/>
      <c r="AB648" s="2051"/>
      <c r="AC648" s="2040"/>
      <c r="AD648" s="2041"/>
      <c r="AE648" s="2042"/>
      <c r="AF648" s="2070"/>
      <c r="AG648" s="2071"/>
      <c r="AH648" s="2071"/>
      <c r="AI648" s="2071"/>
      <c r="AJ648" s="2072"/>
      <c r="AK648" s="2307"/>
      <c r="AL648" s="2308"/>
      <c r="AM648" s="2308"/>
      <c r="AN648" s="2309"/>
      <c r="AO648" s="2043"/>
      <c r="AP648" s="2043"/>
      <c r="AQ648" s="2043"/>
      <c r="AR648" s="2043"/>
      <c r="AS648" s="204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5">
        <f t="shared" ref="BN648:BN657" si="32">IF(J786="SRO/Studio",O786,0)</f>
        <v>0</v>
      </c>
      <c r="BO648" s="2026"/>
      <c r="BP648" s="2026"/>
      <c r="BQ648" s="2026"/>
      <c r="BR648" s="2027"/>
      <c r="BS648" s="2024">
        <f t="shared" ref="BS648:BS657" si="33">IF(J786="1 Bedroom",O786,0)</f>
        <v>0</v>
      </c>
      <c r="BT648" s="2024"/>
      <c r="BU648" s="2024"/>
      <c r="BV648" s="2024"/>
      <c r="BW648" s="2024"/>
      <c r="BX648" s="2024">
        <f t="shared" ref="BX648:BX657" si="34">IF(J786="2 Bedrooms",O786,0)</f>
        <v>0</v>
      </c>
      <c r="BY648" s="2024"/>
      <c r="BZ648" s="2024"/>
      <c r="CA648" s="2024"/>
      <c r="CB648" s="2024"/>
      <c r="CC648" s="2024">
        <f t="shared" ref="CC648:CC657" si="35">IF(J786="3 Bedrooms",O786,0)</f>
        <v>0</v>
      </c>
      <c r="CD648" s="2024"/>
      <c r="CE648" s="2024"/>
      <c r="CF648" s="2024"/>
      <c r="CG648" s="2024"/>
      <c r="CH648" s="2024">
        <f t="shared" ref="CH648:CH657" si="36">IF(J786="4 Bedrooms",O786,0)</f>
        <v>0</v>
      </c>
      <c r="CI648" s="2024"/>
      <c r="CJ648" s="2024"/>
      <c r="CK648" s="2024"/>
      <c r="CL648" s="2024"/>
      <c r="CM648" s="2024">
        <f t="shared" ref="CM648:CM657" si="37">IF(J786="5 Bedrooms",O786,0)</f>
        <v>0</v>
      </c>
      <c r="CN648" s="2024"/>
      <c r="CO648" s="2024"/>
      <c r="CP648" s="2024"/>
      <c r="CQ648" s="2024"/>
      <c r="CR648" s="265"/>
      <c r="CS648" s="2025">
        <f>IF(AND(BN648&gt;=1,AH786&gt;=0.1,AH786&lt;=1),O786,0)</f>
        <v>0</v>
      </c>
      <c r="CT648" s="2026"/>
      <c r="CU648" s="2026"/>
      <c r="CV648" s="2026"/>
      <c r="CW648" s="2027"/>
      <c r="CX648" s="2025">
        <f>IF(AND(BS648&gt;=1,AH786&gt;=0.1,AH786&lt;=1),O786,0)</f>
        <v>0</v>
      </c>
      <c r="CY648" s="2026"/>
      <c r="CZ648" s="2026"/>
      <c r="DA648" s="2026"/>
      <c r="DB648" s="2027"/>
      <c r="DC648" s="2025">
        <f>IF(AND(BX648&gt;=1,AH786&gt;=0.1,AH786&lt;=1),O786,0)</f>
        <v>0</v>
      </c>
      <c r="DD648" s="2026"/>
      <c r="DE648" s="2026"/>
      <c r="DF648" s="2026"/>
      <c r="DG648" s="2027"/>
      <c r="DH648" s="2025">
        <f>IF(AND(CC648&gt;=1,AH786&gt;=0.1,AH786&lt;=1),O786,0)</f>
        <v>0</v>
      </c>
      <c r="DI648" s="2026"/>
      <c r="DJ648" s="2026"/>
      <c r="DK648" s="2026"/>
      <c r="DL648" s="2027"/>
      <c r="DM648" s="2025">
        <f>IF(AND(CH648&gt;=1,AH786&gt;=0.1,AH786&lt;=1),O786,0)</f>
        <v>0</v>
      </c>
      <c r="DN648" s="2026"/>
      <c r="DO648" s="2026"/>
      <c r="DP648" s="2026"/>
      <c r="DQ648" s="2027"/>
      <c r="DR648" s="2025">
        <f>IF(AND(CM648&gt;=1,AH786&gt;=0.1,AH786&lt;=1),O786,0)</f>
        <v>0</v>
      </c>
      <c r="DS648" s="2026"/>
      <c r="DT648" s="2026"/>
      <c r="DU648" s="2026"/>
      <c r="DV648" s="2027"/>
      <c r="DX648" s="2032" t="e">
        <f t="shared" si="26"/>
        <v>#VALUE!</v>
      </c>
      <c r="DY648" s="2032"/>
      <c r="DZ648" s="2032"/>
      <c r="EA648" s="2032"/>
      <c r="EB648" s="2032"/>
      <c r="EC648" s="2032" t="e">
        <f t="shared" si="27"/>
        <v>#VALUE!</v>
      </c>
      <c r="ED648" s="2032"/>
      <c r="EE648" s="2032"/>
      <c r="EF648" s="2032"/>
      <c r="EG648" s="2032"/>
      <c r="EH648" s="2032">
        <f t="shared" si="28"/>
        <v>80</v>
      </c>
      <c r="EI648" s="2032"/>
      <c r="EJ648" s="2032"/>
      <c r="EK648" s="2032"/>
      <c r="EL648" s="2032"/>
      <c r="EM648" s="2032" t="e">
        <f t="shared" si="29"/>
        <v>#VALUE!</v>
      </c>
      <c r="EN648" s="2032"/>
      <c r="EO648" s="2032"/>
      <c r="EP648" s="2032"/>
      <c r="EQ648" s="2032"/>
      <c r="ER648" s="2032" t="e">
        <f t="shared" si="30"/>
        <v>#VALUE!</v>
      </c>
      <c r="ES648" s="2032"/>
      <c r="ET648" s="2032"/>
      <c r="EU648" s="2032"/>
      <c r="EV648" s="2032"/>
      <c r="EW648" s="2032" t="e">
        <f t="shared" si="31"/>
        <v>#VALUE!</v>
      </c>
      <c r="EX648" s="2032"/>
      <c r="EY648" s="2032"/>
      <c r="EZ648" s="2032"/>
      <c r="FA648" s="2032"/>
    </row>
    <row r="649" spans="1:157" ht="12.75">
      <c r="B649" s="2336" t="s">
        <v>133</v>
      </c>
      <c r="C649" s="2337"/>
      <c r="D649" s="2337"/>
      <c r="E649" s="2337"/>
      <c r="F649" s="2337"/>
      <c r="G649" s="2337"/>
      <c r="H649" s="2337"/>
      <c r="I649" s="2337"/>
      <c r="J649" s="2337"/>
      <c r="K649" s="2337"/>
      <c r="L649" s="2337"/>
      <c r="M649" s="2337"/>
      <c r="N649" s="2337"/>
      <c r="O649" s="2337"/>
      <c r="P649" s="2337"/>
      <c r="Q649" s="2337"/>
      <c r="R649" s="2337"/>
      <c r="S649" s="2337"/>
      <c r="T649" s="2337"/>
      <c r="U649" s="2337"/>
      <c r="V649" s="2337"/>
      <c r="W649" s="2337"/>
      <c r="X649" s="2337"/>
      <c r="Y649" s="2337"/>
      <c r="Z649" s="2337"/>
      <c r="AA649" s="2337"/>
      <c r="AB649" s="2337"/>
      <c r="AC649" s="2337"/>
      <c r="AD649" s="2337"/>
      <c r="AE649" s="2337"/>
      <c r="AF649" s="2337"/>
      <c r="AG649" s="2337"/>
      <c r="AH649" s="2337"/>
      <c r="AI649" s="2337"/>
      <c r="AJ649" s="2337"/>
      <c r="AK649" s="2337"/>
      <c r="AL649" s="2337"/>
      <c r="AM649" s="2337"/>
      <c r="AN649" s="2338"/>
      <c r="AO649" s="2344">
        <f>SUM(AO637:AR648)</f>
        <v>77591844</v>
      </c>
      <c r="AP649" s="2345"/>
      <c r="AQ649" s="2345"/>
      <c r="AR649" s="2345"/>
      <c r="AS649" s="2346"/>
      <c r="AZ649" s="58"/>
      <c r="BA649" s="58"/>
      <c r="BB649" s="58"/>
      <c r="BC649" s="58"/>
      <c r="BD649" s="58"/>
      <c r="BE649" s="58"/>
      <c r="BF649" s="58"/>
      <c r="BG649" s="58"/>
      <c r="BH649" s="58"/>
      <c r="BI649" s="58"/>
      <c r="BJ649" s="58"/>
      <c r="BK649" s="58"/>
      <c r="BL649" s="58"/>
      <c r="BM649" s="58"/>
      <c r="BN649" s="2025">
        <f t="shared" si="32"/>
        <v>0</v>
      </c>
      <c r="BO649" s="2026"/>
      <c r="BP649" s="2026"/>
      <c r="BQ649" s="2026"/>
      <c r="BR649" s="2027"/>
      <c r="BS649" s="2024">
        <f t="shared" si="33"/>
        <v>0</v>
      </c>
      <c r="BT649" s="2024"/>
      <c r="BU649" s="2024"/>
      <c r="BV649" s="2024"/>
      <c r="BW649" s="2024"/>
      <c r="BX649" s="2024">
        <f t="shared" si="34"/>
        <v>0</v>
      </c>
      <c r="BY649" s="2024"/>
      <c r="BZ649" s="2024"/>
      <c r="CA649" s="2024"/>
      <c r="CB649" s="2024"/>
      <c r="CC649" s="2024">
        <f t="shared" si="35"/>
        <v>0</v>
      </c>
      <c r="CD649" s="2024"/>
      <c r="CE649" s="2024"/>
      <c r="CF649" s="2024"/>
      <c r="CG649" s="2024"/>
      <c r="CH649" s="2024">
        <f t="shared" si="36"/>
        <v>0</v>
      </c>
      <c r="CI649" s="2024"/>
      <c r="CJ649" s="2024"/>
      <c r="CK649" s="2024"/>
      <c r="CL649" s="2024"/>
      <c r="CM649" s="2024">
        <f t="shared" si="37"/>
        <v>0</v>
      </c>
      <c r="CN649" s="2024"/>
      <c r="CO649" s="2024"/>
      <c r="CP649" s="2024"/>
      <c r="CQ649" s="2024"/>
      <c r="CR649" s="265"/>
      <c r="CS649" s="2025">
        <f t="shared" ref="CS649:CS657" si="38">IF(AND(BN649&gt;=1,AH787&gt;=0.1,AH787&lt;=1),O787,0)</f>
        <v>0</v>
      </c>
      <c r="CT649" s="2026"/>
      <c r="CU649" s="2026"/>
      <c r="CV649" s="2026"/>
      <c r="CW649" s="2027"/>
      <c r="CX649" s="2025">
        <f t="shared" ref="CX649:CX657" si="39">IF(AND(BS649&gt;=1,AH787&gt;=0.1,AH787&lt;=1),O787,0)</f>
        <v>0</v>
      </c>
      <c r="CY649" s="2026"/>
      <c r="CZ649" s="2026"/>
      <c r="DA649" s="2026"/>
      <c r="DB649" s="2027"/>
      <c r="DC649" s="2025">
        <f t="shared" ref="DC649:DC657" si="40">IF(AND(BX649&gt;=1,AH787&gt;=0.1,AH787&lt;=1),O787,0)</f>
        <v>0</v>
      </c>
      <c r="DD649" s="2026"/>
      <c r="DE649" s="2026"/>
      <c r="DF649" s="2026"/>
      <c r="DG649" s="2027"/>
      <c r="DH649" s="2025">
        <f t="shared" ref="DH649:DH657" si="41">IF(AND(CC649&gt;=1,AH787&gt;=0.1,AH787&lt;=1),O787,0)</f>
        <v>0</v>
      </c>
      <c r="DI649" s="2026"/>
      <c r="DJ649" s="2026"/>
      <c r="DK649" s="2026"/>
      <c r="DL649" s="2027"/>
      <c r="DM649" s="2025">
        <f t="shared" ref="DM649:DM657" si="42">IF(AND(CH649&gt;=1,AH787&gt;=0.1,AH787&lt;=1),O787,0)</f>
        <v>0</v>
      </c>
      <c r="DN649" s="2026"/>
      <c r="DO649" s="2026"/>
      <c r="DP649" s="2026"/>
      <c r="DQ649" s="2027"/>
      <c r="DR649" s="2025">
        <f t="shared" ref="DR649:DR657" si="43">IF(AND(CM649&gt;=1,AH787&gt;=0.1,AH787&lt;=1),O787,0)</f>
        <v>0</v>
      </c>
      <c r="DS649" s="2026"/>
      <c r="DT649" s="2026"/>
      <c r="DU649" s="2026"/>
      <c r="DV649" s="2027"/>
      <c r="DX649" s="2032" t="e">
        <f t="shared" si="26"/>
        <v>#VALUE!</v>
      </c>
      <c r="DY649" s="2032"/>
      <c r="DZ649" s="2032"/>
      <c r="EA649" s="2032"/>
      <c r="EB649" s="2032"/>
      <c r="EC649" s="2032" t="e">
        <f t="shared" si="27"/>
        <v>#VALUE!</v>
      </c>
      <c r="ED649" s="2032"/>
      <c r="EE649" s="2032"/>
      <c r="EF649" s="2032"/>
      <c r="EG649" s="2032"/>
      <c r="EH649" s="2032">
        <f t="shared" si="28"/>
        <v>617.62831858407083</v>
      </c>
      <c r="EI649" s="2032"/>
      <c r="EJ649" s="2032"/>
      <c r="EK649" s="2032"/>
      <c r="EL649" s="2032"/>
      <c r="EM649" s="2032" t="e">
        <f t="shared" si="29"/>
        <v>#VALUE!</v>
      </c>
      <c r="EN649" s="2032"/>
      <c r="EO649" s="2032"/>
      <c r="EP649" s="2032"/>
      <c r="EQ649" s="2032"/>
      <c r="ER649" s="2032" t="e">
        <f t="shared" si="30"/>
        <v>#VALUE!</v>
      </c>
      <c r="ES649" s="2032"/>
      <c r="ET649" s="2032"/>
      <c r="EU649" s="2032"/>
      <c r="EV649" s="2032"/>
      <c r="EW649" s="2032" t="e">
        <f t="shared" si="31"/>
        <v>#VALUE!</v>
      </c>
      <c r="EX649" s="2032"/>
      <c r="EY649" s="2032"/>
      <c r="EZ649" s="2032"/>
      <c r="FA649" s="2032"/>
    </row>
    <row r="650" spans="1:157" ht="12.75" customHeight="1">
      <c r="B650" s="2336" t="s">
        <v>273</v>
      </c>
      <c r="C650" s="2337"/>
      <c r="D650" s="2337"/>
      <c r="E650" s="2337"/>
      <c r="F650" s="2337"/>
      <c r="G650" s="2337"/>
      <c r="H650" s="2337"/>
      <c r="I650" s="2337"/>
      <c r="J650" s="2337"/>
      <c r="K650" s="2337"/>
      <c r="L650" s="2337"/>
      <c r="M650" s="2337"/>
      <c r="N650" s="2337"/>
      <c r="O650" s="2337"/>
      <c r="P650" s="2337"/>
      <c r="Q650" s="2337"/>
      <c r="R650" s="2337"/>
      <c r="S650" s="2337"/>
      <c r="T650" s="2337"/>
      <c r="U650" s="2337"/>
      <c r="V650" s="2337"/>
      <c r="W650" s="2337"/>
      <c r="X650" s="2337"/>
      <c r="Y650" s="2337"/>
      <c r="Z650" s="2337"/>
      <c r="AA650" s="2337"/>
      <c r="AB650" s="2337"/>
      <c r="AC650" s="2337"/>
      <c r="AD650" s="2337"/>
      <c r="AE650" s="2337"/>
      <c r="AF650" s="2337"/>
      <c r="AG650" s="2337"/>
      <c r="AH650" s="2337"/>
      <c r="AI650" s="2337"/>
      <c r="AJ650" s="2337"/>
      <c r="AK650" s="2337"/>
      <c r="AL650" s="2337"/>
      <c r="AM650" s="2337"/>
      <c r="AN650" s="2338"/>
      <c r="AO650" s="2015">
        <v>46864089</v>
      </c>
      <c r="AP650" s="2016"/>
      <c r="AQ650" s="2016"/>
      <c r="AR650" s="2016"/>
      <c r="AS650" s="2017"/>
      <c r="AZ650" s="61"/>
      <c r="BA650" s="61"/>
      <c r="BB650" s="61"/>
      <c r="BC650" s="61"/>
      <c r="BD650" s="61"/>
      <c r="BE650" s="61"/>
      <c r="BF650" s="61"/>
      <c r="BG650" s="61"/>
      <c r="BH650" s="61"/>
      <c r="BI650" s="61"/>
      <c r="BJ650" s="61"/>
      <c r="BK650" s="61"/>
      <c r="BL650" s="61"/>
      <c r="BM650" s="61"/>
      <c r="BN650" s="2025">
        <f t="shared" si="32"/>
        <v>0</v>
      </c>
      <c r="BO650" s="2026"/>
      <c r="BP650" s="2026"/>
      <c r="BQ650" s="2026"/>
      <c r="BR650" s="2027"/>
      <c r="BS650" s="2024">
        <f t="shared" si="33"/>
        <v>0</v>
      </c>
      <c r="BT650" s="2024"/>
      <c r="BU650" s="2024"/>
      <c r="BV650" s="2024"/>
      <c r="BW650" s="2024"/>
      <c r="BX650" s="2024">
        <f t="shared" si="34"/>
        <v>0</v>
      </c>
      <c r="BY650" s="2024"/>
      <c r="BZ650" s="2024"/>
      <c r="CA650" s="2024"/>
      <c r="CB650" s="2024"/>
      <c r="CC650" s="2024">
        <f t="shared" si="35"/>
        <v>0</v>
      </c>
      <c r="CD650" s="2024"/>
      <c r="CE650" s="2024"/>
      <c r="CF650" s="2024"/>
      <c r="CG650" s="2024"/>
      <c r="CH650" s="2024">
        <f t="shared" si="36"/>
        <v>0</v>
      </c>
      <c r="CI650" s="2024"/>
      <c r="CJ650" s="2024"/>
      <c r="CK650" s="2024"/>
      <c r="CL650" s="2024"/>
      <c r="CM650" s="2024">
        <f t="shared" si="37"/>
        <v>0</v>
      </c>
      <c r="CN650" s="2024"/>
      <c r="CO650" s="2024"/>
      <c r="CP650" s="2024"/>
      <c r="CQ650" s="2024"/>
      <c r="CR650" s="265"/>
      <c r="CS650" s="2025">
        <f t="shared" si="38"/>
        <v>0</v>
      </c>
      <c r="CT650" s="2026"/>
      <c r="CU650" s="2026"/>
      <c r="CV650" s="2026"/>
      <c r="CW650" s="2027"/>
      <c r="CX650" s="2025">
        <f t="shared" si="39"/>
        <v>0</v>
      </c>
      <c r="CY650" s="2026"/>
      <c r="CZ650" s="2026"/>
      <c r="DA650" s="2026"/>
      <c r="DB650" s="2027"/>
      <c r="DC650" s="2025">
        <f t="shared" si="40"/>
        <v>0</v>
      </c>
      <c r="DD650" s="2026"/>
      <c r="DE650" s="2026"/>
      <c r="DF650" s="2026"/>
      <c r="DG650" s="2027"/>
      <c r="DH650" s="2025">
        <f t="shared" si="41"/>
        <v>0</v>
      </c>
      <c r="DI650" s="2026"/>
      <c r="DJ650" s="2026"/>
      <c r="DK650" s="2026"/>
      <c r="DL650" s="2027"/>
      <c r="DM650" s="2025">
        <f t="shared" si="42"/>
        <v>0</v>
      </c>
      <c r="DN650" s="2026"/>
      <c r="DO650" s="2026"/>
      <c r="DP650" s="2026"/>
      <c r="DQ650" s="2027"/>
      <c r="DR650" s="2025">
        <f t="shared" si="43"/>
        <v>0</v>
      </c>
      <c r="DS650" s="2026"/>
      <c r="DT650" s="2026"/>
      <c r="DU650" s="2026"/>
      <c r="DV650" s="2027"/>
      <c r="DX650" s="2032" t="e">
        <f t="shared" si="26"/>
        <v>#VALUE!</v>
      </c>
      <c r="DY650" s="2032"/>
      <c r="DZ650" s="2032"/>
      <c r="EA650" s="2032"/>
      <c r="EB650" s="2032"/>
      <c r="EC650" s="2032" t="e">
        <f t="shared" si="27"/>
        <v>#VALUE!</v>
      </c>
      <c r="ED650" s="2032"/>
      <c r="EE650" s="2032"/>
      <c r="EF650" s="2032"/>
      <c r="EG650" s="2032"/>
      <c r="EH650" s="2032" t="e">
        <f t="shared" si="28"/>
        <v>#VALUE!</v>
      </c>
      <c r="EI650" s="2032"/>
      <c r="EJ650" s="2032"/>
      <c r="EK650" s="2032"/>
      <c r="EL650" s="2032"/>
      <c r="EM650" s="2032">
        <f t="shared" si="29"/>
        <v>96.825396825396822</v>
      </c>
      <c r="EN650" s="2032"/>
      <c r="EO650" s="2032"/>
      <c r="EP650" s="2032"/>
      <c r="EQ650" s="2032"/>
      <c r="ER650" s="2032" t="e">
        <f t="shared" si="30"/>
        <v>#VALUE!</v>
      </c>
      <c r="ES650" s="2032"/>
      <c r="ET650" s="2032"/>
      <c r="EU650" s="2032"/>
      <c r="EV650" s="2032"/>
      <c r="EW650" s="2032" t="e">
        <f t="shared" si="31"/>
        <v>#VALUE!</v>
      </c>
      <c r="EX650" s="2032"/>
      <c r="EY650" s="2032"/>
      <c r="EZ650" s="2032"/>
      <c r="FA650" s="2032"/>
    </row>
    <row r="651" spans="1:157" ht="12.75" customHeight="1">
      <c r="B651" s="2417" t="s">
        <v>274</v>
      </c>
      <c r="C651" s="2418"/>
      <c r="D651" s="2418"/>
      <c r="E651" s="2418"/>
      <c r="F651" s="2418"/>
      <c r="G651" s="2418"/>
      <c r="H651" s="2418"/>
      <c r="I651" s="2418"/>
      <c r="J651" s="2418"/>
      <c r="K651" s="2418"/>
      <c r="L651" s="2418"/>
      <c r="M651" s="2418"/>
      <c r="N651" s="2418"/>
      <c r="O651" s="2418"/>
      <c r="P651" s="2418"/>
      <c r="Q651" s="2418"/>
      <c r="R651" s="2418"/>
      <c r="S651" s="2418"/>
      <c r="T651" s="2418"/>
      <c r="U651" s="2418"/>
      <c r="V651" s="2418"/>
      <c r="W651" s="2418"/>
      <c r="X651" s="2418"/>
      <c r="Y651" s="2418"/>
      <c r="Z651" s="2418"/>
      <c r="AA651" s="2418"/>
      <c r="AB651" s="2418"/>
      <c r="AC651" s="2418"/>
      <c r="AD651" s="2418"/>
      <c r="AE651" s="2418"/>
      <c r="AF651" s="2418"/>
      <c r="AG651" s="2418"/>
      <c r="AH651" s="2418"/>
      <c r="AI651" s="2418"/>
      <c r="AJ651" s="2418"/>
      <c r="AK651" s="2418"/>
      <c r="AL651" s="2418"/>
      <c r="AM651" s="2418"/>
      <c r="AN651" s="2419"/>
      <c r="AO651" s="2344">
        <f>AO649+AO650</f>
        <v>124455933</v>
      </c>
      <c r="AP651" s="2345"/>
      <c r="AQ651" s="2345"/>
      <c r="AR651" s="2345"/>
      <c r="AS651" s="2346"/>
      <c r="AZ651" s="61"/>
      <c r="BA651" s="61"/>
      <c r="BB651" s="61"/>
      <c r="BC651" s="61"/>
      <c r="BD651" s="61"/>
      <c r="BE651" s="61"/>
      <c r="BF651" s="61"/>
      <c r="BG651" s="61"/>
      <c r="BH651" s="61"/>
      <c r="BI651" s="61"/>
      <c r="BJ651" s="61"/>
      <c r="BK651" s="61"/>
      <c r="BL651" s="61"/>
      <c r="BM651" s="61"/>
      <c r="BN651" s="2025">
        <f t="shared" si="32"/>
        <v>0</v>
      </c>
      <c r="BO651" s="2026"/>
      <c r="BP651" s="2026"/>
      <c r="BQ651" s="2026"/>
      <c r="BR651" s="2027"/>
      <c r="BS651" s="2024">
        <f t="shared" si="33"/>
        <v>0</v>
      </c>
      <c r="BT651" s="2024"/>
      <c r="BU651" s="2024"/>
      <c r="BV651" s="2024"/>
      <c r="BW651" s="2024"/>
      <c r="BX651" s="2024">
        <f t="shared" si="34"/>
        <v>0</v>
      </c>
      <c r="BY651" s="2024"/>
      <c r="BZ651" s="2024"/>
      <c r="CA651" s="2024"/>
      <c r="CB651" s="2024"/>
      <c r="CC651" s="2024">
        <f t="shared" si="35"/>
        <v>0</v>
      </c>
      <c r="CD651" s="2024"/>
      <c r="CE651" s="2024"/>
      <c r="CF651" s="2024"/>
      <c r="CG651" s="2024"/>
      <c r="CH651" s="2024">
        <f t="shared" si="36"/>
        <v>0</v>
      </c>
      <c r="CI651" s="2024"/>
      <c r="CJ651" s="2024"/>
      <c r="CK651" s="2024"/>
      <c r="CL651" s="2024"/>
      <c r="CM651" s="2024">
        <f t="shared" si="37"/>
        <v>0</v>
      </c>
      <c r="CN651" s="2024"/>
      <c r="CO651" s="2024"/>
      <c r="CP651" s="2024"/>
      <c r="CQ651" s="2024"/>
      <c r="CR651" s="265"/>
      <c r="CS651" s="2025">
        <f t="shared" si="38"/>
        <v>0</v>
      </c>
      <c r="CT651" s="2026"/>
      <c r="CU651" s="2026"/>
      <c r="CV651" s="2026"/>
      <c r="CW651" s="2027"/>
      <c r="CX651" s="2025">
        <f t="shared" si="39"/>
        <v>0</v>
      </c>
      <c r="CY651" s="2026"/>
      <c r="CZ651" s="2026"/>
      <c r="DA651" s="2026"/>
      <c r="DB651" s="2027"/>
      <c r="DC651" s="2025">
        <f t="shared" si="40"/>
        <v>0</v>
      </c>
      <c r="DD651" s="2026"/>
      <c r="DE651" s="2026"/>
      <c r="DF651" s="2026"/>
      <c r="DG651" s="2027"/>
      <c r="DH651" s="2025">
        <f t="shared" si="41"/>
        <v>0</v>
      </c>
      <c r="DI651" s="2026"/>
      <c r="DJ651" s="2026"/>
      <c r="DK651" s="2026"/>
      <c r="DL651" s="2027"/>
      <c r="DM651" s="2025">
        <f t="shared" si="42"/>
        <v>0</v>
      </c>
      <c r="DN651" s="2026"/>
      <c r="DO651" s="2026"/>
      <c r="DP651" s="2026"/>
      <c r="DQ651" s="2027"/>
      <c r="DR651" s="2025">
        <f t="shared" si="43"/>
        <v>0</v>
      </c>
      <c r="DS651" s="2026"/>
      <c r="DT651" s="2026"/>
      <c r="DU651" s="2026"/>
      <c r="DV651" s="2027"/>
      <c r="DX651" s="2032" t="e">
        <f t="shared" si="26"/>
        <v>#VALUE!</v>
      </c>
      <c r="DY651" s="2032"/>
      <c r="DZ651" s="2032"/>
      <c r="EA651" s="2032"/>
      <c r="EB651" s="2032"/>
      <c r="EC651" s="2032" t="e">
        <f t="shared" si="27"/>
        <v>#VALUE!</v>
      </c>
      <c r="ED651" s="2032"/>
      <c r="EE651" s="2032"/>
      <c r="EF651" s="2032"/>
      <c r="EG651" s="2032"/>
      <c r="EH651" s="2032" t="e">
        <f t="shared" si="28"/>
        <v>#VALUE!</v>
      </c>
      <c r="EI651" s="2032"/>
      <c r="EJ651" s="2032"/>
      <c r="EK651" s="2032"/>
      <c r="EL651" s="2032"/>
      <c r="EM651" s="2032">
        <f t="shared" si="29"/>
        <v>165.23809523809524</v>
      </c>
      <c r="EN651" s="2032"/>
      <c r="EO651" s="2032"/>
      <c r="EP651" s="2032"/>
      <c r="EQ651" s="2032"/>
      <c r="ER651" s="2032" t="e">
        <f t="shared" si="30"/>
        <v>#VALUE!</v>
      </c>
      <c r="ES651" s="2032"/>
      <c r="ET651" s="2032"/>
      <c r="EU651" s="2032"/>
      <c r="EV651" s="2032"/>
      <c r="EW651" s="2032" t="e">
        <f t="shared" si="31"/>
        <v>#VALUE!</v>
      </c>
      <c r="EX651" s="2032"/>
      <c r="EY651" s="2032"/>
      <c r="EZ651" s="2032"/>
      <c r="FA651" s="2032"/>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5">
        <f t="shared" si="32"/>
        <v>0</v>
      </c>
      <c r="BO652" s="2026"/>
      <c r="BP652" s="2026"/>
      <c r="BQ652" s="2026"/>
      <c r="BR652" s="2027"/>
      <c r="BS652" s="2024">
        <f t="shared" si="33"/>
        <v>0</v>
      </c>
      <c r="BT652" s="2024"/>
      <c r="BU652" s="2024"/>
      <c r="BV652" s="2024"/>
      <c r="BW652" s="2024"/>
      <c r="BX652" s="2024">
        <f t="shared" si="34"/>
        <v>0</v>
      </c>
      <c r="BY652" s="2024"/>
      <c r="BZ652" s="2024"/>
      <c r="CA652" s="2024"/>
      <c r="CB652" s="2024"/>
      <c r="CC652" s="2024">
        <f t="shared" si="35"/>
        <v>0</v>
      </c>
      <c r="CD652" s="2024"/>
      <c r="CE652" s="2024"/>
      <c r="CF652" s="2024"/>
      <c r="CG652" s="2024"/>
      <c r="CH652" s="2024">
        <f t="shared" si="36"/>
        <v>0</v>
      </c>
      <c r="CI652" s="2024"/>
      <c r="CJ652" s="2024"/>
      <c r="CK652" s="2024"/>
      <c r="CL652" s="2024"/>
      <c r="CM652" s="2024">
        <f t="shared" si="37"/>
        <v>0</v>
      </c>
      <c r="CN652" s="2024"/>
      <c r="CO652" s="2024"/>
      <c r="CP652" s="2024"/>
      <c r="CQ652" s="2024"/>
      <c r="CR652" s="265"/>
      <c r="CS652" s="2025">
        <f t="shared" si="38"/>
        <v>0</v>
      </c>
      <c r="CT652" s="2026"/>
      <c r="CU652" s="2026"/>
      <c r="CV652" s="2026"/>
      <c r="CW652" s="2027"/>
      <c r="CX652" s="2025">
        <f t="shared" si="39"/>
        <v>0</v>
      </c>
      <c r="CY652" s="2026"/>
      <c r="CZ652" s="2026"/>
      <c r="DA652" s="2026"/>
      <c r="DB652" s="2027"/>
      <c r="DC652" s="2025">
        <f t="shared" si="40"/>
        <v>0</v>
      </c>
      <c r="DD652" s="2026"/>
      <c r="DE652" s="2026"/>
      <c r="DF652" s="2026"/>
      <c r="DG652" s="2027"/>
      <c r="DH652" s="2025">
        <f t="shared" si="41"/>
        <v>0</v>
      </c>
      <c r="DI652" s="2026"/>
      <c r="DJ652" s="2026"/>
      <c r="DK652" s="2026"/>
      <c r="DL652" s="2027"/>
      <c r="DM652" s="2025">
        <f t="shared" si="42"/>
        <v>0</v>
      </c>
      <c r="DN652" s="2026"/>
      <c r="DO652" s="2026"/>
      <c r="DP652" s="2026"/>
      <c r="DQ652" s="2027"/>
      <c r="DR652" s="2025">
        <f t="shared" si="43"/>
        <v>0</v>
      </c>
      <c r="DS652" s="2026"/>
      <c r="DT652" s="2026"/>
      <c r="DU652" s="2026"/>
      <c r="DV652" s="2027"/>
      <c r="DX652" s="2032" t="e">
        <f t="shared" si="26"/>
        <v>#VALUE!</v>
      </c>
      <c r="DY652" s="2032"/>
      <c r="DZ652" s="2032"/>
      <c r="EA652" s="2032"/>
      <c r="EB652" s="2032"/>
      <c r="EC652" s="2032" t="e">
        <f t="shared" si="27"/>
        <v>#VALUE!</v>
      </c>
      <c r="ED652" s="2032"/>
      <c r="EE652" s="2032"/>
      <c r="EF652" s="2032"/>
      <c r="EG652" s="2032"/>
      <c r="EH652" s="2032" t="e">
        <f t="shared" si="28"/>
        <v>#VALUE!</v>
      </c>
      <c r="EI652" s="2032"/>
      <c r="EJ652" s="2032"/>
      <c r="EK652" s="2032"/>
      <c r="EL652" s="2032"/>
      <c r="EM652" s="2032">
        <f t="shared" si="29"/>
        <v>1635.4444444444446</v>
      </c>
      <c r="EN652" s="2032"/>
      <c r="EO652" s="2032"/>
      <c r="EP652" s="2032"/>
      <c r="EQ652" s="2032"/>
      <c r="ER652" s="2032" t="e">
        <f t="shared" si="30"/>
        <v>#VALUE!</v>
      </c>
      <c r="ES652" s="2032"/>
      <c r="ET652" s="2032"/>
      <c r="EU652" s="2032"/>
      <c r="EV652" s="2032"/>
      <c r="EW652" s="2032" t="e">
        <f t="shared" si="31"/>
        <v>#VALUE!</v>
      </c>
      <c r="EX652" s="2032"/>
      <c r="EY652" s="2032"/>
      <c r="EZ652" s="2032"/>
      <c r="FA652" s="2032"/>
    </row>
    <row r="653" spans="1:157" ht="12.75">
      <c r="A653" s="87" t="s">
        <v>117</v>
      </c>
      <c r="B653" s="12" t="s">
        <v>496</v>
      </c>
      <c r="G653" s="2014" t="str">
        <f>C637</f>
        <v>Citibank</v>
      </c>
      <c r="H653" s="2014"/>
      <c r="I653" s="2014"/>
      <c r="J653" s="2014"/>
      <c r="K653" s="2014"/>
      <c r="L653" s="2014"/>
      <c r="M653" s="2014"/>
      <c r="N653" s="2014"/>
      <c r="O653" s="2014"/>
      <c r="P653" s="2014"/>
      <c r="Q653" s="2014"/>
      <c r="R653" s="2014"/>
      <c r="S653" s="14"/>
      <c r="T653" s="87" t="s">
        <v>118</v>
      </c>
      <c r="U653" s="12" t="s">
        <v>496</v>
      </c>
      <c r="Z653" s="2014" t="str">
        <f>C638</f>
        <v>Deferred Developer Fee</v>
      </c>
      <c r="AA653" s="2014"/>
      <c r="AB653" s="2014"/>
      <c r="AC653" s="2014"/>
      <c r="AD653" s="2014"/>
      <c r="AE653" s="2014"/>
      <c r="AF653" s="2014"/>
      <c r="AG653" s="2014"/>
      <c r="AH653" s="2014"/>
      <c r="AI653" s="2014"/>
      <c r="AJ653" s="2014"/>
      <c r="AK653" s="2014"/>
      <c r="AZ653" s="61"/>
      <c r="BA653" s="61"/>
      <c r="BB653" s="61"/>
      <c r="BC653" s="61"/>
      <c r="BD653" s="61"/>
      <c r="BE653" s="61"/>
      <c r="BF653" s="61"/>
      <c r="BG653" s="61"/>
      <c r="BH653" s="61"/>
      <c r="BI653" s="61"/>
      <c r="BJ653" s="61"/>
      <c r="BK653" s="61"/>
      <c r="BL653" s="61"/>
      <c r="BM653" s="61"/>
      <c r="BN653" s="2025">
        <f t="shared" si="32"/>
        <v>0</v>
      </c>
      <c r="BO653" s="2026"/>
      <c r="BP653" s="2026"/>
      <c r="BQ653" s="2026"/>
      <c r="BR653" s="2027"/>
      <c r="BS653" s="2024">
        <f t="shared" si="33"/>
        <v>0</v>
      </c>
      <c r="BT653" s="2024"/>
      <c r="BU653" s="2024"/>
      <c r="BV653" s="2024"/>
      <c r="BW653" s="2024"/>
      <c r="BX653" s="2024">
        <f t="shared" si="34"/>
        <v>0</v>
      </c>
      <c r="BY653" s="2024"/>
      <c r="BZ653" s="2024"/>
      <c r="CA653" s="2024"/>
      <c r="CB653" s="2024"/>
      <c r="CC653" s="2024">
        <f t="shared" si="35"/>
        <v>0</v>
      </c>
      <c r="CD653" s="2024"/>
      <c r="CE653" s="2024"/>
      <c r="CF653" s="2024"/>
      <c r="CG653" s="2024"/>
      <c r="CH653" s="2024">
        <f t="shared" si="36"/>
        <v>0</v>
      </c>
      <c r="CI653" s="2024"/>
      <c r="CJ653" s="2024"/>
      <c r="CK653" s="2024"/>
      <c r="CL653" s="2024"/>
      <c r="CM653" s="2024">
        <f t="shared" si="37"/>
        <v>0</v>
      </c>
      <c r="CN653" s="2024"/>
      <c r="CO653" s="2024"/>
      <c r="CP653" s="2024"/>
      <c r="CQ653" s="2024"/>
      <c r="CR653" s="265"/>
      <c r="CS653" s="2025">
        <f t="shared" si="38"/>
        <v>0</v>
      </c>
      <c r="CT653" s="2026"/>
      <c r="CU653" s="2026"/>
      <c r="CV653" s="2026"/>
      <c r="CW653" s="2027"/>
      <c r="CX653" s="2025">
        <f t="shared" si="39"/>
        <v>0</v>
      </c>
      <c r="CY653" s="2026"/>
      <c r="CZ653" s="2026"/>
      <c r="DA653" s="2026"/>
      <c r="DB653" s="2027"/>
      <c r="DC653" s="2025">
        <f t="shared" si="40"/>
        <v>0</v>
      </c>
      <c r="DD653" s="2026"/>
      <c r="DE653" s="2026"/>
      <c r="DF653" s="2026"/>
      <c r="DG653" s="2027"/>
      <c r="DH653" s="2025">
        <f t="shared" si="41"/>
        <v>0</v>
      </c>
      <c r="DI653" s="2026"/>
      <c r="DJ653" s="2026"/>
      <c r="DK653" s="2026"/>
      <c r="DL653" s="2027"/>
      <c r="DM653" s="2025">
        <f t="shared" si="42"/>
        <v>0</v>
      </c>
      <c r="DN653" s="2026"/>
      <c r="DO653" s="2026"/>
      <c r="DP653" s="2026"/>
      <c r="DQ653" s="2027"/>
      <c r="DR653" s="2025">
        <f t="shared" si="43"/>
        <v>0</v>
      </c>
      <c r="DS653" s="2026"/>
      <c r="DT653" s="2026"/>
      <c r="DU653" s="2026"/>
      <c r="DV653" s="2027"/>
      <c r="DX653" s="2032" t="e">
        <f t="shared" si="26"/>
        <v>#VALUE!</v>
      </c>
      <c r="DY653" s="2032"/>
      <c r="DZ653" s="2032"/>
      <c r="EA653" s="2032"/>
      <c r="EB653" s="2032"/>
      <c r="EC653" s="2032" t="e">
        <f t="shared" si="27"/>
        <v>#VALUE!</v>
      </c>
      <c r="ED653" s="2032"/>
      <c r="EE653" s="2032"/>
      <c r="EF653" s="2032"/>
      <c r="EG653" s="2032"/>
      <c r="EH653" s="2032" t="e">
        <f t="shared" si="28"/>
        <v>#VALUE!</v>
      </c>
      <c r="EI653" s="2032"/>
      <c r="EJ653" s="2032"/>
      <c r="EK653" s="2032"/>
      <c r="EL653" s="2032"/>
      <c r="EM653" s="2032">
        <f t="shared" si="29"/>
        <v>19.365079365079364</v>
      </c>
      <c r="EN653" s="2032"/>
      <c r="EO653" s="2032"/>
      <c r="EP653" s="2032"/>
      <c r="EQ653" s="2032"/>
      <c r="ER653" s="2032" t="e">
        <f t="shared" si="30"/>
        <v>#VALUE!</v>
      </c>
      <c r="ES653" s="2032"/>
      <c r="ET653" s="2032"/>
      <c r="EU653" s="2032"/>
      <c r="EV653" s="2032"/>
      <c r="EW653" s="2032" t="e">
        <f t="shared" si="31"/>
        <v>#VALUE!</v>
      </c>
      <c r="EX653" s="2032"/>
      <c r="EY653" s="2032"/>
      <c r="EZ653" s="2032"/>
      <c r="FA653" s="2032"/>
    </row>
    <row r="654" spans="1:157" ht="12.75">
      <c r="A654" s="35"/>
      <c r="B654" s="12" t="s">
        <v>90</v>
      </c>
      <c r="G654" s="2055" t="str">
        <f>G579</f>
        <v>325 E. Hillcrest Drive, Suite 160</v>
      </c>
      <c r="H654" s="2055"/>
      <c r="I654" s="2055"/>
      <c r="J654" s="2055"/>
      <c r="K654" s="2055"/>
      <c r="L654" s="2055"/>
      <c r="M654" s="2055"/>
      <c r="N654" s="2055"/>
      <c r="O654" s="2055"/>
      <c r="P654" s="2055"/>
      <c r="Q654" s="2055"/>
      <c r="R654" s="2055"/>
      <c r="S654" s="14"/>
      <c r="T654" s="35"/>
      <c r="U654" s="12" t="s">
        <v>90</v>
      </c>
      <c r="Z654" s="2055" t="str">
        <f>G596</f>
        <v>1700 S. El Camino Real, Suite 400</v>
      </c>
      <c r="AA654" s="2055"/>
      <c r="AB654" s="2055"/>
      <c r="AC654" s="2055"/>
      <c r="AD654" s="2055"/>
      <c r="AE654" s="2055"/>
      <c r="AF654" s="2055"/>
      <c r="AG654" s="2055"/>
      <c r="AH654" s="2055"/>
      <c r="AI654" s="2055"/>
      <c r="AJ654" s="2055"/>
      <c r="AK654" s="2055"/>
      <c r="AZ654" s="61"/>
      <c r="BA654" s="61"/>
      <c r="BB654" s="61"/>
      <c r="BC654" s="61"/>
      <c r="BD654" s="61"/>
      <c r="BE654" s="61"/>
      <c r="BF654" s="61"/>
      <c r="BG654" s="61"/>
      <c r="BH654" s="61"/>
      <c r="BI654" s="61"/>
      <c r="BJ654" s="61"/>
      <c r="BK654" s="61"/>
      <c r="BL654" s="61"/>
      <c r="BM654" s="61"/>
      <c r="BN654" s="2025">
        <f t="shared" si="32"/>
        <v>0</v>
      </c>
      <c r="BO654" s="2026"/>
      <c r="BP654" s="2026"/>
      <c r="BQ654" s="2026"/>
      <c r="BR654" s="2027"/>
      <c r="BS654" s="2024">
        <f t="shared" si="33"/>
        <v>0</v>
      </c>
      <c r="BT654" s="2024"/>
      <c r="BU654" s="2024"/>
      <c r="BV654" s="2024"/>
      <c r="BW654" s="2024"/>
      <c r="BX654" s="2024">
        <f t="shared" si="34"/>
        <v>0</v>
      </c>
      <c r="BY654" s="2024"/>
      <c r="BZ654" s="2024"/>
      <c r="CA654" s="2024"/>
      <c r="CB654" s="2024"/>
      <c r="CC654" s="2024">
        <f t="shared" si="35"/>
        <v>0</v>
      </c>
      <c r="CD654" s="2024"/>
      <c r="CE654" s="2024"/>
      <c r="CF654" s="2024"/>
      <c r="CG654" s="2024"/>
      <c r="CH654" s="2024">
        <f t="shared" si="36"/>
        <v>0</v>
      </c>
      <c r="CI654" s="2024"/>
      <c r="CJ654" s="2024"/>
      <c r="CK654" s="2024"/>
      <c r="CL654" s="2024"/>
      <c r="CM654" s="2024">
        <f t="shared" si="37"/>
        <v>0</v>
      </c>
      <c r="CN654" s="2024"/>
      <c r="CO654" s="2024"/>
      <c r="CP654" s="2024"/>
      <c r="CQ654" s="2024"/>
      <c r="CR654" s="265"/>
      <c r="CS654" s="2025">
        <f t="shared" si="38"/>
        <v>0</v>
      </c>
      <c r="CT654" s="2026"/>
      <c r="CU654" s="2026"/>
      <c r="CV654" s="2026"/>
      <c r="CW654" s="2027"/>
      <c r="CX654" s="2025">
        <f t="shared" si="39"/>
        <v>0</v>
      </c>
      <c r="CY654" s="2026"/>
      <c r="CZ654" s="2026"/>
      <c r="DA654" s="2026"/>
      <c r="DB654" s="2027"/>
      <c r="DC654" s="2025">
        <f t="shared" si="40"/>
        <v>0</v>
      </c>
      <c r="DD654" s="2026"/>
      <c r="DE654" s="2026"/>
      <c r="DF654" s="2026"/>
      <c r="DG654" s="2027"/>
      <c r="DH654" s="2025">
        <f t="shared" si="41"/>
        <v>0</v>
      </c>
      <c r="DI654" s="2026"/>
      <c r="DJ654" s="2026"/>
      <c r="DK654" s="2026"/>
      <c r="DL654" s="2027"/>
      <c r="DM654" s="2025">
        <f t="shared" si="42"/>
        <v>0</v>
      </c>
      <c r="DN654" s="2026"/>
      <c r="DO654" s="2026"/>
      <c r="DP654" s="2026"/>
      <c r="DQ654" s="2027"/>
      <c r="DR654" s="2025">
        <f t="shared" si="43"/>
        <v>0</v>
      </c>
      <c r="DS654" s="2026"/>
      <c r="DT654" s="2026"/>
      <c r="DU654" s="2026"/>
      <c r="DV654" s="2027"/>
      <c r="DX654" s="2032" t="e">
        <f t="shared" si="26"/>
        <v>#VALUE!</v>
      </c>
      <c r="DY654" s="2032"/>
      <c r="DZ654" s="2032"/>
      <c r="EA654" s="2032"/>
      <c r="EB654" s="2032"/>
      <c r="EC654" s="2032" t="e">
        <f t="shared" si="27"/>
        <v>#VALUE!</v>
      </c>
      <c r="ED654" s="2032"/>
      <c r="EE654" s="2032"/>
      <c r="EF654" s="2032"/>
      <c r="EG654" s="2032"/>
      <c r="EH654" s="2032" t="e">
        <f t="shared" si="28"/>
        <v>#VALUE!</v>
      </c>
      <c r="EI654" s="2032"/>
      <c r="EJ654" s="2032"/>
      <c r="EK654" s="2032"/>
      <c r="EL654" s="2032"/>
      <c r="EM654" s="2032">
        <f t="shared" si="29"/>
        <v>33.047619047619044</v>
      </c>
      <c r="EN654" s="2032"/>
      <c r="EO654" s="2032"/>
      <c r="EP654" s="2032"/>
      <c r="EQ654" s="2032"/>
      <c r="ER654" s="2032" t="e">
        <f t="shared" si="30"/>
        <v>#VALUE!</v>
      </c>
      <c r="ES654" s="2032"/>
      <c r="ET654" s="2032"/>
      <c r="EU654" s="2032"/>
      <c r="EV654" s="2032"/>
      <c r="EW654" s="2032" t="e">
        <f t="shared" si="31"/>
        <v>#VALUE!</v>
      </c>
      <c r="EX654" s="2032"/>
      <c r="EY654" s="2032"/>
      <c r="EZ654" s="2032"/>
      <c r="FA654" s="2032"/>
    </row>
    <row r="655" spans="1:157" ht="12.75">
      <c r="A655" s="35"/>
      <c r="B655" s="12" t="s">
        <v>615</v>
      </c>
      <c r="G655" s="2055" t="str">
        <f t="shared" ref="G655:G656" si="44">G580</f>
        <v>Thousand Oaks</v>
      </c>
      <c r="H655" s="2055"/>
      <c r="I655" s="2055"/>
      <c r="J655" s="2055"/>
      <c r="K655" s="2055"/>
      <c r="L655" s="2055"/>
      <c r="M655" s="2055"/>
      <c r="N655" s="2055"/>
      <c r="O655" s="2055"/>
      <c r="P655" s="2055"/>
      <c r="Q655" s="2055"/>
      <c r="R655" s="2055"/>
      <c r="S655" s="88"/>
      <c r="T655" s="35"/>
      <c r="U655" s="12" t="s">
        <v>615</v>
      </c>
      <c r="Z655" s="2055" t="str">
        <f t="shared" ref="Z655:Z656" si="45">G597</f>
        <v>San Mateo, CA 94402</v>
      </c>
      <c r="AA655" s="2055"/>
      <c r="AB655" s="2055"/>
      <c r="AC655" s="2055"/>
      <c r="AD655" s="2055"/>
      <c r="AE655" s="2055"/>
      <c r="AF655" s="2055"/>
      <c r="AG655" s="2055"/>
      <c r="AH655" s="2055"/>
      <c r="AI655" s="2055"/>
      <c r="AJ655" s="2055"/>
      <c r="AK655" s="2055"/>
      <c r="AZ655" s="61"/>
      <c r="BA655" s="61"/>
      <c r="BB655" s="61"/>
      <c r="BC655" s="61"/>
      <c r="BD655" s="61"/>
      <c r="BE655" s="61"/>
      <c r="BF655" s="61"/>
      <c r="BG655" s="61"/>
      <c r="BH655" s="61"/>
      <c r="BI655" s="61"/>
      <c r="BJ655" s="61"/>
      <c r="BK655" s="61"/>
      <c r="BL655" s="61"/>
      <c r="BM655" s="61"/>
      <c r="BN655" s="2025">
        <f t="shared" si="32"/>
        <v>0</v>
      </c>
      <c r="BO655" s="2026"/>
      <c r="BP655" s="2026"/>
      <c r="BQ655" s="2026"/>
      <c r="BR655" s="2027"/>
      <c r="BS655" s="2024">
        <f t="shared" si="33"/>
        <v>0</v>
      </c>
      <c r="BT655" s="2024"/>
      <c r="BU655" s="2024"/>
      <c r="BV655" s="2024"/>
      <c r="BW655" s="2024"/>
      <c r="BX655" s="2024">
        <f t="shared" si="34"/>
        <v>0</v>
      </c>
      <c r="BY655" s="2024"/>
      <c r="BZ655" s="2024"/>
      <c r="CA655" s="2024"/>
      <c r="CB655" s="2024"/>
      <c r="CC655" s="2024">
        <f t="shared" si="35"/>
        <v>0</v>
      </c>
      <c r="CD655" s="2024"/>
      <c r="CE655" s="2024"/>
      <c r="CF655" s="2024"/>
      <c r="CG655" s="2024"/>
      <c r="CH655" s="2024">
        <f t="shared" si="36"/>
        <v>0</v>
      </c>
      <c r="CI655" s="2024"/>
      <c r="CJ655" s="2024"/>
      <c r="CK655" s="2024"/>
      <c r="CL655" s="2024"/>
      <c r="CM655" s="2024">
        <f t="shared" si="37"/>
        <v>0</v>
      </c>
      <c r="CN655" s="2024"/>
      <c r="CO655" s="2024"/>
      <c r="CP655" s="2024"/>
      <c r="CQ655" s="2024"/>
      <c r="CR655" s="265"/>
      <c r="CS655" s="2025">
        <f t="shared" si="38"/>
        <v>0</v>
      </c>
      <c r="CT655" s="2026"/>
      <c r="CU655" s="2026"/>
      <c r="CV655" s="2026"/>
      <c r="CW655" s="2027"/>
      <c r="CX655" s="2025">
        <f t="shared" si="39"/>
        <v>0</v>
      </c>
      <c r="CY655" s="2026"/>
      <c r="CZ655" s="2026"/>
      <c r="DA655" s="2026"/>
      <c r="DB655" s="2027"/>
      <c r="DC655" s="2025">
        <f t="shared" si="40"/>
        <v>0</v>
      </c>
      <c r="DD655" s="2026"/>
      <c r="DE655" s="2026"/>
      <c r="DF655" s="2026"/>
      <c r="DG655" s="2027"/>
      <c r="DH655" s="2025">
        <f t="shared" si="41"/>
        <v>0</v>
      </c>
      <c r="DI655" s="2026"/>
      <c r="DJ655" s="2026"/>
      <c r="DK655" s="2026"/>
      <c r="DL655" s="2027"/>
      <c r="DM655" s="2025">
        <f t="shared" si="42"/>
        <v>0</v>
      </c>
      <c r="DN655" s="2026"/>
      <c r="DO655" s="2026"/>
      <c r="DP655" s="2026"/>
      <c r="DQ655" s="2027"/>
      <c r="DR655" s="2025">
        <f t="shared" si="43"/>
        <v>0</v>
      </c>
      <c r="DS655" s="2026"/>
      <c r="DT655" s="2026"/>
      <c r="DU655" s="2026"/>
      <c r="DV655" s="2027"/>
      <c r="DX655" s="2032" t="e">
        <f t="shared" si="26"/>
        <v>#VALUE!</v>
      </c>
      <c r="DY655" s="2032"/>
      <c r="DZ655" s="2032"/>
      <c r="EA655" s="2032"/>
      <c r="EB655" s="2032"/>
      <c r="EC655" s="2032" t="e">
        <f t="shared" si="27"/>
        <v>#VALUE!</v>
      </c>
      <c r="ED655" s="2032"/>
      <c r="EE655" s="2032"/>
      <c r="EF655" s="2032"/>
      <c r="EG655" s="2032"/>
      <c r="EH655" s="2032" t="e">
        <f t="shared" si="28"/>
        <v>#VALUE!</v>
      </c>
      <c r="EI655" s="2032"/>
      <c r="EJ655" s="2032"/>
      <c r="EK655" s="2032"/>
      <c r="EL655" s="2032"/>
      <c r="EM655" s="2032">
        <f t="shared" si="29"/>
        <v>159.55555555555554</v>
      </c>
      <c r="EN655" s="2032"/>
      <c r="EO655" s="2032"/>
      <c r="EP655" s="2032"/>
      <c r="EQ655" s="2032"/>
      <c r="ER655" s="2032" t="e">
        <f t="shared" si="30"/>
        <v>#VALUE!</v>
      </c>
      <c r="ES655" s="2032"/>
      <c r="ET655" s="2032"/>
      <c r="EU655" s="2032"/>
      <c r="EV655" s="2032"/>
      <c r="EW655" s="2032" t="e">
        <f t="shared" si="31"/>
        <v>#VALUE!</v>
      </c>
      <c r="EX655" s="2032"/>
      <c r="EY655" s="2032"/>
      <c r="EZ655" s="2032"/>
      <c r="FA655" s="2032"/>
    </row>
    <row r="656" spans="1:157" ht="12.75">
      <c r="A656" s="35"/>
      <c r="B656" s="12" t="s">
        <v>17</v>
      </c>
      <c r="G656" s="2055" t="str">
        <f t="shared" si="44"/>
        <v>Jay Abeywardena</v>
      </c>
      <c r="H656" s="2055"/>
      <c r="I656" s="2055"/>
      <c r="J656" s="2055"/>
      <c r="K656" s="2055"/>
      <c r="L656" s="2055"/>
      <c r="M656" s="2055"/>
      <c r="N656" s="2055"/>
      <c r="O656" s="2055"/>
      <c r="P656" s="2055"/>
      <c r="Q656" s="2055"/>
      <c r="R656" s="2055"/>
      <c r="S656" s="14"/>
      <c r="T656" s="35"/>
      <c r="U656" s="12" t="s">
        <v>17</v>
      </c>
      <c r="Z656" s="2055" t="str">
        <f t="shared" si="45"/>
        <v>Jonathan Emami</v>
      </c>
      <c r="AA656" s="2055"/>
      <c r="AB656" s="2055"/>
      <c r="AC656" s="2055"/>
      <c r="AD656" s="2055"/>
      <c r="AE656" s="2055"/>
      <c r="AF656" s="2055"/>
      <c r="AG656" s="2055"/>
      <c r="AH656" s="2055"/>
      <c r="AI656" s="2055"/>
      <c r="AJ656" s="2055"/>
      <c r="AK656" s="2055"/>
      <c r="AZ656" s="61"/>
      <c r="BA656" s="61"/>
      <c r="BB656" s="61"/>
      <c r="BC656" s="61"/>
      <c r="BD656" s="61"/>
      <c r="BE656" s="61"/>
      <c r="BF656" s="61"/>
      <c r="BG656" s="61"/>
      <c r="BH656" s="61"/>
      <c r="BI656" s="61"/>
      <c r="BJ656" s="61"/>
      <c r="BK656" s="61"/>
      <c r="BL656" s="61"/>
      <c r="BM656" s="61"/>
      <c r="BN656" s="2025">
        <f t="shared" si="32"/>
        <v>0</v>
      </c>
      <c r="BO656" s="2026"/>
      <c r="BP656" s="2026"/>
      <c r="BQ656" s="2026"/>
      <c r="BR656" s="2027"/>
      <c r="BS656" s="2024">
        <f t="shared" si="33"/>
        <v>0</v>
      </c>
      <c r="BT656" s="2024"/>
      <c r="BU656" s="2024"/>
      <c r="BV656" s="2024"/>
      <c r="BW656" s="2024"/>
      <c r="BX656" s="2024">
        <f t="shared" si="34"/>
        <v>0</v>
      </c>
      <c r="BY656" s="2024"/>
      <c r="BZ656" s="2024"/>
      <c r="CA656" s="2024"/>
      <c r="CB656" s="2024"/>
      <c r="CC656" s="2024">
        <f t="shared" si="35"/>
        <v>0</v>
      </c>
      <c r="CD656" s="2024"/>
      <c r="CE656" s="2024"/>
      <c r="CF656" s="2024"/>
      <c r="CG656" s="2024"/>
      <c r="CH656" s="2024">
        <f t="shared" si="36"/>
        <v>0</v>
      </c>
      <c r="CI656" s="2024"/>
      <c r="CJ656" s="2024"/>
      <c r="CK656" s="2024"/>
      <c r="CL656" s="2024"/>
      <c r="CM656" s="2024">
        <f t="shared" si="37"/>
        <v>0</v>
      </c>
      <c r="CN656" s="2024"/>
      <c r="CO656" s="2024"/>
      <c r="CP656" s="2024"/>
      <c r="CQ656" s="2024"/>
      <c r="CR656" s="265"/>
      <c r="CS656" s="2025">
        <f t="shared" si="38"/>
        <v>0</v>
      </c>
      <c r="CT656" s="2026"/>
      <c r="CU656" s="2026"/>
      <c r="CV656" s="2026"/>
      <c r="CW656" s="2027"/>
      <c r="CX656" s="2025">
        <f t="shared" si="39"/>
        <v>0</v>
      </c>
      <c r="CY656" s="2026"/>
      <c r="CZ656" s="2026"/>
      <c r="DA656" s="2026"/>
      <c r="DB656" s="2027"/>
      <c r="DC656" s="2025">
        <f t="shared" si="40"/>
        <v>0</v>
      </c>
      <c r="DD656" s="2026"/>
      <c r="DE656" s="2026"/>
      <c r="DF656" s="2026"/>
      <c r="DG656" s="2027"/>
      <c r="DH656" s="2025">
        <f t="shared" si="41"/>
        <v>0</v>
      </c>
      <c r="DI656" s="2026"/>
      <c r="DJ656" s="2026"/>
      <c r="DK656" s="2026"/>
      <c r="DL656" s="2027"/>
      <c r="DM656" s="2025">
        <f t="shared" si="42"/>
        <v>0</v>
      </c>
      <c r="DN656" s="2026"/>
      <c r="DO656" s="2026"/>
      <c r="DP656" s="2026"/>
      <c r="DQ656" s="2027"/>
      <c r="DR656" s="2025">
        <f t="shared" si="43"/>
        <v>0</v>
      </c>
      <c r="DS656" s="2026"/>
      <c r="DT656" s="2026"/>
      <c r="DU656" s="2026"/>
      <c r="DV656" s="2027"/>
      <c r="DX656" s="2032" t="e">
        <f t="shared" si="26"/>
        <v>#VALUE!</v>
      </c>
      <c r="DY656" s="2032"/>
      <c r="DZ656" s="2032"/>
      <c r="EA656" s="2032"/>
      <c r="EB656" s="2032"/>
      <c r="EC656" s="2032" t="e">
        <f t="shared" si="27"/>
        <v>#VALUE!</v>
      </c>
      <c r="ED656" s="2032"/>
      <c r="EE656" s="2032"/>
      <c r="EF656" s="2032"/>
      <c r="EG656" s="2032"/>
      <c r="EH656" s="2032" t="e">
        <f t="shared" si="28"/>
        <v>#VALUE!</v>
      </c>
      <c r="EI656" s="2032"/>
      <c r="EJ656" s="2032"/>
      <c r="EK656" s="2032"/>
      <c r="EL656" s="2032"/>
      <c r="EM656" s="2032">
        <f t="shared" si="29"/>
        <v>19.365079365079364</v>
      </c>
      <c r="EN656" s="2032"/>
      <c r="EO656" s="2032"/>
      <c r="EP656" s="2032"/>
      <c r="EQ656" s="2032"/>
      <c r="ER656" s="2032" t="e">
        <f t="shared" si="30"/>
        <v>#VALUE!</v>
      </c>
      <c r="ES656" s="2032"/>
      <c r="ET656" s="2032"/>
      <c r="EU656" s="2032"/>
      <c r="EV656" s="2032"/>
      <c r="EW656" s="2032" t="e">
        <f t="shared" si="31"/>
        <v>#VALUE!</v>
      </c>
      <c r="EX656" s="2032"/>
      <c r="EY656" s="2032"/>
      <c r="EZ656" s="2032"/>
      <c r="FA656" s="2032"/>
    </row>
    <row r="657" spans="1:157" ht="12.75">
      <c r="A657" s="35"/>
      <c r="B657" s="12" t="s">
        <v>325</v>
      </c>
      <c r="G657" s="2057" t="str">
        <f>G582</f>
        <v>805-557-0943</v>
      </c>
      <c r="H657" s="2057"/>
      <c r="I657" s="2057"/>
      <c r="J657" s="2057"/>
      <c r="K657" s="2057"/>
      <c r="L657" s="2057"/>
      <c r="O657" s="137" t="s">
        <v>212</v>
      </c>
      <c r="P657" s="2066"/>
      <c r="Q657" s="2066"/>
      <c r="R657" s="2066"/>
      <c r="S657" s="16"/>
      <c r="T657" s="35"/>
      <c r="U657" s="12" t="s">
        <v>325</v>
      </c>
      <c r="Z657" s="2056" t="s">
        <v>2543</v>
      </c>
      <c r="AA657" s="2057"/>
      <c r="AB657" s="2057"/>
      <c r="AC657" s="2057"/>
      <c r="AD657" s="2057"/>
      <c r="AE657" s="2057"/>
      <c r="AH657" s="137" t="s">
        <v>212</v>
      </c>
      <c r="AI657" s="2066"/>
      <c r="AJ657" s="2066"/>
      <c r="AK657" s="2066"/>
      <c r="AZ657" s="61"/>
      <c r="BA657" s="61"/>
      <c r="BB657" s="61"/>
      <c r="BC657" s="61"/>
      <c r="BD657" s="61"/>
      <c r="BE657" s="61"/>
      <c r="BF657" s="61"/>
      <c r="BG657" s="61"/>
      <c r="BH657" s="61"/>
      <c r="BI657" s="61"/>
      <c r="BJ657" s="61"/>
      <c r="BK657" s="61"/>
      <c r="BL657" s="61"/>
      <c r="BM657" s="61"/>
      <c r="BN657" s="2025">
        <f t="shared" si="32"/>
        <v>0</v>
      </c>
      <c r="BO657" s="2026"/>
      <c r="BP657" s="2026"/>
      <c r="BQ657" s="2026"/>
      <c r="BR657" s="2027"/>
      <c r="BS657" s="2024">
        <f t="shared" si="33"/>
        <v>0</v>
      </c>
      <c r="BT657" s="2024"/>
      <c r="BU657" s="2024"/>
      <c r="BV657" s="2024"/>
      <c r="BW657" s="2024"/>
      <c r="BX657" s="2024">
        <f t="shared" si="34"/>
        <v>0</v>
      </c>
      <c r="BY657" s="2024"/>
      <c r="BZ657" s="2024"/>
      <c r="CA657" s="2024"/>
      <c r="CB657" s="2024"/>
      <c r="CC657" s="2024">
        <f t="shared" si="35"/>
        <v>0</v>
      </c>
      <c r="CD657" s="2024"/>
      <c r="CE657" s="2024"/>
      <c r="CF657" s="2024"/>
      <c r="CG657" s="2024"/>
      <c r="CH657" s="2024">
        <f t="shared" si="36"/>
        <v>0</v>
      </c>
      <c r="CI657" s="2024"/>
      <c r="CJ657" s="2024"/>
      <c r="CK657" s="2024"/>
      <c r="CL657" s="2024"/>
      <c r="CM657" s="2024">
        <f t="shared" si="37"/>
        <v>0</v>
      </c>
      <c r="CN657" s="2024"/>
      <c r="CO657" s="2024"/>
      <c r="CP657" s="2024"/>
      <c r="CQ657" s="2024"/>
      <c r="CR657" s="265"/>
      <c r="CS657" s="2025">
        <f t="shared" si="38"/>
        <v>0</v>
      </c>
      <c r="CT657" s="2026"/>
      <c r="CU657" s="2026"/>
      <c r="CV657" s="2026"/>
      <c r="CW657" s="2027"/>
      <c r="CX657" s="2025">
        <f t="shared" si="39"/>
        <v>0</v>
      </c>
      <c r="CY657" s="2026"/>
      <c r="CZ657" s="2026"/>
      <c r="DA657" s="2026"/>
      <c r="DB657" s="2027"/>
      <c r="DC657" s="2025">
        <f t="shared" si="40"/>
        <v>0</v>
      </c>
      <c r="DD657" s="2026"/>
      <c r="DE657" s="2026"/>
      <c r="DF657" s="2026"/>
      <c r="DG657" s="2027"/>
      <c r="DH657" s="2025">
        <f t="shared" si="41"/>
        <v>0</v>
      </c>
      <c r="DI657" s="2026"/>
      <c r="DJ657" s="2026"/>
      <c r="DK657" s="2026"/>
      <c r="DL657" s="2027"/>
      <c r="DM657" s="2025">
        <f t="shared" si="42"/>
        <v>0</v>
      </c>
      <c r="DN657" s="2026"/>
      <c r="DO657" s="2026"/>
      <c r="DP657" s="2026"/>
      <c r="DQ657" s="2027"/>
      <c r="DR657" s="2025">
        <f t="shared" si="43"/>
        <v>0</v>
      </c>
      <c r="DS657" s="2026"/>
      <c r="DT657" s="2026"/>
      <c r="DU657" s="2026"/>
      <c r="DV657" s="2027"/>
      <c r="DX657" s="2032" t="e">
        <f t="shared" si="26"/>
        <v>#VALUE!</v>
      </c>
      <c r="DY657" s="2032"/>
      <c r="DZ657" s="2032"/>
      <c r="EA657" s="2032"/>
      <c r="EB657" s="2032"/>
      <c r="EC657" s="2032" t="e">
        <f t="shared" si="27"/>
        <v>#VALUE!</v>
      </c>
      <c r="ED657" s="2032"/>
      <c r="EE657" s="2032"/>
      <c r="EF657" s="2032"/>
      <c r="EG657" s="2032"/>
      <c r="EH657" s="2032" t="e">
        <f t="shared" si="28"/>
        <v>#VALUE!</v>
      </c>
      <c r="EI657" s="2032"/>
      <c r="EJ657" s="2032"/>
      <c r="EK657" s="2032"/>
      <c r="EL657" s="2032"/>
      <c r="EM657" s="2032">
        <f t="shared" si="29"/>
        <v>199.44444444444443</v>
      </c>
      <c r="EN657" s="2032"/>
      <c r="EO657" s="2032"/>
      <c r="EP657" s="2032"/>
      <c r="EQ657" s="2032"/>
      <c r="ER657" s="2032" t="e">
        <f t="shared" si="30"/>
        <v>#VALUE!</v>
      </c>
      <c r="ES657" s="2032"/>
      <c r="ET657" s="2032"/>
      <c r="EU657" s="2032"/>
      <c r="EV657" s="2032"/>
      <c r="EW657" s="2032" t="e">
        <f t="shared" si="31"/>
        <v>#VALUE!</v>
      </c>
      <c r="EX657" s="2032"/>
      <c r="EY657" s="2032"/>
      <c r="EZ657" s="2032"/>
      <c r="FA657" s="2032"/>
    </row>
    <row r="658" spans="1:157" ht="12.75">
      <c r="A658" s="35"/>
      <c r="B658" s="12" t="s">
        <v>18</v>
      </c>
      <c r="H658" s="2055" t="s">
        <v>2616</v>
      </c>
      <c r="I658" s="2055"/>
      <c r="J658" s="2055"/>
      <c r="K658" s="2055"/>
      <c r="L658" s="2055"/>
      <c r="M658" s="2055"/>
      <c r="N658" s="2055"/>
      <c r="O658" s="2055"/>
      <c r="P658" s="2055"/>
      <c r="Q658" s="2055"/>
      <c r="R658" s="2055"/>
      <c r="S658" s="14"/>
      <c r="T658" s="35"/>
      <c r="U658" s="12" t="s">
        <v>18</v>
      </c>
      <c r="AA658" s="2055" t="s">
        <v>2617</v>
      </c>
      <c r="AB658" s="2055"/>
      <c r="AC658" s="2055"/>
      <c r="AD658" s="2055"/>
      <c r="AE658" s="2055"/>
      <c r="AF658" s="2055"/>
      <c r="AG658" s="2055"/>
      <c r="AH658" s="2055"/>
      <c r="AI658" s="2055"/>
      <c r="AJ658" s="2055"/>
      <c r="AK658" s="2055"/>
      <c r="AZ658" s="61"/>
      <c r="BA658" s="61"/>
      <c r="BB658" s="61"/>
      <c r="BC658" s="61"/>
      <c r="BD658" s="61"/>
      <c r="BE658" s="61"/>
      <c r="BF658" s="61"/>
      <c r="BG658" s="61"/>
      <c r="BH658" s="61"/>
      <c r="BI658" s="61"/>
      <c r="BJ658" s="61"/>
      <c r="BK658" s="61"/>
      <c r="BL658" s="61"/>
      <c r="BM658" s="61"/>
      <c r="BN658" s="2354">
        <f>SUM(BN648:BR657)</f>
        <v>0</v>
      </c>
      <c r="BO658" s="2565"/>
      <c r="BP658" s="2565"/>
      <c r="BQ658" s="2565"/>
      <c r="BR658" s="2355"/>
      <c r="BS658" s="2029">
        <f>SUM(BS648:BW657)</f>
        <v>0</v>
      </c>
      <c r="BT658" s="2030"/>
      <c r="BU658" s="2030"/>
      <c r="BV658" s="2030"/>
      <c r="BW658" s="2031"/>
      <c r="BX658" s="2029">
        <f>SUM(BX648:CB657)</f>
        <v>0</v>
      </c>
      <c r="BY658" s="2030"/>
      <c r="BZ658" s="2030"/>
      <c r="CA658" s="2030"/>
      <c r="CB658" s="2031"/>
      <c r="CC658" s="2029">
        <f>SUM(CC648:CG657)</f>
        <v>0</v>
      </c>
      <c r="CD658" s="2030"/>
      <c r="CE658" s="2030"/>
      <c r="CF658" s="2030"/>
      <c r="CG658" s="2031"/>
      <c r="CH658" s="2029">
        <f>SUM(CH648:CL657)</f>
        <v>0</v>
      </c>
      <c r="CI658" s="2030"/>
      <c r="CJ658" s="2030"/>
      <c r="CK658" s="2030"/>
      <c r="CL658" s="2031"/>
      <c r="CM658" s="2029">
        <f>SUM(CM648:CQ657)</f>
        <v>0</v>
      </c>
      <c r="CN658" s="2030"/>
      <c r="CO658" s="2030"/>
      <c r="CP658" s="2030"/>
      <c r="CQ658" s="2031"/>
      <c r="CR658" s="1803"/>
      <c r="CS658" s="2036">
        <f>SUM(CS648:CW657)</f>
        <v>0</v>
      </c>
      <c r="CT658" s="2036"/>
      <c r="CU658" s="2036"/>
      <c r="CV658" s="2036"/>
      <c r="CW658" s="2036"/>
      <c r="CX658" s="2036">
        <f>SUM(CX648:DB657)</f>
        <v>0</v>
      </c>
      <c r="CY658" s="2036"/>
      <c r="CZ658" s="2036"/>
      <c r="DA658" s="2036"/>
      <c r="DB658" s="2036"/>
      <c r="DC658" s="2036">
        <f>SUM(DC648:DG657)</f>
        <v>0</v>
      </c>
      <c r="DD658" s="2036"/>
      <c r="DE658" s="2036"/>
      <c r="DF658" s="2036"/>
      <c r="DG658" s="2036"/>
      <c r="DH658" s="2036">
        <f>SUM(DH648:DL657)</f>
        <v>0</v>
      </c>
      <c r="DI658" s="2036"/>
      <c r="DJ658" s="2036"/>
      <c r="DK658" s="2036"/>
      <c r="DL658" s="2036"/>
      <c r="DM658" s="2036">
        <f>SUM(DM648:DQ657)</f>
        <v>0</v>
      </c>
      <c r="DN658" s="2036"/>
      <c r="DO658" s="2036"/>
      <c r="DP658" s="2036"/>
      <c r="DQ658" s="2036"/>
      <c r="DR658" s="2036">
        <f>SUM(DR648:DV657)</f>
        <v>0</v>
      </c>
      <c r="DS658" s="2036"/>
      <c r="DT658" s="2036"/>
      <c r="DU658" s="2036"/>
      <c r="DV658" s="2036"/>
      <c r="DX658" s="2032" t="e">
        <f t="shared" si="26"/>
        <v>#VALUE!</v>
      </c>
      <c r="DY658" s="2032"/>
      <c r="DZ658" s="2032"/>
      <c r="EA658" s="2032"/>
      <c r="EB658" s="2032"/>
      <c r="EC658" s="2032" t="e">
        <f t="shared" si="27"/>
        <v>#VALUE!</v>
      </c>
      <c r="ED658" s="2032"/>
      <c r="EE658" s="2032"/>
      <c r="EF658" s="2032"/>
      <c r="EG658" s="2032"/>
      <c r="EH658" s="2032" t="e">
        <f t="shared" si="28"/>
        <v>#VALUE!</v>
      </c>
      <c r="EI658" s="2032"/>
      <c r="EJ658" s="2032"/>
      <c r="EK658" s="2032"/>
      <c r="EL658" s="2032"/>
      <c r="EM658" s="2032" t="e">
        <f t="shared" si="29"/>
        <v>#VALUE!</v>
      </c>
      <c r="EN658" s="2032"/>
      <c r="EO658" s="2032"/>
      <c r="EP658" s="2032"/>
      <c r="EQ658" s="2032"/>
      <c r="ER658" s="2032" t="e">
        <f t="shared" si="30"/>
        <v>#VALUE!</v>
      </c>
      <c r="ES658" s="2032"/>
      <c r="ET658" s="2032"/>
      <c r="EU658" s="2032"/>
      <c r="EV658" s="2032"/>
      <c r="EW658" s="2032" t="e">
        <f t="shared" si="31"/>
        <v>#VALUE!</v>
      </c>
      <c r="EX658" s="2032"/>
      <c r="EY658" s="2032"/>
      <c r="EZ658" s="2032"/>
      <c r="FA658" s="2032"/>
    </row>
    <row r="659" spans="1:157" ht="12.75">
      <c r="A659" s="35"/>
      <c r="B659" s="12" t="s">
        <v>20</v>
      </c>
      <c r="N659" s="2028" t="s">
        <v>578</v>
      </c>
      <c r="O659" s="2028"/>
      <c r="T659" s="35"/>
      <c r="U659" s="12" t="s">
        <v>20</v>
      </c>
      <c r="AG659" s="2028" t="s">
        <v>578</v>
      </c>
      <c r="AH659" s="2028"/>
      <c r="AZ659" s="61"/>
      <c r="BA659" s="61"/>
      <c r="BB659" s="61"/>
      <c r="BC659" s="61"/>
      <c r="BD659" s="61"/>
      <c r="BE659" s="61"/>
      <c r="BF659" s="61"/>
      <c r="BG659" s="61"/>
      <c r="BH659" s="61"/>
      <c r="BI659" s="61"/>
      <c r="BJ659" s="61"/>
      <c r="BK659" s="61"/>
      <c r="BL659" s="61"/>
      <c r="BM659" s="61"/>
      <c r="BN659" s="719"/>
      <c r="BO659" s="719"/>
      <c r="BP659" s="719"/>
      <c r="BQ659" s="719"/>
      <c r="BR659" s="1468">
        <f>BN658*1</f>
        <v>0</v>
      </c>
      <c r="BS659" s="58"/>
      <c r="BT659" s="58"/>
      <c r="BU659" s="58"/>
      <c r="BV659" s="58"/>
      <c r="BW659" s="1468">
        <f>BS658*1</f>
        <v>0</v>
      </c>
      <c r="BX659" s="58"/>
      <c r="BY659" s="58"/>
      <c r="BZ659" s="58"/>
      <c r="CA659" s="58"/>
      <c r="CB659" s="1468">
        <f>BX658*2</f>
        <v>0</v>
      </c>
      <c r="CC659" s="58"/>
      <c r="CD659" s="58"/>
      <c r="CE659" s="58"/>
      <c r="CF659" s="58"/>
      <c r="CG659" s="1468">
        <f>CC658*3</f>
        <v>0</v>
      </c>
      <c r="CH659" s="58"/>
      <c r="CI659" s="58"/>
      <c r="CJ659" s="58"/>
      <c r="CK659" s="58"/>
      <c r="CL659" s="1468">
        <f>CH658*4</f>
        <v>0</v>
      </c>
      <c r="CM659" s="58"/>
      <c r="CN659" s="58"/>
      <c r="CO659" s="58"/>
      <c r="CP659" s="58"/>
      <c r="CQ659" s="1468">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32" t="e">
        <f t="shared" si="26"/>
        <v>#VALUE!</v>
      </c>
      <c r="DY659" s="2032"/>
      <c r="DZ659" s="2032"/>
      <c r="EA659" s="2032"/>
      <c r="EB659" s="2032"/>
      <c r="EC659" s="2032" t="e">
        <f t="shared" si="27"/>
        <v>#VALUE!</v>
      </c>
      <c r="ED659" s="2032"/>
      <c r="EE659" s="2032"/>
      <c r="EF659" s="2032"/>
      <c r="EG659" s="2032"/>
      <c r="EH659" s="2032" t="e">
        <f t="shared" si="28"/>
        <v>#VALUE!</v>
      </c>
      <c r="EI659" s="2032"/>
      <c r="EJ659" s="2032"/>
      <c r="EK659" s="2032"/>
      <c r="EL659" s="2032"/>
      <c r="EM659" s="2032" t="e">
        <f t="shared" si="29"/>
        <v>#VALUE!</v>
      </c>
      <c r="EN659" s="2032"/>
      <c r="EO659" s="2032"/>
      <c r="EP659" s="2032"/>
      <c r="EQ659" s="2032"/>
      <c r="ER659" s="2032" t="e">
        <f t="shared" si="30"/>
        <v>#VALUE!</v>
      </c>
      <c r="ES659" s="2032"/>
      <c r="ET659" s="2032"/>
      <c r="EU659" s="2032"/>
      <c r="EV659" s="2032"/>
      <c r="EW659" s="2032" t="e">
        <f t="shared" si="31"/>
        <v>#VALUE!</v>
      </c>
      <c r="EX659" s="2032"/>
      <c r="EY659" s="2032"/>
      <c r="EZ659" s="2032"/>
      <c r="FA659" s="2032"/>
    </row>
    <row r="660" spans="1:157" ht="12.75">
      <c r="A660" s="35"/>
      <c r="T660" s="35"/>
      <c r="AZ660" s="61"/>
      <c r="BA660" s="61"/>
      <c r="BB660" s="61"/>
      <c r="BC660" s="61"/>
      <c r="BD660" s="61"/>
      <c r="BE660" s="61"/>
      <c r="BF660" s="61"/>
      <c r="BG660" s="61"/>
      <c r="BH660" s="61"/>
      <c r="BI660" s="61"/>
      <c r="BJ660" s="61"/>
      <c r="BK660" s="61"/>
      <c r="BL660" s="61"/>
      <c r="BM660" s="61"/>
      <c r="CR660" s="177"/>
      <c r="CS660" s="1468">
        <f>BN658+BS658+BX658+CC658+CH658+CM658</f>
        <v>0</v>
      </c>
      <c r="CT660" s="134" t="s">
        <v>2387</v>
      </c>
      <c r="CU660" s="58"/>
      <c r="CV660" s="58"/>
      <c r="CW660" s="58"/>
      <c r="CX660" s="58"/>
      <c r="CY660" s="58"/>
      <c r="CZ660" s="58"/>
      <c r="DA660" s="58"/>
      <c r="DB660" s="58"/>
      <c r="DC660" s="58"/>
      <c r="DD660" s="58"/>
      <c r="DE660" s="58"/>
      <c r="DF660" s="58"/>
      <c r="DQ660" s="136" t="s">
        <v>2399</v>
      </c>
      <c r="DR660" s="2032">
        <f>SUM(CS658:DV658)</f>
        <v>0</v>
      </c>
      <c r="DS660" s="2032"/>
      <c r="DT660" s="2032"/>
      <c r="DU660" s="2032"/>
      <c r="DV660" s="2032"/>
      <c r="DX660" s="2032" t="e">
        <f t="shared" si="26"/>
        <v>#VALUE!</v>
      </c>
      <c r="DY660" s="2032"/>
      <c r="DZ660" s="2032"/>
      <c r="EA660" s="2032"/>
      <c r="EB660" s="2032"/>
      <c r="EC660" s="2032" t="e">
        <f t="shared" si="27"/>
        <v>#VALUE!</v>
      </c>
      <c r="ED660" s="2032"/>
      <c r="EE660" s="2032"/>
      <c r="EF660" s="2032"/>
      <c r="EG660" s="2032"/>
      <c r="EH660" s="2032" t="e">
        <f t="shared" si="28"/>
        <v>#VALUE!</v>
      </c>
      <c r="EI660" s="2032"/>
      <c r="EJ660" s="2032"/>
      <c r="EK660" s="2032"/>
      <c r="EL660" s="2032"/>
      <c r="EM660" s="2032" t="e">
        <f t="shared" si="29"/>
        <v>#VALUE!</v>
      </c>
      <c r="EN660" s="2032"/>
      <c r="EO660" s="2032"/>
      <c r="EP660" s="2032"/>
      <c r="EQ660" s="2032"/>
      <c r="ER660" s="2032" t="e">
        <f t="shared" si="30"/>
        <v>#VALUE!</v>
      </c>
      <c r="ES660" s="2032"/>
      <c r="ET660" s="2032"/>
      <c r="EU660" s="2032"/>
      <c r="EV660" s="2032"/>
      <c r="EW660" s="2032" t="e">
        <f t="shared" si="31"/>
        <v>#VALUE!</v>
      </c>
      <c r="EX660" s="2032"/>
      <c r="EY660" s="2032"/>
      <c r="EZ660" s="2032"/>
      <c r="FA660" s="2032"/>
    </row>
    <row r="661" spans="1:157" ht="12.75">
      <c r="A661" s="87" t="s">
        <v>124</v>
      </c>
      <c r="B661" s="12" t="s">
        <v>496</v>
      </c>
      <c r="G661" s="2014" t="str">
        <f>C639</f>
        <v>Lease Up Income</v>
      </c>
      <c r="H661" s="2014"/>
      <c r="I661" s="2014"/>
      <c r="J661" s="2014"/>
      <c r="K661" s="2014"/>
      <c r="L661" s="2014"/>
      <c r="M661" s="2014"/>
      <c r="N661" s="2014"/>
      <c r="O661" s="2014"/>
      <c r="P661" s="2014"/>
      <c r="Q661" s="2014"/>
      <c r="R661" s="2014"/>
      <c r="T661" s="87" t="s">
        <v>616</v>
      </c>
      <c r="U661" s="12" t="s">
        <v>496</v>
      </c>
      <c r="Z661" s="2014">
        <f>C640</f>
        <v>0</v>
      </c>
      <c r="AA661" s="2014"/>
      <c r="AB661" s="2014"/>
      <c r="AC661" s="2014"/>
      <c r="AD661" s="2014"/>
      <c r="AE661" s="2014"/>
      <c r="AF661" s="2014"/>
      <c r="AG661" s="2014"/>
      <c r="AH661" s="2014"/>
      <c r="AI661" s="2014"/>
      <c r="AJ661" s="2014"/>
      <c r="AK661" s="2014"/>
      <c r="AZ661" s="61"/>
      <c r="BA661" s="61"/>
      <c r="BB661" s="61"/>
      <c r="BC661" s="61"/>
      <c r="BD661" s="61"/>
      <c r="BE661" s="61"/>
      <c r="BF661" s="61"/>
      <c r="BG661" s="61"/>
      <c r="BH661" s="61"/>
      <c r="BI661" s="61"/>
      <c r="BJ661" s="61"/>
      <c r="BK661" s="61"/>
      <c r="BL661" s="61"/>
      <c r="BM661" s="61"/>
      <c r="CR661" s="177"/>
      <c r="CS661" s="1468">
        <f>BR659+BW659+CB659+CG659+CL659+CQ659</f>
        <v>0</v>
      </c>
      <c r="CT661" s="134" t="s">
        <v>1979</v>
      </c>
      <c r="CU661" s="58"/>
      <c r="CV661" s="58"/>
      <c r="CW661" s="58"/>
      <c r="CX661" s="58"/>
      <c r="CY661" s="58"/>
      <c r="CZ661" s="58"/>
      <c r="DA661" s="58"/>
      <c r="DB661" s="58"/>
      <c r="DC661" s="58"/>
      <c r="DD661" s="58"/>
      <c r="DE661" s="58"/>
      <c r="DF661" s="58"/>
      <c r="DX661" s="2032" t="e">
        <f t="shared" si="26"/>
        <v>#VALUE!</v>
      </c>
      <c r="DY661" s="2032"/>
      <c r="DZ661" s="2032"/>
      <c r="EA661" s="2032"/>
      <c r="EB661" s="2032"/>
      <c r="EC661" s="2032" t="e">
        <f t="shared" si="27"/>
        <v>#VALUE!</v>
      </c>
      <c r="ED661" s="2032"/>
      <c r="EE661" s="2032"/>
      <c r="EF661" s="2032"/>
      <c r="EG661" s="2032"/>
      <c r="EH661" s="2032" t="e">
        <f t="shared" si="28"/>
        <v>#VALUE!</v>
      </c>
      <c r="EI661" s="2032"/>
      <c r="EJ661" s="2032"/>
      <c r="EK661" s="2032"/>
      <c r="EL661" s="2032"/>
      <c r="EM661" s="2032" t="e">
        <f t="shared" si="29"/>
        <v>#VALUE!</v>
      </c>
      <c r="EN661" s="2032"/>
      <c r="EO661" s="2032"/>
      <c r="EP661" s="2032"/>
      <c r="EQ661" s="2032"/>
      <c r="ER661" s="2032" t="e">
        <f t="shared" si="30"/>
        <v>#VALUE!</v>
      </c>
      <c r="ES661" s="2032"/>
      <c r="ET661" s="2032"/>
      <c r="EU661" s="2032"/>
      <c r="EV661" s="2032"/>
      <c r="EW661" s="2032" t="e">
        <f t="shared" si="31"/>
        <v>#VALUE!</v>
      </c>
      <c r="EX661" s="2032"/>
      <c r="EY661" s="2032"/>
      <c r="EZ661" s="2032"/>
      <c r="FA661" s="2032"/>
    </row>
    <row r="662" spans="1:157" ht="12.75">
      <c r="A662" s="35"/>
      <c r="B662" s="12" t="s">
        <v>90</v>
      </c>
      <c r="G662" s="2055" t="str">
        <f>Z654</f>
        <v>1700 S. El Camino Real, Suite 400</v>
      </c>
      <c r="H662" s="2055"/>
      <c r="I662" s="2055"/>
      <c r="J662" s="2055"/>
      <c r="K662" s="2055"/>
      <c r="L662" s="2055"/>
      <c r="M662" s="2055"/>
      <c r="N662" s="2055"/>
      <c r="O662" s="2055"/>
      <c r="P662" s="2055"/>
      <c r="Q662" s="2055"/>
      <c r="R662" s="2055"/>
      <c r="T662" s="35"/>
      <c r="U662" s="12" t="s">
        <v>90</v>
      </c>
      <c r="Z662" s="2055"/>
      <c r="AA662" s="2055"/>
      <c r="AB662" s="2055"/>
      <c r="AC662" s="2055"/>
      <c r="AD662" s="2055"/>
      <c r="AE662" s="2055"/>
      <c r="AF662" s="2055"/>
      <c r="AG662" s="2055"/>
      <c r="AH662" s="2055"/>
      <c r="AI662" s="2055"/>
      <c r="AJ662" s="2055"/>
      <c r="AK662" s="205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32" t="e">
        <f t="shared" si="26"/>
        <v>#VALUE!</v>
      </c>
      <c r="DY662" s="2032"/>
      <c r="DZ662" s="2032"/>
      <c r="EA662" s="2032"/>
      <c r="EB662" s="2032"/>
      <c r="EC662" s="2032" t="e">
        <f t="shared" si="27"/>
        <v>#VALUE!</v>
      </c>
      <c r="ED662" s="2032"/>
      <c r="EE662" s="2032"/>
      <c r="EF662" s="2032"/>
      <c r="EG662" s="2032"/>
      <c r="EH662" s="2032" t="e">
        <f t="shared" si="28"/>
        <v>#VALUE!</v>
      </c>
      <c r="EI662" s="2032"/>
      <c r="EJ662" s="2032"/>
      <c r="EK662" s="2032"/>
      <c r="EL662" s="2032"/>
      <c r="EM662" s="2032" t="e">
        <f t="shared" si="29"/>
        <v>#VALUE!</v>
      </c>
      <c r="EN662" s="2032"/>
      <c r="EO662" s="2032"/>
      <c r="EP662" s="2032"/>
      <c r="EQ662" s="2032"/>
      <c r="ER662" s="2032" t="e">
        <f t="shared" si="30"/>
        <v>#VALUE!</v>
      </c>
      <c r="ES662" s="2032"/>
      <c r="ET662" s="2032"/>
      <c r="EU662" s="2032"/>
      <c r="EV662" s="2032"/>
      <c r="EW662" s="2032" t="e">
        <f t="shared" si="31"/>
        <v>#VALUE!</v>
      </c>
      <c r="EX662" s="2032"/>
      <c r="EY662" s="2032"/>
      <c r="EZ662" s="2032"/>
      <c r="FA662" s="2032"/>
    </row>
    <row r="663" spans="1:157" ht="12.75">
      <c r="A663" s="35"/>
      <c r="B663" s="12" t="s">
        <v>615</v>
      </c>
      <c r="G663" s="2055" t="str">
        <f t="shared" ref="G663:G664" si="46">Z655</f>
        <v>San Mateo, CA 94402</v>
      </c>
      <c r="H663" s="2055"/>
      <c r="I663" s="2055"/>
      <c r="J663" s="2055"/>
      <c r="K663" s="2055"/>
      <c r="L663" s="2055"/>
      <c r="M663" s="2055"/>
      <c r="N663" s="2055"/>
      <c r="O663" s="2055"/>
      <c r="P663" s="2055"/>
      <c r="Q663" s="2055"/>
      <c r="R663" s="2055"/>
      <c r="T663" s="35"/>
      <c r="U663" s="12" t="s">
        <v>615</v>
      </c>
      <c r="Z663" s="2288"/>
      <c r="AA663" s="2288"/>
      <c r="AB663" s="2288"/>
      <c r="AC663" s="2288"/>
      <c r="AD663" s="2288"/>
      <c r="AE663" s="2288"/>
      <c r="AF663" s="2288"/>
      <c r="AG663" s="2288"/>
      <c r="AH663" s="2288"/>
      <c r="AI663" s="2288"/>
      <c r="AJ663" s="2288"/>
      <c r="AK663" s="2288"/>
      <c r="AZ663" s="61"/>
      <c r="BA663" s="61"/>
      <c r="BB663" s="61"/>
      <c r="BC663" s="61"/>
      <c r="BD663" s="61"/>
      <c r="BE663" s="61"/>
      <c r="BF663" s="61"/>
      <c r="BG663" s="61"/>
      <c r="BH663" s="61"/>
      <c r="BI663" s="61"/>
      <c r="BJ663" s="61"/>
      <c r="BK663" s="61"/>
      <c r="BL663" s="61"/>
      <c r="BM663" s="61"/>
      <c r="BN663" s="2029">
        <f>BN635+BN644+BN658</f>
        <v>0</v>
      </c>
      <c r="BO663" s="2030"/>
      <c r="BP663" s="2030"/>
      <c r="BQ663" s="2030"/>
      <c r="BR663" s="2031"/>
      <c r="BS663" s="2029">
        <f>BS635+BS644+BS658</f>
        <v>70</v>
      </c>
      <c r="BT663" s="2030"/>
      <c r="BU663" s="2030"/>
      <c r="BV663" s="2030"/>
      <c r="BW663" s="2031"/>
      <c r="BX663" s="2029">
        <f>BX635+BX644+BX658</f>
        <v>116</v>
      </c>
      <c r="BY663" s="2030"/>
      <c r="BZ663" s="2030"/>
      <c r="CA663" s="2030"/>
      <c r="CB663" s="2031"/>
      <c r="CC663" s="2029">
        <f>CC635+CC644+CC658</f>
        <v>63</v>
      </c>
      <c r="CD663" s="2030"/>
      <c r="CE663" s="2030"/>
      <c r="CF663" s="2030"/>
      <c r="CG663" s="2031"/>
      <c r="CH663" s="2029">
        <f>CH635+CH644+CH658</f>
        <v>0</v>
      </c>
      <c r="CI663" s="2030"/>
      <c r="CJ663" s="2030"/>
      <c r="CK663" s="2030"/>
      <c r="CL663" s="2031"/>
      <c r="CM663" s="2033">
        <f>CM658+CM644+CM635</f>
        <v>0</v>
      </c>
      <c r="CN663" s="2034"/>
      <c r="CO663" s="2034"/>
      <c r="CP663" s="2034"/>
      <c r="CQ663" s="2035"/>
      <c r="CR663" s="177"/>
      <c r="CS663" s="1468">
        <f>CS637+CS661</f>
        <v>485</v>
      </c>
      <c r="CT663" s="134" t="s">
        <v>2392</v>
      </c>
      <c r="CU663" s="58"/>
      <c r="CV663" s="58"/>
      <c r="CW663" s="58"/>
      <c r="CX663" s="58"/>
      <c r="CY663" s="58"/>
      <c r="CZ663" s="58"/>
      <c r="DA663" s="58"/>
      <c r="DB663" s="58"/>
      <c r="DC663" s="58"/>
      <c r="DD663" s="58"/>
      <c r="DE663" s="58"/>
      <c r="DF663" s="58"/>
      <c r="DX663" s="2032">
        <f>SUMIF(DX638:EB662,"&gt;0")</f>
        <v>0</v>
      </c>
      <c r="DY663" s="2032"/>
      <c r="DZ663" s="2032"/>
      <c r="EA663" s="2032"/>
      <c r="EB663" s="2032"/>
      <c r="EC663" s="2032">
        <f>SUMIF(EC638:EG662,"&gt;0")</f>
        <v>1697.6999999999998</v>
      </c>
      <c r="ED663" s="2032"/>
      <c r="EE663" s="2032"/>
      <c r="EF663" s="2032"/>
      <c r="EG663" s="2032"/>
      <c r="EH663" s="2032">
        <f>SUMIF(EH638:EL662,"&gt;0")</f>
        <v>2032.4601769911505</v>
      </c>
      <c r="EI663" s="2032"/>
      <c r="EJ663" s="2032"/>
      <c r="EK663" s="2032"/>
      <c r="EL663" s="2032"/>
      <c r="EM663" s="2032">
        <f>SUMIF(EM638:EQ662,"&gt;0")</f>
        <v>2328.2857142857142</v>
      </c>
      <c r="EN663" s="2032"/>
      <c r="EO663" s="2032"/>
      <c r="EP663" s="2032"/>
      <c r="EQ663" s="2032"/>
      <c r="ER663" s="2032">
        <f>SUMIF(ER638:EV662,"&gt;0")</f>
        <v>0</v>
      </c>
      <c r="ES663" s="2032"/>
      <c r="ET663" s="2032"/>
      <c r="EU663" s="2032"/>
      <c r="EV663" s="2032"/>
      <c r="EW663" s="2032">
        <f>SUMIF(EW638:FA662,"&gt;0")</f>
        <v>0</v>
      </c>
      <c r="EX663" s="2032"/>
      <c r="EY663" s="2032"/>
      <c r="EZ663" s="2032"/>
      <c r="FA663" s="2032"/>
    </row>
    <row r="664" spans="1:157" ht="12.75">
      <c r="A664" s="35"/>
      <c r="B664" s="12" t="s">
        <v>17</v>
      </c>
      <c r="G664" s="2055" t="str">
        <f t="shared" si="46"/>
        <v>Jonathan Emami</v>
      </c>
      <c r="H664" s="2055"/>
      <c r="I664" s="2055"/>
      <c r="J664" s="2055"/>
      <c r="K664" s="2055"/>
      <c r="L664" s="2055"/>
      <c r="M664" s="2055"/>
      <c r="N664" s="2055"/>
      <c r="O664" s="2055"/>
      <c r="P664" s="2055"/>
      <c r="Q664" s="2055"/>
      <c r="R664" s="2055"/>
      <c r="T664" s="35"/>
      <c r="U664" s="12" t="s">
        <v>17</v>
      </c>
      <c r="Z664" s="2288"/>
      <c r="AA664" s="2288"/>
      <c r="AB664" s="2288"/>
      <c r="AC664" s="2288"/>
      <c r="AD664" s="2288"/>
      <c r="AE664" s="2288"/>
      <c r="AF664" s="2288"/>
      <c r="AG664" s="2288"/>
      <c r="AH664" s="2288"/>
      <c r="AI664" s="2288"/>
      <c r="AJ664" s="2288"/>
      <c r="AK664" s="2288"/>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57" t="str">
        <f>Z657</f>
        <v>415-941-5832</v>
      </c>
      <c r="H665" s="2057"/>
      <c r="I665" s="2057"/>
      <c r="J665" s="2057"/>
      <c r="K665" s="2057"/>
      <c r="L665" s="2057"/>
      <c r="O665" s="137" t="s">
        <v>212</v>
      </c>
      <c r="P665" s="2066"/>
      <c r="Q665" s="2066"/>
      <c r="R665" s="2066"/>
      <c r="T665" s="35"/>
      <c r="U665" s="12" t="s">
        <v>325</v>
      </c>
      <c r="Z665" s="2057"/>
      <c r="AA665" s="2057"/>
      <c r="AB665" s="2057"/>
      <c r="AC665" s="2057"/>
      <c r="AD665" s="2057"/>
      <c r="AE665" s="2057"/>
      <c r="AH665" s="137" t="s">
        <v>212</v>
      </c>
      <c r="AI665" s="2066"/>
      <c r="AJ665" s="2066"/>
      <c r="AK665" s="206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5" t="s">
        <v>2603</v>
      </c>
      <c r="I666" s="2055"/>
      <c r="J666" s="2055"/>
      <c r="K666" s="2055"/>
      <c r="L666" s="2055"/>
      <c r="M666" s="2055"/>
      <c r="N666" s="2055"/>
      <c r="O666" s="2055"/>
      <c r="P666" s="2055"/>
      <c r="Q666" s="2055"/>
      <c r="R666" s="2055"/>
      <c r="T666" s="35"/>
      <c r="U666" s="12" t="s">
        <v>18</v>
      </c>
      <c r="AA666" s="2055"/>
      <c r="AB666" s="2055"/>
      <c r="AC666" s="2055"/>
      <c r="AD666" s="2055"/>
      <c r="AE666" s="2055"/>
      <c r="AF666" s="2055"/>
      <c r="AG666" s="2055"/>
      <c r="AH666" s="2055"/>
      <c r="AI666" s="2055"/>
      <c r="AJ666" s="2055"/>
      <c r="AK666" s="2055"/>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28" t="s">
        <v>706</v>
      </c>
      <c r="O667" s="2028"/>
      <c r="T667" s="35"/>
      <c r="U667" s="12" t="s">
        <v>20</v>
      </c>
      <c r="AG667" s="2028" t="s">
        <v>706</v>
      </c>
      <c r="AH667" s="2028"/>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14">
        <f>C641</f>
        <v>0</v>
      </c>
      <c r="H669" s="2014"/>
      <c r="I669" s="2014"/>
      <c r="J669" s="2014"/>
      <c r="K669" s="2014"/>
      <c r="L669" s="2014"/>
      <c r="M669" s="2014"/>
      <c r="N669" s="2014"/>
      <c r="O669" s="2014"/>
      <c r="P669" s="2014"/>
      <c r="Q669" s="2014"/>
      <c r="R669" s="2014"/>
      <c r="T669" s="87" t="s">
        <v>619</v>
      </c>
      <c r="U669" s="12" t="s">
        <v>496</v>
      </c>
      <c r="Z669" s="2014">
        <f>C642</f>
        <v>0</v>
      </c>
      <c r="AA669" s="2014"/>
      <c r="AB669" s="2014"/>
      <c r="AC669" s="2014"/>
      <c r="AD669" s="2014"/>
      <c r="AE669" s="2014"/>
      <c r="AF669" s="2014"/>
      <c r="AG669" s="2014"/>
      <c r="AH669" s="2014"/>
      <c r="AI669" s="2014"/>
      <c r="AJ669" s="2014"/>
      <c r="AK669" s="2014"/>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5"/>
      <c r="H670" s="2055"/>
      <c r="I670" s="2055"/>
      <c r="J670" s="2055"/>
      <c r="K670" s="2055"/>
      <c r="L670" s="2055"/>
      <c r="M670" s="2055"/>
      <c r="N670" s="2055"/>
      <c r="O670" s="2055"/>
      <c r="P670" s="2055"/>
      <c r="Q670" s="2055"/>
      <c r="R670" s="2055"/>
      <c r="T670" s="35"/>
      <c r="U670" s="12" t="s">
        <v>90</v>
      </c>
      <c r="Z670" s="2055"/>
      <c r="AA670" s="2055"/>
      <c r="AB670" s="2055"/>
      <c r="AC670" s="2055"/>
      <c r="AD670" s="2055"/>
      <c r="AE670" s="2055"/>
      <c r="AF670" s="2055"/>
      <c r="AG670" s="2055"/>
      <c r="AH670" s="2055"/>
      <c r="AI670" s="2055"/>
      <c r="AJ670" s="2055"/>
      <c r="AK670" s="2055"/>
      <c r="AZ670" s="58"/>
      <c r="BA670" s="446">
        <f t="shared" ref="BA670:BA694" si="47">IF($G728=0,"N/A",VLOOKUP($T$189,TC_Rent,(MATCH($B728,bedrooms,FALSE))))</f>
        <v>3106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55"/>
      <c r="H671" s="2055"/>
      <c r="I671" s="2055"/>
      <c r="J671" s="2055"/>
      <c r="K671" s="2055"/>
      <c r="L671" s="2055"/>
      <c r="M671" s="2055"/>
      <c r="N671" s="2055"/>
      <c r="O671" s="2055"/>
      <c r="P671" s="2055"/>
      <c r="Q671" s="2055"/>
      <c r="R671" s="2055"/>
      <c r="T671" s="35"/>
      <c r="U671" s="12" t="s">
        <v>615</v>
      </c>
      <c r="Z671" s="2288"/>
      <c r="AA671" s="2288"/>
      <c r="AB671" s="2288"/>
      <c r="AC671" s="2288"/>
      <c r="AD671" s="2288"/>
      <c r="AE671" s="2288"/>
      <c r="AF671" s="2288"/>
      <c r="AG671" s="2288"/>
      <c r="AH671" s="2288"/>
      <c r="AI671" s="2288"/>
      <c r="AJ671" s="2288"/>
      <c r="AK671" s="2288"/>
      <c r="AZ671" s="58"/>
      <c r="BA671" s="446">
        <f t="shared" si="47"/>
        <v>3106</v>
      </c>
      <c r="BB671" s="58"/>
      <c r="BC671" s="58"/>
      <c r="BD671" s="58"/>
      <c r="BE671" s="58"/>
      <c r="BF671" s="382"/>
      <c r="BG671" s="456">
        <f t="shared" ref="BG671:BG695" si="48">G728</f>
        <v>2</v>
      </c>
      <c r="BH671" s="460">
        <f>BG671/$BG$696</f>
        <v>8.130081300813009E-3</v>
      </c>
      <c r="BI671" s="461">
        <f t="shared" ref="BI671:BI695" si="49">IF(BH671=0," ",BH671*AH728)</f>
        <v>2.4390243902439024E-3</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5"/>
      <c r="H672" s="2055"/>
      <c r="I672" s="2055"/>
      <c r="J672" s="2055"/>
      <c r="K672" s="2055"/>
      <c r="L672" s="2055"/>
      <c r="M672" s="2055"/>
      <c r="N672" s="2055"/>
      <c r="O672" s="2055"/>
      <c r="P672" s="2055"/>
      <c r="Q672" s="2055"/>
      <c r="R672" s="2055"/>
      <c r="T672" s="35"/>
      <c r="U672" s="12" t="s">
        <v>17</v>
      </c>
      <c r="Z672" s="2288"/>
      <c r="AA672" s="2288"/>
      <c r="AB672" s="2288"/>
      <c r="AC672" s="2288"/>
      <c r="AD672" s="2288"/>
      <c r="AE672" s="2288"/>
      <c r="AF672" s="2288"/>
      <c r="AG672" s="2288"/>
      <c r="AH672" s="2288"/>
      <c r="AI672" s="2288"/>
      <c r="AJ672" s="2288"/>
      <c r="AK672" s="2288"/>
      <c r="AZ672" s="58"/>
      <c r="BA672" s="446">
        <f t="shared" si="47"/>
        <v>3106</v>
      </c>
      <c r="BB672" s="58"/>
      <c r="BC672" s="58"/>
      <c r="BD672" s="58"/>
      <c r="BE672" s="58"/>
      <c r="BF672" s="382"/>
      <c r="BG672" s="457">
        <f t="shared" si="48"/>
        <v>3</v>
      </c>
      <c r="BH672" s="460">
        <f t="shared" ref="BH672:BH695" si="50">BG672/$BG$696</f>
        <v>1.2195121951219513E-2</v>
      </c>
      <c r="BI672" s="461">
        <f t="shared" si="49"/>
        <v>6.0975609756097563E-3</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57"/>
      <c r="H673" s="2057"/>
      <c r="I673" s="2057"/>
      <c r="J673" s="2057"/>
      <c r="K673" s="2057"/>
      <c r="L673" s="2057"/>
      <c r="O673" s="137" t="s">
        <v>212</v>
      </c>
      <c r="P673" s="2066"/>
      <c r="Q673" s="2066"/>
      <c r="R673" s="2066"/>
      <c r="T673" s="35"/>
      <c r="U673" s="12" t="s">
        <v>325</v>
      </c>
      <c r="Z673" s="2057"/>
      <c r="AA673" s="2057"/>
      <c r="AB673" s="2057"/>
      <c r="AC673" s="2057"/>
      <c r="AD673" s="2057"/>
      <c r="AE673" s="2057"/>
      <c r="AH673" s="137" t="s">
        <v>212</v>
      </c>
      <c r="AI673" s="2066"/>
      <c r="AJ673" s="2066"/>
      <c r="AK673" s="2066"/>
      <c r="AZ673" s="58"/>
      <c r="BA673" s="446">
        <f t="shared" si="47"/>
        <v>3106</v>
      </c>
      <c r="BB673" s="58"/>
      <c r="BC673" s="58"/>
      <c r="BD673" s="58"/>
      <c r="BE673" s="58"/>
      <c r="BF673" s="382"/>
      <c r="BG673" s="457">
        <f t="shared" si="48"/>
        <v>19</v>
      </c>
      <c r="BH673" s="460">
        <f t="shared" si="50"/>
        <v>7.7235772357723581E-2</v>
      </c>
      <c r="BI673" s="461">
        <f t="shared" si="49"/>
        <v>4.6341463414634146E-2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5"/>
      <c r="I674" s="2055"/>
      <c r="J674" s="2055"/>
      <c r="K674" s="2055"/>
      <c r="L674" s="2055"/>
      <c r="M674" s="2055"/>
      <c r="N674" s="2055"/>
      <c r="O674" s="2055"/>
      <c r="P674" s="2055"/>
      <c r="Q674" s="2055"/>
      <c r="R674" s="2055"/>
      <c r="T674" s="35"/>
      <c r="U674" s="12" t="s">
        <v>18</v>
      </c>
      <c r="AA674" s="2055"/>
      <c r="AB674" s="2055"/>
      <c r="AC674" s="2055"/>
      <c r="AD674" s="2055"/>
      <c r="AE674" s="2055"/>
      <c r="AF674" s="2055"/>
      <c r="AG674" s="2055"/>
      <c r="AH674" s="2055"/>
      <c r="AI674" s="2055"/>
      <c r="AJ674" s="2055"/>
      <c r="AK674" s="2055"/>
      <c r="AZ674" s="58"/>
      <c r="BA674" s="446">
        <f t="shared" si="47"/>
        <v>3106</v>
      </c>
      <c r="BB674" s="58"/>
      <c r="BC674" s="58"/>
      <c r="BD674" s="58"/>
      <c r="BE674" s="58"/>
      <c r="BF674" s="382"/>
      <c r="BG674" s="457">
        <f t="shared" si="48"/>
        <v>5</v>
      </c>
      <c r="BH674" s="460">
        <f t="shared" si="50"/>
        <v>2.032520325203252E-2</v>
      </c>
      <c r="BI674" s="461">
        <f t="shared" si="49"/>
        <v>6.0975609756097554E-3</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28" t="s">
        <v>706</v>
      </c>
      <c r="O675" s="2028"/>
      <c r="T675" s="35"/>
      <c r="U675" s="12" t="s">
        <v>20</v>
      </c>
      <c r="AG675" s="2028" t="s">
        <v>706</v>
      </c>
      <c r="AH675" s="2028"/>
      <c r="AZ675" s="58"/>
      <c r="BA675" s="446">
        <f t="shared" si="47"/>
        <v>3106</v>
      </c>
      <c r="BB675" s="58"/>
      <c r="BC675" s="58"/>
      <c r="BD675" s="58"/>
      <c r="BE675" s="58"/>
      <c r="BF675" s="382"/>
      <c r="BG675" s="457">
        <f t="shared" si="48"/>
        <v>4</v>
      </c>
      <c r="BH675" s="460">
        <f t="shared" si="50"/>
        <v>1.6260162601626018E-2</v>
      </c>
      <c r="BI675" s="461">
        <f t="shared" si="49"/>
        <v>8.130081300813009E-3</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7"/>
        <v>3730</v>
      </c>
      <c r="BB676" s="58"/>
      <c r="BC676" s="58"/>
      <c r="BD676" s="58"/>
      <c r="BE676" s="58"/>
      <c r="BF676" s="382"/>
      <c r="BG676" s="457">
        <f t="shared" si="48"/>
        <v>37</v>
      </c>
      <c r="BH676" s="460">
        <f t="shared" si="50"/>
        <v>0.15040650406504066</v>
      </c>
      <c r="BI676" s="461">
        <f t="shared" si="49"/>
        <v>9.0243902439024401E-2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14">
        <f>C643</f>
        <v>0</v>
      </c>
      <c r="H677" s="2014"/>
      <c r="I677" s="2014"/>
      <c r="J677" s="2014"/>
      <c r="K677" s="2014"/>
      <c r="L677" s="2014"/>
      <c r="M677" s="2014"/>
      <c r="N677" s="2014"/>
      <c r="O677" s="2014"/>
      <c r="P677" s="2014"/>
      <c r="Q677" s="2014"/>
      <c r="R677" s="2014"/>
      <c r="T677" s="87" t="s">
        <v>488</v>
      </c>
      <c r="U677" s="12" t="s">
        <v>496</v>
      </c>
      <c r="Z677" s="2014">
        <f>C644</f>
        <v>0</v>
      </c>
      <c r="AA677" s="2014"/>
      <c r="AB677" s="2014"/>
      <c r="AC677" s="2014"/>
      <c r="AD677" s="2014"/>
      <c r="AE677" s="2014"/>
      <c r="AF677" s="2014"/>
      <c r="AG677" s="2014"/>
      <c r="AH677" s="2014"/>
      <c r="AI677" s="2014"/>
      <c r="AJ677" s="2014"/>
      <c r="AK677" s="2014"/>
      <c r="AZ677" s="58"/>
      <c r="BA677" s="446">
        <f t="shared" si="47"/>
        <v>3730</v>
      </c>
      <c r="BB677" s="58"/>
      <c r="BC677" s="58"/>
      <c r="BD677" s="58"/>
      <c r="BE677" s="58"/>
      <c r="BF677" s="382"/>
      <c r="BG677" s="457">
        <f t="shared" si="48"/>
        <v>7</v>
      </c>
      <c r="BH677" s="460">
        <f t="shared" si="50"/>
        <v>2.8455284552845527E-2</v>
      </c>
      <c r="BI677" s="461">
        <f t="shared" si="49"/>
        <v>8.5365853658536574E-3</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5"/>
      <c r="H678" s="2055"/>
      <c r="I678" s="2055"/>
      <c r="J678" s="2055"/>
      <c r="K678" s="2055"/>
      <c r="L678" s="2055"/>
      <c r="M678" s="2055"/>
      <c r="N678" s="2055"/>
      <c r="O678" s="2055"/>
      <c r="P678" s="2055"/>
      <c r="Q678" s="2055"/>
      <c r="R678" s="2055"/>
      <c r="T678" s="35"/>
      <c r="U678" s="12" t="s">
        <v>90</v>
      </c>
      <c r="Z678" s="2055"/>
      <c r="AA678" s="2055"/>
      <c r="AB678" s="2055"/>
      <c r="AC678" s="2055"/>
      <c r="AD678" s="2055"/>
      <c r="AE678" s="2055"/>
      <c r="AF678" s="2055"/>
      <c r="AG678" s="2055"/>
      <c r="AH678" s="2055"/>
      <c r="AI678" s="2055"/>
      <c r="AJ678" s="2055"/>
      <c r="AK678" s="2055"/>
      <c r="AZ678" s="58"/>
      <c r="BA678" s="446">
        <f t="shared" si="47"/>
        <v>3730</v>
      </c>
      <c r="BB678" s="58"/>
      <c r="BC678" s="58"/>
      <c r="BD678" s="58"/>
      <c r="BE678" s="58"/>
      <c r="BF678" s="382"/>
      <c r="BG678" s="457">
        <f t="shared" si="48"/>
        <v>7</v>
      </c>
      <c r="BH678" s="460">
        <f t="shared" si="50"/>
        <v>2.8455284552845527E-2</v>
      </c>
      <c r="BI678" s="461">
        <f t="shared" si="49"/>
        <v>1.4227642276422764E-2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55"/>
      <c r="H679" s="2055"/>
      <c r="I679" s="2055"/>
      <c r="J679" s="2055"/>
      <c r="K679" s="2055"/>
      <c r="L679" s="2055"/>
      <c r="M679" s="2055"/>
      <c r="N679" s="2055"/>
      <c r="O679" s="2055"/>
      <c r="P679" s="2055"/>
      <c r="Q679" s="2055"/>
      <c r="R679" s="2055"/>
      <c r="T679" s="35"/>
      <c r="U679" s="12" t="s">
        <v>615</v>
      </c>
      <c r="Z679" s="2288"/>
      <c r="AA679" s="2288"/>
      <c r="AB679" s="2288"/>
      <c r="AC679" s="2288"/>
      <c r="AD679" s="2288"/>
      <c r="AE679" s="2288"/>
      <c r="AF679" s="2288"/>
      <c r="AG679" s="2288"/>
      <c r="AH679" s="2288"/>
      <c r="AI679" s="2288"/>
      <c r="AJ679" s="2288"/>
      <c r="AK679" s="2288"/>
      <c r="AZ679" s="58"/>
      <c r="BA679" s="446">
        <f t="shared" si="47"/>
        <v>3730</v>
      </c>
      <c r="BB679" s="58"/>
      <c r="BC679" s="58"/>
      <c r="BD679" s="58"/>
      <c r="BE679" s="58"/>
      <c r="BF679" s="382"/>
      <c r="BG679" s="457">
        <f t="shared" si="48"/>
        <v>58</v>
      </c>
      <c r="BH679" s="460">
        <f t="shared" si="50"/>
        <v>0.23577235772357724</v>
      </c>
      <c r="BI679" s="461">
        <f t="shared" si="49"/>
        <v>0.14146341463414633</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5"/>
      <c r="H680" s="2055"/>
      <c r="I680" s="2055"/>
      <c r="J680" s="2055"/>
      <c r="K680" s="2055"/>
      <c r="L680" s="2055"/>
      <c r="M680" s="2055"/>
      <c r="N680" s="2055"/>
      <c r="O680" s="2055"/>
      <c r="P680" s="2055"/>
      <c r="Q680" s="2055"/>
      <c r="R680" s="2055"/>
      <c r="T680" s="35"/>
      <c r="U680" s="12" t="s">
        <v>17</v>
      </c>
      <c r="Z680" s="2288"/>
      <c r="AA680" s="2288"/>
      <c r="AB680" s="2288"/>
      <c r="AC680" s="2288"/>
      <c r="AD680" s="2288"/>
      <c r="AE680" s="2288"/>
      <c r="AF680" s="2288"/>
      <c r="AG680" s="2288"/>
      <c r="AH680" s="2288"/>
      <c r="AI680" s="2288"/>
      <c r="AJ680" s="2288"/>
      <c r="AK680" s="2288"/>
      <c r="AZ680" s="58"/>
      <c r="BA680" s="446">
        <f t="shared" si="47"/>
        <v>3730</v>
      </c>
      <c r="BB680" s="58"/>
      <c r="BC680" s="58"/>
      <c r="BD680" s="58"/>
      <c r="BE680" s="58"/>
      <c r="BF680" s="382"/>
      <c r="BG680" s="457">
        <f t="shared" si="48"/>
        <v>4</v>
      </c>
      <c r="BH680" s="460">
        <f t="shared" si="50"/>
        <v>1.6260162601626018E-2</v>
      </c>
      <c r="BI680" s="461">
        <f t="shared" si="49"/>
        <v>4.8780487804878049E-3</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57"/>
      <c r="H681" s="2057"/>
      <c r="I681" s="2057"/>
      <c r="J681" s="2057"/>
      <c r="K681" s="2057"/>
      <c r="L681" s="2057"/>
      <c r="O681" s="137" t="s">
        <v>212</v>
      </c>
      <c r="P681" s="2066"/>
      <c r="Q681" s="2066"/>
      <c r="R681" s="2066"/>
      <c r="T681" s="35"/>
      <c r="U681" s="12" t="s">
        <v>325</v>
      </c>
      <c r="Z681" s="2057"/>
      <c r="AA681" s="2057"/>
      <c r="AB681" s="2057"/>
      <c r="AC681" s="2057"/>
      <c r="AD681" s="2057"/>
      <c r="AE681" s="2057"/>
      <c r="AH681" s="137" t="s">
        <v>212</v>
      </c>
      <c r="AI681" s="2066"/>
      <c r="AJ681" s="2066"/>
      <c r="AK681" s="2066"/>
      <c r="AZ681" s="58"/>
      <c r="BA681" s="446">
        <f t="shared" si="47"/>
        <v>3730</v>
      </c>
      <c r="BB681" s="58"/>
      <c r="BC681" s="58"/>
      <c r="BD681" s="58"/>
      <c r="BE681" s="58"/>
      <c r="BF681" s="382"/>
      <c r="BG681" s="457">
        <f t="shared" si="48"/>
        <v>5</v>
      </c>
      <c r="BH681" s="460">
        <f t="shared" si="50"/>
        <v>2.032520325203252E-2</v>
      </c>
      <c r="BI681" s="461">
        <f t="shared" si="49"/>
        <v>1.016260162601626E-2</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5"/>
      <c r="I682" s="2055"/>
      <c r="J682" s="2055"/>
      <c r="K682" s="2055"/>
      <c r="L682" s="2055"/>
      <c r="M682" s="2055"/>
      <c r="N682" s="2055"/>
      <c r="O682" s="2055"/>
      <c r="P682" s="2055"/>
      <c r="Q682" s="2055"/>
      <c r="R682" s="2055"/>
      <c r="T682" s="35"/>
      <c r="U682" s="12" t="s">
        <v>18</v>
      </c>
      <c r="AA682" s="2055"/>
      <c r="AB682" s="2055"/>
      <c r="AC682" s="2055"/>
      <c r="AD682" s="2055"/>
      <c r="AE682" s="2055"/>
      <c r="AF682" s="2055"/>
      <c r="AG682" s="2055"/>
      <c r="AH682" s="2055"/>
      <c r="AI682" s="2055"/>
      <c r="AJ682" s="2055"/>
      <c r="AK682" s="2055"/>
      <c r="AZ682" s="58"/>
      <c r="BA682" s="446">
        <f t="shared" si="47"/>
        <v>4308</v>
      </c>
      <c r="BB682" s="58"/>
      <c r="BC682" s="58"/>
      <c r="BD682" s="58"/>
      <c r="BE682" s="58"/>
      <c r="BF682" s="382"/>
      <c r="BG682" s="457">
        <f t="shared" si="48"/>
        <v>32</v>
      </c>
      <c r="BH682" s="460">
        <f t="shared" si="50"/>
        <v>0.13008130081300814</v>
      </c>
      <c r="BI682" s="461">
        <f t="shared" si="49"/>
        <v>7.8048780487804878E-2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28" t="s">
        <v>706</v>
      </c>
      <c r="O683" s="2028"/>
      <c r="T683" s="35"/>
      <c r="U683" s="12" t="s">
        <v>20</v>
      </c>
      <c r="AG683" s="2028" t="s">
        <v>706</v>
      </c>
      <c r="AH683" s="2028"/>
      <c r="AZ683" s="58"/>
      <c r="BA683" s="446">
        <f t="shared" si="47"/>
        <v>4308</v>
      </c>
      <c r="BB683" s="58"/>
      <c r="BC683" s="58"/>
      <c r="BD683" s="58"/>
      <c r="BE683" s="58"/>
      <c r="BF683" s="382"/>
      <c r="BG683" s="457">
        <f t="shared" si="48"/>
        <v>5</v>
      </c>
      <c r="BH683" s="460">
        <f t="shared" si="50"/>
        <v>2.032520325203252E-2</v>
      </c>
      <c r="BI683" s="461">
        <f t="shared" si="49"/>
        <v>6.0975609756097554E-3</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f t="shared" si="47"/>
        <v>4308</v>
      </c>
      <c r="BB684" s="58"/>
      <c r="BC684" s="58"/>
      <c r="BD684" s="58"/>
      <c r="BE684" s="58"/>
      <c r="BF684" s="382"/>
      <c r="BG684" s="457">
        <f t="shared" si="48"/>
        <v>5</v>
      </c>
      <c r="BH684" s="460">
        <f t="shared" si="50"/>
        <v>2.032520325203252E-2</v>
      </c>
      <c r="BI684" s="461">
        <f t="shared" si="49"/>
        <v>1.016260162601626E-2</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14">
        <f>C645</f>
        <v>0</v>
      </c>
      <c r="H685" s="2014"/>
      <c r="I685" s="2014"/>
      <c r="J685" s="2014"/>
      <c r="K685" s="2014"/>
      <c r="L685" s="2014"/>
      <c r="M685" s="2014"/>
      <c r="N685" s="2014"/>
      <c r="O685" s="2014"/>
      <c r="P685" s="2014"/>
      <c r="Q685" s="2014"/>
      <c r="R685" s="2014"/>
      <c r="T685" s="87" t="s">
        <v>681</v>
      </c>
      <c r="U685" s="12" t="s">
        <v>496</v>
      </c>
      <c r="Z685" s="2014">
        <f>C646</f>
        <v>0</v>
      </c>
      <c r="AA685" s="2014"/>
      <c r="AB685" s="2014"/>
      <c r="AC685" s="2014"/>
      <c r="AD685" s="2014"/>
      <c r="AE685" s="2014"/>
      <c r="AF685" s="2014"/>
      <c r="AG685" s="2014"/>
      <c r="AH685" s="2014"/>
      <c r="AI685" s="2014"/>
      <c r="AJ685" s="2014"/>
      <c r="AK685" s="2014"/>
      <c r="AZ685" s="58"/>
      <c r="BA685" s="446">
        <f t="shared" si="47"/>
        <v>4308</v>
      </c>
      <c r="BB685" s="58"/>
      <c r="BC685" s="58"/>
      <c r="BD685" s="58"/>
      <c r="BE685" s="58"/>
      <c r="BF685" s="382"/>
      <c r="BG685" s="457">
        <f t="shared" si="48"/>
        <v>41</v>
      </c>
      <c r="BH685" s="460">
        <f t="shared" si="50"/>
        <v>0.16666666666666666</v>
      </c>
      <c r="BI685" s="461">
        <f t="shared" si="49"/>
        <v>9.9999999999999992E-2</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5"/>
      <c r="H686" s="2055"/>
      <c r="I686" s="2055"/>
      <c r="J686" s="2055"/>
      <c r="K686" s="2055"/>
      <c r="L686" s="2055"/>
      <c r="M686" s="2055"/>
      <c r="N686" s="2055"/>
      <c r="O686" s="2055"/>
      <c r="P686" s="2055"/>
      <c r="Q686" s="2055"/>
      <c r="R686" s="2055"/>
      <c r="T686" s="35"/>
      <c r="U686" s="12" t="s">
        <v>90</v>
      </c>
      <c r="Z686" s="2055"/>
      <c r="AA686" s="2055"/>
      <c r="AB686" s="2055"/>
      <c r="AC686" s="2055"/>
      <c r="AD686" s="2055"/>
      <c r="AE686" s="2055"/>
      <c r="AF686" s="2055"/>
      <c r="AG686" s="2055"/>
      <c r="AH686" s="2055"/>
      <c r="AI686" s="2055"/>
      <c r="AJ686" s="2055"/>
      <c r="AK686" s="2055"/>
      <c r="AZ686" s="58"/>
      <c r="BA686" s="446">
        <f t="shared" si="47"/>
        <v>4308</v>
      </c>
      <c r="BB686" s="58"/>
      <c r="BC686" s="58"/>
      <c r="BD686" s="58"/>
      <c r="BE686" s="58"/>
      <c r="BF686" s="382"/>
      <c r="BG686" s="457">
        <f t="shared" si="48"/>
        <v>1</v>
      </c>
      <c r="BH686" s="460">
        <f t="shared" si="50"/>
        <v>4.0650406504065045E-3</v>
      </c>
      <c r="BI686" s="461">
        <f t="shared" si="49"/>
        <v>1.2195121951219512E-3</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55"/>
      <c r="H687" s="2055"/>
      <c r="I687" s="2055"/>
      <c r="J687" s="2055"/>
      <c r="K687" s="2055"/>
      <c r="L687" s="2055"/>
      <c r="M687" s="2055"/>
      <c r="N687" s="2055"/>
      <c r="O687" s="2055"/>
      <c r="P687" s="2055"/>
      <c r="Q687" s="2055"/>
      <c r="R687" s="2055"/>
      <c r="T687" s="35"/>
      <c r="U687" s="12" t="s">
        <v>615</v>
      </c>
      <c r="Z687" s="2288"/>
      <c r="AA687" s="2288"/>
      <c r="AB687" s="2288"/>
      <c r="AC687" s="2288"/>
      <c r="AD687" s="2288"/>
      <c r="AE687" s="2288"/>
      <c r="AF687" s="2288"/>
      <c r="AG687" s="2288"/>
      <c r="AH687" s="2288"/>
      <c r="AI687" s="2288"/>
      <c r="AJ687" s="2288"/>
      <c r="AK687" s="2288"/>
      <c r="AZ687" s="58"/>
      <c r="BA687" s="446">
        <f t="shared" si="47"/>
        <v>4308</v>
      </c>
      <c r="BB687" s="58"/>
      <c r="BC687" s="58"/>
      <c r="BD687" s="58"/>
      <c r="BE687" s="58"/>
      <c r="BF687" s="382"/>
      <c r="BG687" s="457">
        <f t="shared" si="48"/>
        <v>1</v>
      </c>
      <c r="BH687" s="460">
        <f t="shared" si="50"/>
        <v>4.0650406504065045E-3</v>
      </c>
      <c r="BI687" s="461">
        <f t="shared" si="49"/>
        <v>2.0325203252032522E-3</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5"/>
      <c r="H688" s="2055"/>
      <c r="I688" s="2055"/>
      <c r="J688" s="2055"/>
      <c r="K688" s="2055"/>
      <c r="L688" s="2055"/>
      <c r="M688" s="2055"/>
      <c r="N688" s="2055"/>
      <c r="O688" s="2055"/>
      <c r="P688" s="2055"/>
      <c r="Q688" s="2055"/>
      <c r="R688" s="2055"/>
      <c r="T688" s="35"/>
      <c r="U688" s="12" t="s">
        <v>17</v>
      </c>
      <c r="Z688" s="2288"/>
      <c r="AA688" s="2288"/>
      <c r="AB688" s="2288"/>
      <c r="AC688" s="2288"/>
      <c r="AD688" s="2288"/>
      <c r="AE688" s="2288"/>
      <c r="AF688" s="2288"/>
      <c r="AG688" s="2288"/>
      <c r="AH688" s="2288"/>
      <c r="AI688" s="2288"/>
      <c r="AJ688" s="2288"/>
      <c r="AK688" s="2288"/>
      <c r="AZ688" s="58"/>
      <c r="BA688" s="446">
        <f t="shared" si="47"/>
        <v>4308</v>
      </c>
      <c r="BB688" s="58"/>
      <c r="BC688" s="58"/>
      <c r="BD688" s="58"/>
      <c r="BE688" s="58"/>
      <c r="BF688" s="382"/>
      <c r="BG688" s="457">
        <f t="shared" si="48"/>
        <v>4</v>
      </c>
      <c r="BH688" s="460">
        <f t="shared" si="50"/>
        <v>1.6260162601626018E-2</v>
      </c>
      <c r="BI688" s="461">
        <f t="shared" si="49"/>
        <v>9.7560975609756097E-3</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57"/>
      <c r="H689" s="2057"/>
      <c r="I689" s="2057"/>
      <c r="J689" s="2057"/>
      <c r="K689" s="2057"/>
      <c r="L689" s="2057"/>
      <c r="O689" s="137" t="s">
        <v>212</v>
      </c>
      <c r="P689" s="2066"/>
      <c r="Q689" s="2066"/>
      <c r="R689" s="2066"/>
      <c r="T689" s="35"/>
      <c r="U689" s="12" t="s">
        <v>325</v>
      </c>
      <c r="Z689" s="2057"/>
      <c r="AA689" s="2057"/>
      <c r="AB689" s="2057"/>
      <c r="AC689" s="2057"/>
      <c r="AD689" s="2057"/>
      <c r="AE689" s="2057"/>
      <c r="AH689" s="137" t="s">
        <v>212</v>
      </c>
      <c r="AI689" s="2066"/>
      <c r="AJ689" s="2066"/>
      <c r="AK689" s="2066"/>
      <c r="AZ689" s="58"/>
      <c r="BA689" s="446">
        <f t="shared" si="47"/>
        <v>4308</v>
      </c>
      <c r="BB689" s="58"/>
      <c r="BC689" s="58"/>
      <c r="BD689" s="58"/>
      <c r="BE689" s="58"/>
      <c r="BF689" s="382"/>
      <c r="BG689" s="457">
        <f t="shared" si="48"/>
        <v>1</v>
      </c>
      <c r="BH689" s="460">
        <f t="shared" si="50"/>
        <v>4.0650406504065045E-3</v>
      </c>
      <c r="BI689" s="461">
        <f t="shared" si="49"/>
        <v>1.2195121951219512E-3</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5"/>
      <c r="I690" s="2055"/>
      <c r="J690" s="2055"/>
      <c r="K690" s="2055"/>
      <c r="L690" s="2055"/>
      <c r="M690" s="2055"/>
      <c r="N690" s="2055"/>
      <c r="O690" s="2055"/>
      <c r="P690" s="2055"/>
      <c r="Q690" s="2055"/>
      <c r="R690" s="2055"/>
      <c r="T690" s="35"/>
      <c r="U690" s="12" t="s">
        <v>18</v>
      </c>
      <c r="AA690" s="2055"/>
      <c r="AB690" s="2055"/>
      <c r="AC690" s="2055"/>
      <c r="AD690" s="2055"/>
      <c r="AE690" s="2055"/>
      <c r="AF690" s="2055"/>
      <c r="AG690" s="2055"/>
      <c r="AH690" s="2055"/>
      <c r="AI690" s="2055"/>
      <c r="AJ690" s="2055"/>
      <c r="AK690" s="2055"/>
      <c r="AZ690" s="58"/>
      <c r="BA690" s="446" t="str">
        <f t="shared" si="47"/>
        <v>N/A</v>
      </c>
      <c r="BB690" s="58"/>
      <c r="BC690" s="58"/>
      <c r="BD690" s="58"/>
      <c r="BE690" s="58"/>
      <c r="BF690" s="382"/>
      <c r="BG690" s="457">
        <f t="shared" si="48"/>
        <v>5</v>
      </c>
      <c r="BH690" s="460">
        <f t="shared" si="50"/>
        <v>2.032520325203252E-2</v>
      </c>
      <c r="BI690" s="461">
        <f t="shared" si="49"/>
        <v>1.2195121951219511E-2</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28" t="s">
        <v>706</v>
      </c>
      <c r="O691" s="2028"/>
      <c r="T691" s="35"/>
      <c r="U691" s="12" t="s">
        <v>20</v>
      </c>
      <c r="AG691" s="2028" t="s">
        <v>706</v>
      </c>
      <c r="AH691" s="2028"/>
      <c r="AZ691" s="58"/>
      <c r="BA691" s="446" t="str">
        <f t="shared" si="47"/>
        <v>N/A</v>
      </c>
      <c r="BB691" s="58"/>
      <c r="BF691" s="382"/>
      <c r="BG691" s="457">
        <f t="shared" si="48"/>
        <v>0</v>
      </c>
      <c r="BH691" s="460">
        <f t="shared" si="50"/>
        <v>0</v>
      </c>
      <c r="BI691" s="461" t="str">
        <f t="shared" si="49"/>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7"/>
        <v>N/A</v>
      </c>
      <c r="BB692" s="58"/>
      <c r="BF692" s="382"/>
      <c r="BG692" s="457">
        <f t="shared" si="48"/>
        <v>0</v>
      </c>
      <c r="BH692" s="460">
        <f t="shared" si="50"/>
        <v>0</v>
      </c>
      <c r="BI692" s="461" t="str">
        <f t="shared" si="49"/>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14">
        <f>C647</f>
        <v>0</v>
      </c>
      <c r="H693" s="2014"/>
      <c r="I693" s="2014"/>
      <c r="J693" s="2014"/>
      <c r="K693" s="2014"/>
      <c r="L693" s="2014"/>
      <c r="M693" s="2014"/>
      <c r="N693" s="2014"/>
      <c r="O693" s="2014"/>
      <c r="P693" s="2014"/>
      <c r="Q693" s="2014"/>
      <c r="R693" s="2014"/>
      <c r="T693" s="87" t="s">
        <v>373</v>
      </c>
      <c r="U693" s="12" t="s">
        <v>496</v>
      </c>
      <c r="Z693" s="2014">
        <f>C648</f>
        <v>0</v>
      </c>
      <c r="AA693" s="2014"/>
      <c r="AB693" s="2014"/>
      <c r="AC693" s="2014"/>
      <c r="AD693" s="2014"/>
      <c r="AE693" s="2014"/>
      <c r="AF693" s="2014"/>
      <c r="AG693" s="2014"/>
      <c r="AH693" s="2014"/>
      <c r="AI693" s="2014"/>
      <c r="AJ693" s="2014"/>
      <c r="AK693" s="2014"/>
      <c r="AZ693" s="58"/>
      <c r="BA693" s="446" t="str">
        <f t="shared" si="47"/>
        <v>N/A</v>
      </c>
      <c r="BB693" s="58"/>
      <c r="BF693" s="382"/>
      <c r="BG693" s="457">
        <f t="shared" si="48"/>
        <v>0</v>
      </c>
      <c r="BH693" s="460">
        <f t="shared" si="50"/>
        <v>0</v>
      </c>
      <c r="BI693" s="461" t="str">
        <f t="shared" si="49"/>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5"/>
      <c r="H694" s="2055"/>
      <c r="I694" s="2055"/>
      <c r="J694" s="2055"/>
      <c r="K694" s="2055"/>
      <c r="L694" s="2055"/>
      <c r="M694" s="2055"/>
      <c r="N694" s="2055"/>
      <c r="O694" s="2055"/>
      <c r="P694" s="2055"/>
      <c r="Q694" s="2055"/>
      <c r="R694" s="2055"/>
      <c r="T694" s="35"/>
      <c r="U694" s="12" t="s">
        <v>90</v>
      </c>
      <c r="Z694" s="2055"/>
      <c r="AA694" s="2055"/>
      <c r="AB694" s="2055"/>
      <c r="AC694" s="2055"/>
      <c r="AD694" s="2055"/>
      <c r="AE694" s="2055"/>
      <c r="AF694" s="2055"/>
      <c r="AG694" s="2055"/>
      <c r="AH694" s="2055"/>
      <c r="AI694" s="2055"/>
      <c r="AJ694" s="2055"/>
      <c r="AK694" s="2055"/>
      <c r="AZ694" s="58"/>
      <c r="BA694" s="446" t="str">
        <f t="shared" si="47"/>
        <v>N/A</v>
      </c>
      <c r="BB694" s="58"/>
      <c r="BF694" s="382"/>
      <c r="BG694" s="457">
        <f t="shared" si="48"/>
        <v>0</v>
      </c>
      <c r="BH694" s="460">
        <f t="shared" si="50"/>
        <v>0</v>
      </c>
      <c r="BI694" s="461" t="str">
        <f t="shared" si="49"/>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55"/>
      <c r="H695" s="2055"/>
      <c r="I695" s="2055"/>
      <c r="J695" s="2055"/>
      <c r="K695" s="2055"/>
      <c r="L695" s="2055"/>
      <c r="M695" s="2055"/>
      <c r="N695" s="2055"/>
      <c r="O695" s="2055"/>
      <c r="P695" s="2055"/>
      <c r="Q695" s="2055"/>
      <c r="R695" s="2055"/>
      <c r="U695" s="12" t="s">
        <v>615</v>
      </c>
      <c r="Z695" s="2288"/>
      <c r="AA695" s="2288"/>
      <c r="AB695" s="2288"/>
      <c r="AC695" s="2288"/>
      <c r="AD695" s="2288"/>
      <c r="AE695" s="2288"/>
      <c r="AF695" s="2288"/>
      <c r="AG695" s="2288"/>
      <c r="AH695" s="2288"/>
      <c r="AI695" s="2288"/>
      <c r="AJ695" s="2288"/>
      <c r="AK695" s="2288"/>
      <c r="AZ695" s="58"/>
      <c r="BA695" s="58"/>
      <c r="BB695" s="58"/>
      <c r="BC695" s="58"/>
      <c r="BF695" s="382"/>
      <c r="BG695" s="457">
        <f t="shared" si="48"/>
        <v>0</v>
      </c>
      <c r="BH695" s="460">
        <f t="shared" si="50"/>
        <v>0</v>
      </c>
      <c r="BI695" s="461" t="str">
        <f t="shared" si="49"/>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5"/>
      <c r="H696" s="2055"/>
      <c r="I696" s="2055"/>
      <c r="J696" s="2055"/>
      <c r="K696" s="2055"/>
      <c r="L696" s="2055"/>
      <c r="M696" s="2055"/>
      <c r="N696" s="2055"/>
      <c r="O696" s="2055"/>
      <c r="P696" s="2055"/>
      <c r="Q696" s="2055"/>
      <c r="R696" s="2055"/>
      <c r="U696" s="12" t="s">
        <v>17</v>
      </c>
      <c r="Z696" s="2288"/>
      <c r="AA696" s="2288"/>
      <c r="AB696" s="2288"/>
      <c r="AC696" s="2288"/>
      <c r="AD696" s="2288"/>
      <c r="AE696" s="2288"/>
      <c r="AF696" s="2288"/>
      <c r="AG696" s="2288"/>
      <c r="AH696" s="2288"/>
      <c r="AI696" s="2288"/>
      <c r="AJ696" s="2288"/>
      <c r="AK696" s="2288"/>
      <c r="AZ696" s="58"/>
      <c r="BA696" s="58"/>
      <c r="BB696" s="58"/>
      <c r="BC696" s="58"/>
      <c r="BD696" s="58"/>
      <c r="BF696" s="453" t="s">
        <v>968</v>
      </c>
      <c r="BG696" s="462">
        <f>SUM(BG671:BG695)</f>
        <v>246</v>
      </c>
      <c r="BH696" s="463">
        <f>SUM(BH671:BH695)</f>
        <v>0.99999999999999978</v>
      </c>
      <c r="BI696" s="463">
        <f>SUM(BI671:BI695)</f>
        <v>0.55934959349593505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57"/>
      <c r="H697" s="2057"/>
      <c r="I697" s="2057"/>
      <c r="J697" s="2057"/>
      <c r="K697" s="2057"/>
      <c r="L697" s="2057"/>
      <c r="O697" s="137" t="s">
        <v>212</v>
      </c>
      <c r="P697" s="2066"/>
      <c r="Q697" s="2066"/>
      <c r="R697" s="2066"/>
      <c r="U697" s="12" t="s">
        <v>325</v>
      </c>
      <c r="Z697" s="2057"/>
      <c r="AA697" s="2057"/>
      <c r="AB697" s="2057"/>
      <c r="AC697" s="2057"/>
      <c r="AD697" s="2057"/>
      <c r="AE697" s="2057"/>
      <c r="AH697" s="137" t="s">
        <v>212</v>
      </c>
      <c r="AI697" s="2066"/>
      <c r="AJ697" s="2066"/>
      <c r="AK697" s="2066"/>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5"/>
      <c r="I698" s="2055"/>
      <c r="J698" s="2055"/>
      <c r="K698" s="2055"/>
      <c r="L698" s="2055"/>
      <c r="M698" s="2055"/>
      <c r="N698" s="2055"/>
      <c r="O698" s="2055"/>
      <c r="P698" s="2055"/>
      <c r="Q698" s="2055"/>
      <c r="R698" s="2055"/>
      <c r="U698" s="12" t="s">
        <v>18</v>
      </c>
      <c r="AA698" s="2055"/>
      <c r="AB698" s="2055"/>
      <c r="AC698" s="2055"/>
      <c r="AD698" s="2055"/>
      <c r="AE698" s="2055"/>
      <c r="AF698" s="2055"/>
      <c r="AG698" s="2055"/>
      <c r="AH698" s="2055"/>
      <c r="AI698" s="2055"/>
      <c r="AJ698" s="2055"/>
      <c r="AK698" s="2055"/>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28" t="s">
        <v>706</v>
      </c>
      <c r="O699" s="2028"/>
      <c r="U699" s="12" t="s">
        <v>20</v>
      </c>
      <c r="AG699" s="2028" t="s">
        <v>706</v>
      </c>
      <c r="AH699" s="2028"/>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8" t="s">
        <v>578</v>
      </c>
      <c r="AF703" s="202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51">G728</f>
        <v>2</v>
      </c>
      <c r="BH703" s="460">
        <f>BG703/$BG$728</f>
        <v>8.130081300813009E-3</v>
      </c>
      <c r="BI703" s="461">
        <f t="shared" ref="BI703:BI727" si="52">IF(BH703=0," ",BH703*AM728)</f>
        <v>2.4395478983766012E-3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8" t="s">
        <v>706</v>
      </c>
      <c r="AF704" s="202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51"/>
        <v>3</v>
      </c>
      <c r="BH704" s="460">
        <f t="shared" ref="BH704:BH727" si="53">BG704/$BG$728</f>
        <v>1.2195121951219513E-2</v>
      </c>
      <c r="BI704" s="461">
        <f t="shared" si="52"/>
        <v>6.0975609756097563E-3</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6"/>
      <c r="AF705" s="2326"/>
      <c r="AG705" s="2326"/>
      <c r="AH705" s="2326"/>
      <c r="AI705" s="232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51"/>
        <v>19</v>
      </c>
      <c r="BH705" s="460">
        <f t="shared" si="53"/>
        <v>7.7235772357723581E-2</v>
      </c>
      <c r="BI705" s="461">
        <f t="shared" si="52"/>
        <v>4.635141006915542E-2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5"/>
      <c r="AF706" s="2325"/>
      <c r="AG706" s="2325"/>
      <c r="AH706" s="2325"/>
      <c r="AI706" s="232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51"/>
        <v>5</v>
      </c>
      <c r="BH706" s="460">
        <f t="shared" si="53"/>
        <v>2.032520325203252E-2</v>
      </c>
      <c r="BI706" s="461">
        <f t="shared" si="52"/>
        <v>6.0988697459415028E-3</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51"/>
        <v>4</v>
      </c>
      <c r="BH707" s="460">
        <f t="shared" si="53"/>
        <v>1.6260162601626018E-2</v>
      </c>
      <c r="BI707" s="461">
        <f t="shared" si="52"/>
        <v>8.130081300813009E-3</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6">
        <v>44652</v>
      </c>
      <c r="AF708" s="2326"/>
      <c r="AG708" s="2326"/>
      <c r="AH708" s="2326"/>
      <c r="AI708" s="232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51"/>
        <v>37</v>
      </c>
      <c r="BH708" s="460">
        <f t="shared" si="53"/>
        <v>0.15040650406504066</v>
      </c>
      <c r="BI708" s="461">
        <f t="shared" si="52"/>
        <v>9.0263272239934245E-2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2">
        <v>0.51819999999999999</v>
      </c>
      <c r="AF709" s="2362"/>
      <c r="AG709" s="2362"/>
      <c r="AH709" s="2362"/>
      <c r="AI709" s="236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51"/>
        <v>7</v>
      </c>
      <c r="BH709" s="460">
        <f t="shared" si="53"/>
        <v>2.8455284552845527E-2</v>
      </c>
      <c r="BI709" s="461">
        <f t="shared" si="52"/>
        <v>8.5365853658536574E-3</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14" t="str">
        <f>H334</f>
        <v>California Municipal Finance Authority</v>
      </c>
      <c r="X710" s="2014"/>
      <c r="Y710" s="2014"/>
      <c r="Z710" s="2014"/>
      <c r="AA710" s="2014"/>
      <c r="AB710" s="2014"/>
      <c r="AC710" s="2014"/>
      <c r="AD710" s="2014"/>
      <c r="AE710" s="2014"/>
      <c r="AF710" s="2014"/>
      <c r="AG710" s="2014"/>
      <c r="AH710" s="2014"/>
      <c r="AI710" s="2014"/>
      <c r="AJ710" s="2014"/>
      <c r="AK710" s="201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51"/>
        <v>7</v>
      </c>
      <c r="BH710" s="460">
        <f t="shared" si="53"/>
        <v>2.8455284552845527E-2</v>
      </c>
      <c r="BI710" s="461">
        <f t="shared" si="52"/>
        <v>1.4227642276422764E-2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51"/>
        <v>58</v>
      </c>
      <c r="BH711" s="460">
        <f t="shared" si="53"/>
        <v>0.23577235772357724</v>
      </c>
      <c r="BI711" s="461">
        <f t="shared" si="52"/>
        <v>0.14146341463414633</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8" t="s">
        <v>706</v>
      </c>
      <c r="AF712" s="202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51"/>
        <v>4</v>
      </c>
      <c r="BH712" s="460">
        <f t="shared" si="53"/>
        <v>1.6260162601626018E-2</v>
      </c>
      <c r="BI712" s="461">
        <f t="shared" si="52"/>
        <v>4.8780487804878049E-3</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5"/>
      <c r="X713" s="2055"/>
      <c r="Y713" s="2055"/>
      <c r="Z713" s="2055"/>
      <c r="AA713" s="2055"/>
      <c r="AB713" s="2055"/>
      <c r="AC713" s="2055"/>
      <c r="AD713" s="2055"/>
      <c r="AE713" s="2055"/>
      <c r="AF713" s="2055"/>
      <c r="AG713" s="2055"/>
      <c r="AH713" s="2055"/>
      <c r="AI713" s="2055"/>
      <c r="AJ713" s="2055"/>
      <c r="AK713" s="205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51"/>
        <v>5</v>
      </c>
      <c r="BH713" s="460">
        <f t="shared" si="53"/>
        <v>2.032520325203252E-2</v>
      </c>
      <c r="BI713" s="461">
        <f t="shared" si="52"/>
        <v>1.016260162601626E-2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5"/>
      <c r="K714" s="2055"/>
      <c r="L714" s="2055"/>
      <c r="M714" s="2055"/>
      <c r="N714" s="2055"/>
      <c r="O714" s="2055"/>
      <c r="P714" s="2055"/>
      <c r="Q714" s="2055"/>
      <c r="R714" s="2055"/>
      <c r="S714" s="2055"/>
      <c r="T714" s="2055"/>
      <c r="U714" s="2055"/>
      <c r="V714" s="2055"/>
      <c r="W714" s="2055"/>
      <c r="X714" s="205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51"/>
        <v>32</v>
      </c>
      <c r="BH714" s="460">
        <f t="shared" si="53"/>
        <v>0.13008130081300814</v>
      </c>
      <c r="BI714" s="461">
        <f t="shared" si="52"/>
        <v>7.8048780487804878E-2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7"/>
      <c r="K715" s="2057"/>
      <c r="L715" s="2057"/>
      <c r="M715" s="2057"/>
      <c r="N715" s="2057"/>
      <c r="O715" s="2057"/>
      <c r="P715" s="7" t="s">
        <v>212</v>
      </c>
      <c r="Q715" s="7"/>
      <c r="R715" s="2066"/>
      <c r="S715" s="2066"/>
      <c r="T715" s="206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51"/>
        <v>5</v>
      </c>
      <c r="BH715" s="460">
        <f t="shared" si="53"/>
        <v>2.032520325203252E-2</v>
      </c>
      <c r="BI715" s="461">
        <f t="shared" si="52"/>
        <v>6.0956737701081745E-3</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55" t="s">
        <v>316</v>
      </c>
      <c r="X716" s="2055"/>
      <c r="Y716" s="2055"/>
      <c r="Z716" s="2055"/>
      <c r="AA716" s="2055"/>
      <c r="AB716" s="2055"/>
      <c r="AC716" s="2055"/>
      <c r="AD716" s="2055"/>
      <c r="AE716" s="2055"/>
      <c r="AF716" s="2055"/>
      <c r="AG716" s="2055"/>
      <c r="AH716" s="2055"/>
      <c r="AI716" s="2055"/>
      <c r="AJ716" s="2055"/>
      <c r="AK716" s="205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51"/>
        <v>5</v>
      </c>
      <c r="BH716" s="460">
        <f t="shared" si="53"/>
        <v>2.032520325203252E-2</v>
      </c>
      <c r="BI716" s="461">
        <f t="shared" si="52"/>
        <v>1.016260162601626E-2</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5" t="s">
        <v>343</v>
      </c>
      <c r="F717" s="2055"/>
      <c r="G717" s="2055"/>
      <c r="H717" s="2055"/>
      <c r="I717" s="2055"/>
      <c r="J717" s="2055"/>
      <c r="K717" s="2055"/>
      <c r="L717" s="2055"/>
      <c r="M717" s="2055"/>
      <c r="N717" s="2055"/>
      <c r="O717" s="2055"/>
      <c r="P717" s="2055"/>
      <c r="Q717" s="2055"/>
      <c r="R717" s="2055"/>
      <c r="S717" s="2055"/>
      <c r="T717" s="2055"/>
      <c r="U717" s="2055"/>
      <c r="V717" s="2055"/>
      <c r="W717" s="2055"/>
      <c r="X717" s="2055"/>
      <c r="Y717" s="2055"/>
      <c r="Z717" s="2055"/>
      <c r="AA717" s="2055"/>
      <c r="AB717" s="2055"/>
      <c r="AC717" s="2055"/>
      <c r="AD717" s="2055"/>
      <c r="AE717" s="2055"/>
      <c r="AF717" s="2055"/>
      <c r="AG717" s="2055"/>
      <c r="AH717" s="2055"/>
      <c r="AI717" s="2055"/>
      <c r="AJ717" s="2055"/>
      <c r="AK717" s="205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51"/>
        <v>41</v>
      </c>
      <c r="BH717" s="460">
        <f t="shared" si="53"/>
        <v>0.16666666666666666</v>
      </c>
      <c r="BI717" s="461">
        <f t="shared" si="52"/>
        <v>0.10000773754255649</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51"/>
        <v>1</v>
      </c>
      <c r="BH718" s="460">
        <f t="shared" si="53"/>
        <v>4.0650406504065045E-3</v>
      </c>
      <c r="BI718" s="461">
        <f t="shared" si="52"/>
        <v>1.219134754021635E-3</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2" t="s">
        <v>100</v>
      </c>
      <c r="B719" s="1862"/>
      <c r="C719" s="1862"/>
      <c r="D719" s="1862"/>
      <c r="E719" s="1862"/>
      <c r="F719" s="1862"/>
      <c r="G719" s="1862"/>
      <c r="H719" s="1862"/>
      <c r="I719" s="1862"/>
      <c r="J719" s="1862"/>
      <c r="K719" s="1862"/>
      <c r="L719" s="1862"/>
      <c r="M719" s="1862"/>
      <c r="N719" s="1862"/>
      <c r="O719" s="1862"/>
      <c r="P719" s="1862"/>
      <c r="Q719" s="1862"/>
      <c r="R719" s="1862"/>
      <c r="S719" s="1862"/>
      <c r="T719" s="1862"/>
      <c r="U719" s="1862"/>
      <c r="V719" s="1862"/>
      <c r="W719" s="1862"/>
      <c r="X719" s="1862"/>
      <c r="Y719" s="1862"/>
      <c r="Z719" s="1862"/>
      <c r="AA719" s="1862"/>
      <c r="AB719" s="1862"/>
      <c r="AC719" s="1862"/>
      <c r="AD719" s="1862"/>
      <c r="AE719" s="1862"/>
      <c r="AF719" s="1862"/>
      <c r="AG719" s="1862"/>
      <c r="AH719" s="1862"/>
      <c r="AI719" s="1862"/>
      <c r="AJ719" s="1862"/>
      <c r="AK719" s="1862"/>
      <c r="AL719" s="1862"/>
      <c r="AM719" s="1862"/>
      <c r="AN719" s="1862"/>
      <c r="AO719" s="1862"/>
      <c r="AP719" s="1570"/>
      <c r="AQ719" s="1570"/>
      <c r="AR719" s="1570"/>
      <c r="AS719" s="1570"/>
      <c r="AT719" s="1570"/>
      <c r="AU719" s="1570"/>
      <c r="AV719" s="1570"/>
      <c r="AW719" s="1570"/>
      <c r="AX719" s="1570"/>
      <c r="AY719" s="1570"/>
      <c r="AZ719" s="58"/>
      <c r="BA719" s="58"/>
      <c r="BB719" s="58"/>
      <c r="BC719" s="58"/>
      <c r="BD719" s="58"/>
      <c r="BE719" s="58"/>
      <c r="BF719" s="58"/>
      <c r="BG719" s="457">
        <f t="shared" si="51"/>
        <v>1</v>
      </c>
      <c r="BH719" s="460">
        <f t="shared" si="53"/>
        <v>4.0650406504065045E-3</v>
      </c>
      <c r="BI719" s="461">
        <f t="shared" si="52"/>
        <v>2.0325203252032522E-3</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2"/>
      <c r="B720" s="1862"/>
      <c r="C720" s="1862"/>
      <c r="D720" s="1862"/>
      <c r="E720" s="1862"/>
      <c r="F720" s="1862"/>
      <c r="G720" s="1862"/>
      <c r="H720" s="1862"/>
      <c r="I720" s="1862"/>
      <c r="J720" s="1862"/>
      <c r="K720" s="1862"/>
      <c r="L720" s="1862"/>
      <c r="M720" s="1862"/>
      <c r="N720" s="1862"/>
      <c r="O720" s="1862"/>
      <c r="P720" s="1862"/>
      <c r="Q720" s="1862"/>
      <c r="R720" s="1862"/>
      <c r="S720" s="1862"/>
      <c r="T720" s="1862"/>
      <c r="U720" s="1862"/>
      <c r="V720" s="1862"/>
      <c r="W720" s="1862"/>
      <c r="X720" s="1862"/>
      <c r="Y720" s="1862"/>
      <c r="Z720" s="1862"/>
      <c r="AA720" s="1862"/>
      <c r="AB720" s="1862"/>
      <c r="AC720" s="1862"/>
      <c r="AD720" s="1862"/>
      <c r="AE720" s="1862"/>
      <c r="AF720" s="1862"/>
      <c r="AG720" s="1862"/>
      <c r="AH720" s="1862"/>
      <c r="AI720" s="1862"/>
      <c r="AJ720" s="1862"/>
      <c r="AK720" s="1862"/>
      <c r="AL720" s="1862"/>
      <c r="AM720" s="1862"/>
      <c r="AN720" s="1862"/>
      <c r="AO720" s="1862"/>
      <c r="AP720" s="1570"/>
      <c r="AQ720" s="1570"/>
      <c r="AR720" s="1570"/>
      <c r="AS720" s="1570"/>
      <c r="AT720" s="1570"/>
      <c r="AU720" s="1570"/>
      <c r="AV720" s="1570"/>
      <c r="AW720" s="1570"/>
      <c r="AX720" s="1570"/>
      <c r="AY720" s="1570"/>
      <c r="AZ720" s="58"/>
      <c r="BA720" s="58"/>
      <c r="BB720" s="58"/>
      <c r="BC720" s="58"/>
      <c r="BD720" s="58"/>
      <c r="BE720" s="58"/>
      <c r="BF720" s="58"/>
      <c r="BG720" s="457">
        <f t="shared" si="51"/>
        <v>4</v>
      </c>
      <c r="BH720" s="460">
        <f t="shared" si="53"/>
        <v>1.6260162601626018E-2</v>
      </c>
      <c r="BI720" s="461">
        <f t="shared" si="52"/>
        <v>9.7568524431762439E-3</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2"/>
      <c r="B721" s="1862"/>
      <c r="C721" s="1862"/>
      <c r="D721" s="1862"/>
      <c r="E721" s="1862"/>
      <c r="F721" s="1862"/>
      <c r="G721" s="1862"/>
      <c r="H721" s="1862"/>
      <c r="I721" s="1862"/>
      <c r="J721" s="1862"/>
      <c r="K721" s="1862"/>
      <c r="L721" s="1862"/>
      <c r="M721" s="1862"/>
      <c r="N721" s="1862"/>
      <c r="O721" s="1862"/>
      <c r="P721" s="1862"/>
      <c r="Q721" s="1862"/>
      <c r="R721" s="1862"/>
      <c r="S721" s="1862"/>
      <c r="T721" s="1862"/>
      <c r="U721" s="1862"/>
      <c r="V721" s="1862"/>
      <c r="W721" s="1862"/>
      <c r="X721" s="1862"/>
      <c r="Y721" s="1862"/>
      <c r="Z721" s="1862"/>
      <c r="AA721" s="1862"/>
      <c r="AB721" s="1862"/>
      <c r="AC721" s="1862"/>
      <c r="AD721" s="1862"/>
      <c r="AE721" s="1862"/>
      <c r="AF721" s="1862"/>
      <c r="AG721" s="1862"/>
      <c r="AH721" s="1862"/>
      <c r="AI721" s="1862"/>
      <c r="AJ721" s="1862"/>
      <c r="AK721" s="1862"/>
      <c r="AL721" s="1862"/>
      <c r="AM721" s="1862"/>
      <c r="AN721" s="1862"/>
      <c r="AO721" s="1862"/>
      <c r="AZ721" s="58"/>
      <c r="BA721" s="58"/>
      <c r="BB721" s="58"/>
      <c r="BC721" s="58"/>
      <c r="BD721" s="58"/>
      <c r="BE721" s="58"/>
      <c r="BF721" s="58"/>
      <c r="BG721" s="457">
        <f t="shared" si="51"/>
        <v>1</v>
      </c>
      <c r="BH721" s="460">
        <f t="shared" si="53"/>
        <v>4.0650406504065045E-3</v>
      </c>
      <c r="BI721" s="461">
        <f t="shared" si="52"/>
        <v>1.219134754021635E-3</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51"/>
        <v>5</v>
      </c>
      <c r="BH722" s="460">
        <f t="shared" si="53"/>
        <v>2.032520325203252E-2</v>
      </c>
      <c r="BI722" s="461">
        <f t="shared" si="52"/>
        <v>1.2196065553970303E-2</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51"/>
        <v>0</v>
      </c>
      <c r="BH723" s="460">
        <f t="shared" si="53"/>
        <v>0</v>
      </c>
      <c r="BI723" s="461" t="str">
        <f t="shared" si="52"/>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64" t="s">
        <v>407</v>
      </c>
      <c r="C724" s="2265"/>
      <c r="D724" s="2265"/>
      <c r="E724" s="2265"/>
      <c r="F724" s="2266"/>
      <c r="G724" s="2264" t="s">
        <v>291</v>
      </c>
      <c r="H724" s="2265"/>
      <c r="I724" s="2265"/>
      <c r="J724" s="2266"/>
      <c r="K724" s="2273" t="s">
        <v>2157</v>
      </c>
      <c r="L724" s="2274"/>
      <c r="M724" s="2274"/>
      <c r="N724" s="2275"/>
      <c r="O724" s="2264" t="s">
        <v>478</v>
      </c>
      <c r="P724" s="2265"/>
      <c r="Q724" s="2265"/>
      <c r="R724" s="2265"/>
      <c r="S724" s="2266"/>
      <c r="T724" s="2264" t="s">
        <v>292</v>
      </c>
      <c r="U724" s="2265"/>
      <c r="V724" s="2265"/>
      <c r="W724" s="2265"/>
      <c r="X724" s="2266"/>
      <c r="Y724" s="2264" t="s">
        <v>293</v>
      </c>
      <c r="Z724" s="2265"/>
      <c r="AA724" s="2265"/>
      <c r="AB724" s="2266"/>
      <c r="AC724" s="2264" t="s">
        <v>294</v>
      </c>
      <c r="AD724" s="2265"/>
      <c r="AE724" s="2265"/>
      <c r="AF724" s="2265"/>
      <c r="AG724" s="2266"/>
      <c r="AH724" s="2264" t="s">
        <v>408</v>
      </c>
      <c r="AI724" s="2265"/>
      <c r="AJ724" s="2265"/>
      <c r="AK724" s="2265"/>
      <c r="AL724" s="2266"/>
      <c r="AM724" s="2264" t="s">
        <v>682</v>
      </c>
      <c r="AN724" s="2265"/>
      <c r="AO724" s="2266"/>
      <c r="AP724" s="239"/>
      <c r="AQ724" s="239"/>
      <c r="AR724" s="239"/>
      <c r="AS724" s="239"/>
      <c r="AT724" s="239"/>
      <c r="AU724" s="239"/>
      <c r="AV724" s="239"/>
      <c r="AW724" s="239"/>
      <c r="AX724" s="239"/>
      <c r="AY724" s="239"/>
      <c r="AZ724" s="58"/>
      <c r="BA724" s="58"/>
      <c r="BB724" s="58"/>
      <c r="BC724" s="58"/>
      <c r="BD724" s="58"/>
      <c r="BE724" s="58"/>
      <c r="BF724" s="58"/>
      <c r="BG724" s="457">
        <f t="shared" si="51"/>
        <v>0</v>
      </c>
      <c r="BH724" s="460">
        <f t="shared" si="53"/>
        <v>0</v>
      </c>
      <c r="BI724" s="461" t="str">
        <f t="shared" si="52"/>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67"/>
      <c r="C725" s="2268"/>
      <c r="D725" s="2268"/>
      <c r="E725" s="2268"/>
      <c r="F725" s="2269"/>
      <c r="G725" s="2267"/>
      <c r="H725" s="2268"/>
      <c r="I725" s="2268"/>
      <c r="J725" s="2269"/>
      <c r="K725" s="2276"/>
      <c r="L725" s="2277"/>
      <c r="M725" s="2277"/>
      <c r="N725" s="2278"/>
      <c r="O725" s="2267"/>
      <c r="P725" s="2268"/>
      <c r="Q725" s="2268"/>
      <c r="R725" s="2268"/>
      <c r="S725" s="2269"/>
      <c r="T725" s="2267"/>
      <c r="U725" s="2268"/>
      <c r="V725" s="2268"/>
      <c r="W725" s="2268"/>
      <c r="X725" s="2269"/>
      <c r="Y725" s="2267"/>
      <c r="Z725" s="2268"/>
      <c r="AA725" s="2268"/>
      <c r="AB725" s="2269"/>
      <c r="AC725" s="2267"/>
      <c r="AD725" s="2268"/>
      <c r="AE725" s="2268"/>
      <c r="AF725" s="2268"/>
      <c r="AG725" s="2269"/>
      <c r="AH725" s="2267"/>
      <c r="AI725" s="2268"/>
      <c r="AJ725" s="2268"/>
      <c r="AK725" s="2268"/>
      <c r="AL725" s="2269"/>
      <c r="AM725" s="2267"/>
      <c r="AN725" s="2268"/>
      <c r="AO725" s="2269"/>
      <c r="AP725" s="239"/>
      <c r="AQ725" s="239"/>
      <c r="AR725" s="239"/>
      <c r="AS725" s="239"/>
      <c r="AT725" s="239"/>
      <c r="AU725" s="239"/>
      <c r="AV725" s="239"/>
      <c r="AW725" s="239"/>
      <c r="AX725" s="239"/>
      <c r="AY725" s="239"/>
      <c r="AZ725" s="58"/>
      <c r="BA725" s="58"/>
      <c r="BB725" s="58"/>
      <c r="BC725" s="58"/>
      <c r="BD725" s="58"/>
      <c r="BE725" s="58"/>
      <c r="BF725" s="58"/>
      <c r="BG725" s="457">
        <f t="shared" si="51"/>
        <v>0</v>
      </c>
      <c r="BH725" s="460">
        <f t="shared" si="53"/>
        <v>0</v>
      </c>
      <c r="BI725" s="461" t="str">
        <f t="shared" si="52"/>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67"/>
      <c r="C726" s="2268"/>
      <c r="D726" s="2268"/>
      <c r="E726" s="2268"/>
      <c r="F726" s="2269"/>
      <c r="G726" s="2267"/>
      <c r="H726" s="2268"/>
      <c r="I726" s="2268"/>
      <c r="J726" s="2269"/>
      <c r="K726" s="2276"/>
      <c r="L726" s="2277"/>
      <c r="M726" s="2277"/>
      <c r="N726" s="2278"/>
      <c r="O726" s="2267"/>
      <c r="P726" s="2268"/>
      <c r="Q726" s="2268"/>
      <c r="R726" s="2268"/>
      <c r="S726" s="2269"/>
      <c r="T726" s="2267"/>
      <c r="U726" s="2268"/>
      <c r="V726" s="2268"/>
      <c r="W726" s="2268"/>
      <c r="X726" s="2269"/>
      <c r="Y726" s="2267"/>
      <c r="Z726" s="2268"/>
      <c r="AA726" s="2268"/>
      <c r="AB726" s="2269"/>
      <c r="AC726" s="2267"/>
      <c r="AD726" s="2268"/>
      <c r="AE726" s="2268"/>
      <c r="AF726" s="2268"/>
      <c r="AG726" s="2269"/>
      <c r="AH726" s="2267"/>
      <c r="AI726" s="2268"/>
      <c r="AJ726" s="2268"/>
      <c r="AK726" s="2268"/>
      <c r="AL726" s="2269"/>
      <c r="AM726" s="2267"/>
      <c r="AN726" s="2268"/>
      <c r="AO726" s="2269"/>
      <c r="AP726" s="239"/>
      <c r="AQ726" s="239"/>
      <c r="AR726" s="239"/>
      <c r="AS726" s="239"/>
      <c r="AT726" s="239"/>
      <c r="AU726" s="239"/>
      <c r="AV726" s="239"/>
      <c r="AW726" s="239"/>
      <c r="AX726" s="239"/>
      <c r="AY726" s="239"/>
      <c r="AZ726" s="58"/>
      <c r="BA726" s="58"/>
      <c r="BB726" s="58"/>
      <c r="BC726" s="58"/>
      <c r="BD726" s="58"/>
      <c r="BE726" s="58"/>
      <c r="BF726" s="58"/>
      <c r="BG726" s="457">
        <f t="shared" si="51"/>
        <v>0</v>
      </c>
      <c r="BH726" s="460">
        <f t="shared" si="53"/>
        <v>0</v>
      </c>
      <c r="BI726" s="461" t="str">
        <f t="shared" si="52"/>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70"/>
      <c r="C727" s="2271"/>
      <c r="D727" s="2271"/>
      <c r="E727" s="2271"/>
      <c r="F727" s="2272"/>
      <c r="G727" s="2270"/>
      <c r="H727" s="2271"/>
      <c r="I727" s="2271"/>
      <c r="J727" s="2272"/>
      <c r="K727" s="2276"/>
      <c r="L727" s="2277"/>
      <c r="M727" s="2277"/>
      <c r="N727" s="2278"/>
      <c r="O727" s="2270"/>
      <c r="P727" s="2271"/>
      <c r="Q727" s="2271"/>
      <c r="R727" s="2271"/>
      <c r="S727" s="2272"/>
      <c r="T727" s="2270"/>
      <c r="U727" s="2271"/>
      <c r="V727" s="2271"/>
      <c r="W727" s="2271"/>
      <c r="X727" s="2272"/>
      <c r="Y727" s="2270"/>
      <c r="Z727" s="2271"/>
      <c r="AA727" s="2271"/>
      <c r="AB727" s="2272"/>
      <c r="AC727" s="2270"/>
      <c r="AD727" s="2271"/>
      <c r="AE727" s="2271"/>
      <c r="AF727" s="2271"/>
      <c r="AG727" s="2272"/>
      <c r="AH727" s="2270"/>
      <c r="AI727" s="2271"/>
      <c r="AJ727" s="2271"/>
      <c r="AK727" s="2271"/>
      <c r="AL727" s="2272"/>
      <c r="AM727" s="2270"/>
      <c r="AN727" s="2271"/>
      <c r="AO727" s="2272"/>
      <c r="AP727" s="239"/>
      <c r="AQ727" s="239"/>
      <c r="AR727" s="239"/>
      <c r="AS727" s="239"/>
      <c r="AT727" s="239"/>
      <c r="AU727" s="239"/>
      <c r="AV727" s="239"/>
      <c r="AW727" s="239"/>
      <c r="AX727" s="239"/>
      <c r="AY727" s="239"/>
      <c r="AZ727" s="58"/>
      <c r="BA727" s="58"/>
      <c r="BB727" s="58"/>
      <c r="BC727" s="58"/>
      <c r="BD727" s="58"/>
      <c r="BE727" s="58"/>
      <c r="BF727" s="58"/>
      <c r="BG727" s="1421">
        <f t="shared" si="51"/>
        <v>0</v>
      </c>
      <c r="BH727" s="460">
        <f t="shared" si="53"/>
        <v>0</v>
      </c>
      <c r="BI727" s="461" t="str">
        <f t="shared" si="52"/>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92" t="s">
        <v>334</v>
      </c>
      <c r="C728" s="2193"/>
      <c r="D728" s="2193"/>
      <c r="E728" s="2193"/>
      <c r="F728" s="2194"/>
      <c r="G728" s="2320">
        <v>2</v>
      </c>
      <c r="H728" s="2321"/>
      <c r="I728" s="2321"/>
      <c r="J728" s="2322"/>
      <c r="K728" s="2206">
        <v>576</v>
      </c>
      <c r="L728" s="2207"/>
      <c r="M728" s="2207"/>
      <c r="N728" s="2208"/>
      <c r="O728" s="2242">
        <v>890</v>
      </c>
      <c r="P728" s="2243"/>
      <c r="Q728" s="2243"/>
      <c r="R728" s="2243"/>
      <c r="S728" s="2244"/>
      <c r="T728" s="2018">
        <f t="shared" ref="T728:T752" si="54">G728*O728</f>
        <v>1780</v>
      </c>
      <c r="U728" s="2019"/>
      <c r="V728" s="2019"/>
      <c r="W728" s="2019"/>
      <c r="X728" s="2020"/>
      <c r="Y728" s="2242">
        <v>42</v>
      </c>
      <c r="Z728" s="2243"/>
      <c r="AA728" s="2243"/>
      <c r="AB728" s="2244"/>
      <c r="AC728" s="2018">
        <f t="shared" ref="AC728:AC752" si="55">O728+Y728</f>
        <v>932</v>
      </c>
      <c r="AD728" s="2019"/>
      <c r="AE728" s="2019"/>
      <c r="AF728" s="2019"/>
      <c r="AG728" s="2020"/>
      <c r="AH728" s="2021">
        <v>0.3</v>
      </c>
      <c r="AI728" s="2022"/>
      <c r="AJ728" s="2022"/>
      <c r="AK728" s="2022"/>
      <c r="AL728" s="2023"/>
      <c r="AM728" s="2011">
        <f t="shared" ref="AM728:AM752" si="56">IF($AH728&gt;0,($AC728/$BA670), " ")</f>
        <v>0.30006439150032194</v>
      </c>
      <c r="AN728" s="2012"/>
      <c r="AO728" s="2013"/>
      <c r="AP728" s="239"/>
      <c r="AQ728" s="239"/>
      <c r="AR728" s="239"/>
      <c r="AS728" s="239"/>
      <c r="AT728" s="239"/>
      <c r="AU728" s="239"/>
      <c r="AV728" s="239"/>
      <c r="AW728" s="239"/>
      <c r="AX728" s="239"/>
      <c r="AY728" s="239"/>
      <c r="AZ728" s="58"/>
      <c r="BA728" s="58"/>
      <c r="BB728" s="58"/>
      <c r="BC728" s="58"/>
      <c r="BD728" s="58"/>
      <c r="BE728" s="58"/>
      <c r="BF728" s="58"/>
      <c r="BG728" s="1420">
        <f>SUM(BG703:BG727)</f>
        <v>246</v>
      </c>
      <c r="BH728" s="463">
        <f>SUM(BH703:BH727)</f>
        <v>0.99999999999999978</v>
      </c>
      <c r="BI728" s="463">
        <f>SUM(BI703:BI727)</f>
        <v>0.55938753616963632</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92" t="s">
        <v>334</v>
      </c>
      <c r="C729" s="2193"/>
      <c r="D729" s="2193"/>
      <c r="E729" s="2193"/>
      <c r="F729" s="2194"/>
      <c r="G729" s="2320">
        <v>3</v>
      </c>
      <c r="H729" s="2321"/>
      <c r="I729" s="2321"/>
      <c r="J729" s="2322"/>
      <c r="K729" s="2206">
        <v>576</v>
      </c>
      <c r="L729" s="2207"/>
      <c r="M729" s="2207"/>
      <c r="N729" s="2208"/>
      <c r="O729" s="2242">
        <v>1511</v>
      </c>
      <c r="P729" s="2243"/>
      <c r="Q729" s="2243"/>
      <c r="R729" s="2243"/>
      <c r="S729" s="2244"/>
      <c r="T729" s="2018">
        <f t="shared" si="54"/>
        <v>4533</v>
      </c>
      <c r="U729" s="2019"/>
      <c r="V729" s="2019"/>
      <c r="W729" s="2019"/>
      <c r="X729" s="2020"/>
      <c r="Y729" s="2242">
        <v>42</v>
      </c>
      <c r="Z729" s="2243"/>
      <c r="AA729" s="2243"/>
      <c r="AB729" s="2244"/>
      <c r="AC729" s="2018">
        <f t="shared" si="55"/>
        <v>1553</v>
      </c>
      <c r="AD729" s="2019"/>
      <c r="AE729" s="2019"/>
      <c r="AF729" s="2019"/>
      <c r="AG729" s="2020"/>
      <c r="AH729" s="2021">
        <v>0.5</v>
      </c>
      <c r="AI729" s="2022"/>
      <c r="AJ729" s="2022"/>
      <c r="AK729" s="2022"/>
      <c r="AL729" s="2023"/>
      <c r="AM729" s="2011">
        <f t="shared" si="56"/>
        <v>0.5</v>
      </c>
      <c r="AN729" s="2012"/>
      <c r="AO729" s="201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92" t="s">
        <v>334</v>
      </c>
      <c r="C730" s="2193"/>
      <c r="D730" s="2193"/>
      <c r="E730" s="2193"/>
      <c r="F730" s="2194"/>
      <c r="G730" s="2320">
        <v>19</v>
      </c>
      <c r="H730" s="2321"/>
      <c r="I730" s="2321"/>
      <c r="J730" s="2322"/>
      <c r="K730" s="2206">
        <v>576</v>
      </c>
      <c r="L730" s="2207"/>
      <c r="M730" s="2207"/>
      <c r="N730" s="2208"/>
      <c r="O730" s="2242">
        <v>1822</v>
      </c>
      <c r="P730" s="2243"/>
      <c r="Q730" s="2243"/>
      <c r="R730" s="2243"/>
      <c r="S730" s="2244"/>
      <c r="T730" s="2018">
        <f t="shared" si="54"/>
        <v>34618</v>
      </c>
      <c r="U730" s="2019"/>
      <c r="V730" s="2019"/>
      <c r="W730" s="2019"/>
      <c r="X730" s="2020"/>
      <c r="Y730" s="2242">
        <v>42</v>
      </c>
      <c r="Z730" s="2243"/>
      <c r="AA730" s="2243"/>
      <c r="AB730" s="2244"/>
      <c r="AC730" s="2018">
        <f t="shared" si="55"/>
        <v>1864</v>
      </c>
      <c r="AD730" s="2019"/>
      <c r="AE730" s="2019"/>
      <c r="AF730" s="2019"/>
      <c r="AG730" s="2020"/>
      <c r="AH730" s="2021">
        <v>0.6</v>
      </c>
      <c r="AI730" s="2022"/>
      <c r="AJ730" s="2022"/>
      <c r="AK730" s="2022"/>
      <c r="AL730" s="2023"/>
      <c r="AM730" s="2011">
        <f t="shared" si="56"/>
        <v>0.60012878300064387</v>
      </c>
      <c r="AN730" s="2012"/>
      <c r="AO730" s="201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92" t="s">
        <v>334</v>
      </c>
      <c r="C731" s="2193"/>
      <c r="D731" s="2193"/>
      <c r="E731" s="2193"/>
      <c r="F731" s="2194"/>
      <c r="G731" s="2320">
        <v>5</v>
      </c>
      <c r="H731" s="2321"/>
      <c r="I731" s="2321"/>
      <c r="J731" s="2322"/>
      <c r="K731" s="2206">
        <v>543</v>
      </c>
      <c r="L731" s="2207"/>
      <c r="M731" s="2207"/>
      <c r="N731" s="2208"/>
      <c r="O731" s="2242">
        <v>890</v>
      </c>
      <c r="P731" s="2243"/>
      <c r="Q731" s="2243"/>
      <c r="R731" s="2243"/>
      <c r="S731" s="2244"/>
      <c r="T731" s="2018">
        <f t="shared" si="54"/>
        <v>4450</v>
      </c>
      <c r="U731" s="2019"/>
      <c r="V731" s="2019"/>
      <c r="W731" s="2019"/>
      <c r="X731" s="2020"/>
      <c r="Y731" s="2242">
        <v>42</v>
      </c>
      <c r="Z731" s="2243"/>
      <c r="AA731" s="2243"/>
      <c r="AB731" s="2244"/>
      <c r="AC731" s="2018">
        <f t="shared" si="55"/>
        <v>932</v>
      </c>
      <c r="AD731" s="2019"/>
      <c r="AE731" s="2019"/>
      <c r="AF731" s="2019"/>
      <c r="AG731" s="2020"/>
      <c r="AH731" s="2021">
        <v>0.3</v>
      </c>
      <c r="AI731" s="2022"/>
      <c r="AJ731" s="2022"/>
      <c r="AK731" s="2022"/>
      <c r="AL731" s="2023"/>
      <c r="AM731" s="2011">
        <f t="shared" si="56"/>
        <v>0.30006439150032194</v>
      </c>
      <c r="AN731" s="2012"/>
      <c r="AO731" s="201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92" t="s">
        <v>334</v>
      </c>
      <c r="C732" s="2193"/>
      <c r="D732" s="2193"/>
      <c r="E732" s="2193"/>
      <c r="F732" s="2194"/>
      <c r="G732" s="2320">
        <v>4</v>
      </c>
      <c r="H732" s="2321"/>
      <c r="I732" s="2321"/>
      <c r="J732" s="2322"/>
      <c r="K732" s="2206">
        <v>543</v>
      </c>
      <c r="L732" s="2207"/>
      <c r="M732" s="2207"/>
      <c r="N732" s="2208"/>
      <c r="O732" s="2242">
        <v>1511</v>
      </c>
      <c r="P732" s="2243"/>
      <c r="Q732" s="2243"/>
      <c r="R732" s="2243"/>
      <c r="S732" s="2244"/>
      <c r="T732" s="2018">
        <f t="shared" si="54"/>
        <v>6044</v>
      </c>
      <c r="U732" s="2019"/>
      <c r="V732" s="2019"/>
      <c r="W732" s="2019"/>
      <c r="X732" s="2020"/>
      <c r="Y732" s="2242">
        <v>42</v>
      </c>
      <c r="Z732" s="2243"/>
      <c r="AA732" s="2243"/>
      <c r="AB732" s="2244"/>
      <c r="AC732" s="2018">
        <f t="shared" si="55"/>
        <v>1553</v>
      </c>
      <c r="AD732" s="2019"/>
      <c r="AE732" s="2019"/>
      <c r="AF732" s="2019"/>
      <c r="AG732" s="2020"/>
      <c r="AH732" s="2021">
        <v>0.5</v>
      </c>
      <c r="AI732" s="2022"/>
      <c r="AJ732" s="2022"/>
      <c r="AK732" s="2022"/>
      <c r="AL732" s="2023"/>
      <c r="AM732" s="2011">
        <f t="shared" si="56"/>
        <v>0.5</v>
      </c>
      <c r="AN732" s="2012"/>
      <c r="AO732" s="201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92" t="s">
        <v>334</v>
      </c>
      <c r="C733" s="2193"/>
      <c r="D733" s="2193"/>
      <c r="E733" s="2193"/>
      <c r="F733" s="2194"/>
      <c r="G733" s="2320">
        <v>37</v>
      </c>
      <c r="H733" s="2321"/>
      <c r="I733" s="2321"/>
      <c r="J733" s="2322"/>
      <c r="K733" s="2206">
        <v>543</v>
      </c>
      <c r="L733" s="2207"/>
      <c r="M733" s="2207"/>
      <c r="N733" s="2208"/>
      <c r="O733" s="2242">
        <v>1822</v>
      </c>
      <c r="P733" s="2243"/>
      <c r="Q733" s="2243"/>
      <c r="R733" s="2243"/>
      <c r="S733" s="2244"/>
      <c r="T733" s="2018">
        <f t="shared" si="54"/>
        <v>67414</v>
      </c>
      <c r="U733" s="2019"/>
      <c r="V733" s="2019"/>
      <c r="W733" s="2019"/>
      <c r="X733" s="2020"/>
      <c r="Y733" s="2242">
        <v>42</v>
      </c>
      <c r="Z733" s="2243"/>
      <c r="AA733" s="2243"/>
      <c r="AB733" s="2244"/>
      <c r="AC733" s="2018">
        <f t="shared" si="55"/>
        <v>1864</v>
      </c>
      <c r="AD733" s="2019"/>
      <c r="AE733" s="2019"/>
      <c r="AF733" s="2019"/>
      <c r="AG733" s="2020"/>
      <c r="AH733" s="2021">
        <v>0.6</v>
      </c>
      <c r="AI733" s="2022"/>
      <c r="AJ733" s="2022"/>
      <c r="AK733" s="2022"/>
      <c r="AL733" s="2023"/>
      <c r="AM733" s="2011">
        <f t="shared" si="56"/>
        <v>0.60012878300064387</v>
      </c>
      <c r="AN733" s="2012"/>
      <c r="AO733" s="201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92" t="s">
        <v>168</v>
      </c>
      <c r="C734" s="2193"/>
      <c r="D734" s="2193"/>
      <c r="E734" s="2193"/>
      <c r="F734" s="2194"/>
      <c r="G734" s="2320">
        <v>7</v>
      </c>
      <c r="H734" s="2321"/>
      <c r="I734" s="2321"/>
      <c r="J734" s="2322"/>
      <c r="K734" s="2206">
        <v>760</v>
      </c>
      <c r="L734" s="2207"/>
      <c r="M734" s="2207"/>
      <c r="N734" s="2208"/>
      <c r="O734" s="2242">
        <v>1062</v>
      </c>
      <c r="P734" s="2243"/>
      <c r="Q734" s="2243"/>
      <c r="R734" s="2243"/>
      <c r="S734" s="2244"/>
      <c r="T734" s="2018">
        <f t="shared" si="54"/>
        <v>7434</v>
      </c>
      <c r="U734" s="2019"/>
      <c r="V734" s="2019"/>
      <c r="W734" s="2019"/>
      <c r="X734" s="2020"/>
      <c r="Y734" s="2242">
        <v>57</v>
      </c>
      <c r="Z734" s="2243"/>
      <c r="AA734" s="2243"/>
      <c r="AB734" s="2244"/>
      <c r="AC734" s="2018">
        <f t="shared" si="55"/>
        <v>1119</v>
      </c>
      <c r="AD734" s="2019"/>
      <c r="AE734" s="2019"/>
      <c r="AF734" s="2019"/>
      <c r="AG734" s="2020"/>
      <c r="AH734" s="2021">
        <v>0.3</v>
      </c>
      <c r="AI734" s="2022"/>
      <c r="AJ734" s="2022"/>
      <c r="AK734" s="2022"/>
      <c r="AL734" s="2023"/>
      <c r="AM734" s="2011">
        <f t="shared" si="56"/>
        <v>0.3</v>
      </c>
      <c r="AN734" s="2012"/>
      <c r="AO734" s="201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92" t="s">
        <v>168</v>
      </c>
      <c r="C735" s="2193"/>
      <c r="D735" s="2193"/>
      <c r="E735" s="2193"/>
      <c r="F735" s="2194"/>
      <c r="G735" s="2320">
        <v>7</v>
      </c>
      <c r="H735" s="2321"/>
      <c r="I735" s="2321"/>
      <c r="J735" s="2322"/>
      <c r="K735" s="2206">
        <v>760</v>
      </c>
      <c r="L735" s="2207"/>
      <c r="M735" s="2207"/>
      <c r="N735" s="2208"/>
      <c r="O735" s="2242">
        <v>1808</v>
      </c>
      <c r="P735" s="2243"/>
      <c r="Q735" s="2243"/>
      <c r="R735" s="2243"/>
      <c r="S735" s="2244"/>
      <c r="T735" s="2018">
        <f t="shared" si="54"/>
        <v>12656</v>
      </c>
      <c r="U735" s="2019"/>
      <c r="V735" s="2019"/>
      <c r="W735" s="2019"/>
      <c r="X735" s="2020"/>
      <c r="Y735" s="2242">
        <v>57</v>
      </c>
      <c r="Z735" s="2243"/>
      <c r="AA735" s="2243"/>
      <c r="AB735" s="2244"/>
      <c r="AC735" s="2018">
        <f t="shared" si="55"/>
        <v>1865</v>
      </c>
      <c r="AD735" s="2019"/>
      <c r="AE735" s="2019"/>
      <c r="AF735" s="2019"/>
      <c r="AG735" s="2020"/>
      <c r="AH735" s="2021">
        <v>0.5</v>
      </c>
      <c r="AI735" s="2022"/>
      <c r="AJ735" s="2022"/>
      <c r="AK735" s="2022"/>
      <c r="AL735" s="2023"/>
      <c r="AM735" s="2011">
        <f t="shared" si="56"/>
        <v>0.5</v>
      </c>
      <c r="AN735" s="2012"/>
      <c r="AO735" s="201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92" t="s">
        <v>168</v>
      </c>
      <c r="C736" s="2193"/>
      <c r="D736" s="2193"/>
      <c r="E736" s="2193"/>
      <c r="F736" s="2194"/>
      <c r="G736" s="2320">
        <v>58</v>
      </c>
      <c r="H736" s="2321"/>
      <c r="I736" s="2321"/>
      <c r="J736" s="2322"/>
      <c r="K736" s="2206">
        <v>760</v>
      </c>
      <c r="L736" s="2207"/>
      <c r="M736" s="2207"/>
      <c r="N736" s="2208"/>
      <c r="O736" s="2242">
        <v>2181</v>
      </c>
      <c r="P736" s="2243"/>
      <c r="Q736" s="2243"/>
      <c r="R736" s="2243"/>
      <c r="S736" s="2244"/>
      <c r="T736" s="2018">
        <f t="shared" si="54"/>
        <v>126498</v>
      </c>
      <c r="U736" s="2019"/>
      <c r="V736" s="2019"/>
      <c r="W736" s="2019"/>
      <c r="X736" s="2020"/>
      <c r="Y736" s="2242">
        <v>57</v>
      </c>
      <c r="Z736" s="2243"/>
      <c r="AA736" s="2243"/>
      <c r="AB736" s="2244"/>
      <c r="AC736" s="2018">
        <f t="shared" si="55"/>
        <v>2238</v>
      </c>
      <c r="AD736" s="2019"/>
      <c r="AE736" s="2019"/>
      <c r="AF736" s="2019"/>
      <c r="AG736" s="2020"/>
      <c r="AH736" s="2021">
        <v>0.6</v>
      </c>
      <c r="AI736" s="2022"/>
      <c r="AJ736" s="2022"/>
      <c r="AK736" s="2022"/>
      <c r="AL736" s="2023"/>
      <c r="AM736" s="2011">
        <f t="shared" si="56"/>
        <v>0.6</v>
      </c>
      <c r="AN736" s="2012"/>
      <c r="AO736" s="201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92" t="s">
        <v>168</v>
      </c>
      <c r="C737" s="2193"/>
      <c r="D737" s="2193"/>
      <c r="E737" s="2193"/>
      <c r="F737" s="2194"/>
      <c r="G737" s="2320">
        <v>4</v>
      </c>
      <c r="H737" s="2321"/>
      <c r="I737" s="2321"/>
      <c r="J737" s="2322"/>
      <c r="K737" s="2206">
        <v>748</v>
      </c>
      <c r="L737" s="2207"/>
      <c r="M737" s="2207"/>
      <c r="N737" s="2208"/>
      <c r="O737" s="2242">
        <v>1062</v>
      </c>
      <c r="P737" s="2243"/>
      <c r="Q737" s="2243"/>
      <c r="R737" s="2243"/>
      <c r="S737" s="2244"/>
      <c r="T737" s="2018">
        <f t="shared" si="54"/>
        <v>4248</v>
      </c>
      <c r="U737" s="2019"/>
      <c r="V737" s="2019"/>
      <c r="W737" s="2019"/>
      <c r="X737" s="2020"/>
      <c r="Y737" s="2242">
        <v>57</v>
      </c>
      <c r="Z737" s="2243"/>
      <c r="AA737" s="2243"/>
      <c r="AB737" s="2244"/>
      <c r="AC737" s="2018">
        <f t="shared" si="55"/>
        <v>1119</v>
      </c>
      <c r="AD737" s="2019"/>
      <c r="AE737" s="2019"/>
      <c r="AF737" s="2019"/>
      <c r="AG737" s="2020"/>
      <c r="AH737" s="2021">
        <v>0.3</v>
      </c>
      <c r="AI737" s="2022"/>
      <c r="AJ737" s="2022"/>
      <c r="AK737" s="2022"/>
      <c r="AL737" s="2023"/>
      <c r="AM737" s="2011">
        <f t="shared" si="56"/>
        <v>0.3</v>
      </c>
      <c r="AN737" s="2012"/>
      <c r="AO737" s="201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92" t="s">
        <v>168</v>
      </c>
      <c r="C738" s="2193"/>
      <c r="D738" s="2193"/>
      <c r="E738" s="2193"/>
      <c r="F738" s="2194"/>
      <c r="G738" s="2320">
        <v>5</v>
      </c>
      <c r="H738" s="2321"/>
      <c r="I738" s="2321"/>
      <c r="J738" s="2322"/>
      <c r="K738" s="2206">
        <v>748</v>
      </c>
      <c r="L738" s="2207"/>
      <c r="M738" s="2207"/>
      <c r="N738" s="2208"/>
      <c r="O738" s="2242">
        <v>1808</v>
      </c>
      <c r="P738" s="2243"/>
      <c r="Q738" s="2243"/>
      <c r="R738" s="2243"/>
      <c r="S738" s="2244"/>
      <c r="T738" s="2018">
        <f t="shared" si="54"/>
        <v>9040</v>
      </c>
      <c r="U738" s="2019"/>
      <c r="V738" s="2019"/>
      <c r="W738" s="2019"/>
      <c r="X738" s="2020"/>
      <c r="Y738" s="2242">
        <v>57</v>
      </c>
      <c r="Z738" s="2243"/>
      <c r="AA738" s="2243"/>
      <c r="AB738" s="2244"/>
      <c r="AC738" s="2018">
        <f t="shared" si="55"/>
        <v>1865</v>
      </c>
      <c r="AD738" s="2019"/>
      <c r="AE738" s="2019"/>
      <c r="AF738" s="2019"/>
      <c r="AG738" s="2020"/>
      <c r="AH738" s="2021">
        <v>0.5</v>
      </c>
      <c r="AI738" s="2022"/>
      <c r="AJ738" s="2022"/>
      <c r="AK738" s="2022"/>
      <c r="AL738" s="2023"/>
      <c r="AM738" s="2011">
        <f t="shared" si="56"/>
        <v>0.5</v>
      </c>
      <c r="AN738" s="2012"/>
      <c r="AO738" s="201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92" t="s">
        <v>168</v>
      </c>
      <c r="C739" s="2193"/>
      <c r="D739" s="2193"/>
      <c r="E739" s="2193"/>
      <c r="F739" s="2194"/>
      <c r="G739" s="2320">
        <v>32</v>
      </c>
      <c r="H739" s="2321"/>
      <c r="I739" s="2321"/>
      <c r="J739" s="2322"/>
      <c r="K739" s="2206">
        <v>748</v>
      </c>
      <c r="L739" s="2207"/>
      <c r="M739" s="2207"/>
      <c r="N739" s="2208"/>
      <c r="O739" s="2242">
        <v>2181</v>
      </c>
      <c r="P739" s="2243"/>
      <c r="Q739" s="2243"/>
      <c r="R739" s="2243"/>
      <c r="S739" s="2244"/>
      <c r="T739" s="2018">
        <f t="shared" si="54"/>
        <v>69792</v>
      </c>
      <c r="U739" s="2019"/>
      <c r="V739" s="2019"/>
      <c r="W739" s="2019"/>
      <c r="X739" s="2020"/>
      <c r="Y739" s="2242">
        <v>57</v>
      </c>
      <c r="Z739" s="2243"/>
      <c r="AA739" s="2243"/>
      <c r="AB739" s="2244"/>
      <c r="AC739" s="2018">
        <f t="shared" si="55"/>
        <v>2238</v>
      </c>
      <c r="AD739" s="2019"/>
      <c r="AE739" s="2019"/>
      <c r="AF739" s="2019"/>
      <c r="AG739" s="2020"/>
      <c r="AH739" s="2021">
        <v>0.6</v>
      </c>
      <c r="AI739" s="2022"/>
      <c r="AJ739" s="2022"/>
      <c r="AK739" s="2022"/>
      <c r="AL739" s="2023"/>
      <c r="AM739" s="2011">
        <f t="shared" si="56"/>
        <v>0.6</v>
      </c>
      <c r="AN739" s="2012"/>
      <c r="AO739" s="201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92" t="s">
        <v>169</v>
      </c>
      <c r="C740" s="2193"/>
      <c r="D740" s="2193"/>
      <c r="E740" s="2193"/>
      <c r="F740" s="2194"/>
      <c r="G740" s="2320">
        <v>5</v>
      </c>
      <c r="H740" s="2321"/>
      <c r="I740" s="2321"/>
      <c r="J740" s="2322"/>
      <c r="K740" s="2206">
        <v>1066</v>
      </c>
      <c r="L740" s="2207"/>
      <c r="M740" s="2207"/>
      <c r="N740" s="2208"/>
      <c r="O740" s="2242">
        <v>1220</v>
      </c>
      <c r="P740" s="2243"/>
      <c r="Q740" s="2243"/>
      <c r="R740" s="2243"/>
      <c r="S740" s="2244"/>
      <c r="T740" s="2018">
        <f t="shared" si="54"/>
        <v>6100</v>
      </c>
      <c r="U740" s="2019"/>
      <c r="V740" s="2019"/>
      <c r="W740" s="2019"/>
      <c r="X740" s="2020"/>
      <c r="Y740" s="2242">
        <v>72</v>
      </c>
      <c r="Z740" s="2243"/>
      <c r="AA740" s="2243"/>
      <c r="AB740" s="2244"/>
      <c r="AC740" s="2018">
        <f t="shared" si="55"/>
        <v>1292</v>
      </c>
      <c r="AD740" s="2019"/>
      <c r="AE740" s="2019"/>
      <c r="AF740" s="2019"/>
      <c r="AG740" s="2020"/>
      <c r="AH740" s="2021">
        <v>0.3</v>
      </c>
      <c r="AI740" s="2022"/>
      <c r="AJ740" s="2022"/>
      <c r="AK740" s="2022"/>
      <c r="AL740" s="2023"/>
      <c r="AM740" s="2011">
        <f t="shared" si="56"/>
        <v>0.29990714948932218</v>
      </c>
      <c r="AN740" s="2012"/>
      <c r="AO740" s="201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92" t="s">
        <v>169</v>
      </c>
      <c r="C741" s="2193"/>
      <c r="D741" s="2193"/>
      <c r="E741" s="2193"/>
      <c r="F741" s="2194"/>
      <c r="G741" s="2320">
        <v>5</v>
      </c>
      <c r="H741" s="2321"/>
      <c r="I741" s="2321"/>
      <c r="J741" s="2322"/>
      <c r="K741" s="2206">
        <v>1066</v>
      </c>
      <c r="L741" s="2207"/>
      <c r="M741" s="2207"/>
      <c r="N741" s="2208"/>
      <c r="O741" s="2242">
        <v>2082</v>
      </c>
      <c r="P741" s="2243"/>
      <c r="Q741" s="2243"/>
      <c r="R741" s="2243"/>
      <c r="S741" s="2244"/>
      <c r="T741" s="2018">
        <f t="shared" si="54"/>
        <v>10410</v>
      </c>
      <c r="U741" s="2019"/>
      <c r="V741" s="2019"/>
      <c r="W741" s="2019"/>
      <c r="X741" s="2020"/>
      <c r="Y741" s="2242">
        <v>72</v>
      </c>
      <c r="Z741" s="2243"/>
      <c r="AA741" s="2243"/>
      <c r="AB741" s="2244"/>
      <c r="AC741" s="2018">
        <f t="shared" si="55"/>
        <v>2154</v>
      </c>
      <c r="AD741" s="2019"/>
      <c r="AE741" s="2019"/>
      <c r="AF741" s="2019"/>
      <c r="AG741" s="2020"/>
      <c r="AH741" s="2021">
        <v>0.5</v>
      </c>
      <c r="AI741" s="2022"/>
      <c r="AJ741" s="2022"/>
      <c r="AK741" s="2022"/>
      <c r="AL741" s="2023"/>
      <c r="AM741" s="2011">
        <f t="shared" si="56"/>
        <v>0.5</v>
      </c>
      <c r="AN741" s="2012"/>
      <c r="AO741" s="201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92" t="s">
        <v>169</v>
      </c>
      <c r="C742" s="2193"/>
      <c r="D742" s="2193"/>
      <c r="E742" s="2193"/>
      <c r="F742" s="2194"/>
      <c r="G742" s="2320">
        <v>41</v>
      </c>
      <c r="H742" s="2321"/>
      <c r="I742" s="2321"/>
      <c r="J742" s="2322"/>
      <c r="K742" s="2206">
        <v>1066</v>
      </c>
      <c r="L742" s="2207"/>
      <c r="M742" s="2207"/>
      <c r="N742" s="2208"/>
      <c r="O742" s="2242">
        <v>2513</v>
      </c>
      <c r="P742" s="2243"/>
      <c r="Q742" s="2243"/>
      <c r="R742" s="2243"/>
      <c r="S742" s="2244"/>
      <c r="T742" s="2018">
        <f t="shared" si="54"/>
        <v>103033</v>
      </c>
      <c r="U742" s="2019"/>
      <c r="V742" s="2019"/>
      <c r="W742" s="2019"/>
      <c r="X742" s="2020"/>
      <c r="Y742" s="2242">
        <v>72</v>
      </c>
      <c r="Z742" s="2243"/>
      <c r="AA742" s="2243"/>
      <c r="AB742" s="2244"/>
      <c r="AC742" s="2018">
        <f t="shared" si="55"/>
        <v>2585</v>
      </c>
      <c r="AD742" s="2019"/>
      <c r="AE742" s="2019"/>
      <c r="AF742" s="2019"/>
      <c r="AG742" s="2020"/>
      <c r="AH742" s="2021">
        <v>0.6</v>
      </c>
      <c r="AI742" s="2022"/>
      <c r="AJ742" s="2022"/>
      <c r="AK742" s="2022"/>
      <c r="AL742" s="2023"/>
      <c r="AM742" s="2011">
        <f t="shared" si="56"/>
        <v>0.60004642525533891</v>
      </c>
      <c r="AN742" s="2012"/>
      <c r="AO742" s="201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92" t="s">
        <v>169</v>
      </c>
      <c r="C743" s="2193"/>
      <c r="D743" s="2193"/>
      <c r="E743" s="2193"/>
      <c r="F743" s="2194"/>
      <c r="G743" s="2320">
        <v>1</v>
      </c>
      <c r="H743" s="2321"/>
      <c r="I743" s="2321"/>
      <c r="J743" s="2322"/>
      <c r="K743" s="2206">
        <v>1002</v>
      </c>
      <c r="L743" s="2207"/>
      <c r="M743" s="2207"/>
      <c r="N743" s="2208"/>
      <c r="O743" s="2242">
        <v>1220</v>
      </c>
      <c r="P743" s="2243"/>
      <c r="Q743" s="2243"/>
      <c r="R743" s="2243"/>
      <c r="S743" s="2244"/>
      <c r="T743" s="2018">
        <f t="shared" si="54"/>
        <v>1220</v>
      </c>
      <c r="U743" s="2019"/>
      <c r="V743" s="2019"/>
      <c r="W743" s="2019"/>
      <c r="X743" s="2020"/>
      <c r="Y743" s="2242">
        <v>72</v>
      </c>
      <c r="Z743" s="2243"/>
      <c r="AA743" s="2243"/>
      <c r="AB743" s="2244"/>
      <c r="AC743" s="2018">
        <f t="shared" si="55"/>
        <v>1292</v>
      </c>
      <c r="AD743" s="2019"/>
      <c r="AE743" s="2019"/>
      <c r="AF743" s="2019"/>
      <c r="AG743" s="2020"/>
      <c r="AH743" s="2021">
        <v>0.3</v>
      </c>
      <c r="AI743" s="2022"/>
      <c r="AJ743" s="2022"/>
      <c r="AK743" s="2022"/>
      <c r="AL743" s="2023"/>
      <c r="AM743" s="2011">
        <f t="shared" si="56"/>
        <v>0.29990714948932218</v>
      </c>
      <c r="AN743" s="2012"/>
      <c r="AO743" s="201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92" t="s">
        <v>169</v>
      </c>
      <c r="C744" s="2193"/>
      <c r="D744" s="2193"/>
      <c r="E744" s="2193"/>
      <c r="F744" s="2194"/>
      <c r="G744" s="2320">
        <v>1</v>
      </c>
      <c r="H744" s="2321"/>
      <c r="I744" s="2321"/>
      <c r="J744" s="2322"/>
      <c r="K744" s="2206">
        <v>1002</v>
      </c>
      <c r="L744" s="2207"/>
      <c r="M744" s="2207"/>
      <c r="N744" s="2208"/>
      <c r="O744" s="2242">
        <v>2082</v>
      </c>
      <c r="P744" s="2243"/>
      <c r="Q744" s="2243"/>
      <c r="R744" s="2243"/>
      <c r="S744" s="2244"/>
      <c r="T744" s="2018">
        <f t="shared" si="54"/>
        <v>2082</v>
      </c>
      <c r="U744" s="2019"/>
      <c r="V744" s="2019"/>
      <c r="W744" s="2019"/>
      <c r="X744" s="2020"/>
      <c r="Y744" s="2242">
        <v>72</v>
      </c>
      <c r="Z744" s="2243"/>
      <c r="AA744" s="2243"/>
      <c r="AB744" s="2244"/>
      <c r="AC744" s="2018">
        <f t="shared" si="55"/>
        <v>2154</v>
      </c>
      <c r="AD744" s="2019"/>
      <c r="AE744" s="2019"/>
      <c r="AF744" s="2019"/>
      <c r="AG744" s="2020"/>
      <c r="AH744" s="2021">
        <v>0.5</v>
      </c>
      <c r="AI744" s="2022"/>
      <c r="AJ744" s="2022"/>
      <c r="AK744" s="2022"/>
      <c r="AL744" s="2023"/>
      <c r="AM744" s="2011">
        <f t="shared" si="56"/>
        <v>0.5</v>
      </c>
      <c r="AN744" s="2012"/>
      <c r="AO744" s="201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92" t="s">
        <v>169</v>
      </c>
      <c r="C745" s="2193"/>
      <c r="D745" s="2193"/>
      <c r="E745" s="2193"/>
      <c r="F745" s="2194"/>
      <c r="G745" s="2320">
        <v>4</v>
      </c>
      <c r="H745" s="2321"/>
      <c r="I745" s="2321"/>
      <c r="J745" s="2322"/>
      <c r="K745" s="2206">
        <v>1002</v>
      </c>
      <c r="L745" s="2207"/>
      <c r="M745" s="2207"/>
      <c r="N745" s="2208"/>
      <c r="O745" s="2242">
        <v>2513</v>
      </c>
      <c r="P745" s="2243"/>
      <c r="Q745" s="2243"/>
      <c r="R745" s="2243"/>
      <c r="S745" s="2244"/>
      <c r="T745" s="2018">
        <f t="shared" si="54"/>
        <v>10052</v>
      </c>
      <c r="U745" s="2019"/>
      <c r="V745" s="2019"/>
      <c r="W745" s="2019"/>
      <c r="X745" s="2020"/>
      <c r="Y745" s="2242">
        <v>72</v>
      </c>
      <c r="Z745" s="2243"/>
      <c r="AA745" s="2243"/>
      <c r="AB745" s="2244"/>
      <c r="AC745" s="2018">
        <f t="shared" si="55"/>
        <v>2585</v>
      </c>
      <c r="AD745" s="2019"/>
      <c r="AE745" s="2019"/>
      <c r="AF745" s="2019"/>
      <c r="AG745" s="2020"/>
      <c r="AH745" s="2021">
        <v>0.6</v>
      </c>
      <c r="AI745" s="2022"/>
      <c r="AJ745" s="2022"/>
      <c r="AK745" s="2022"/>
      <c r="AL745" s="2023"/>
      <c r="AM745" s="2011">
        <f t="shared" si="56"/>
        <v>0.60004642525533891</v>
      </c>
      <c r="AN745" s="2012"/>
      <c r="AO745" s="201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92" t="s">
        <v>169</v>
      </c>
      <c r="C746" s="2193"/>
      <c r="D746" s="2193"/>
      <c r="E746" s="2193"/>
      <c r="F746" s="2194"/>
      <c r="G746" s="2320">
        <v>1</v>
      </c>
      <c r="H746" s="2321"/>
      <c r="I746" s="2321"/>
      <c r="J746" s="2322"/>
      <c r="K746" s="2206">
        <v>964</v>
      </c>
      <c r="L746" s="2207"/>
      <c r="M746" s="2207"/>
      <c r="N746" s="2208"/>
      <c r="O746" s="2242">
        <v>1220</v>
      </c>
      <c r="P746" s="2243"/>
      <c r="Q746" s="2243"/>
      <c r="R746" s="2243"/>
      <c r="S746" s="2244"/>
      <c r="T746" s="2018">
        <f t="shared" si="54"/>
        <v>1220</v>
      </c>
      <c r="U746" s="2019"/>
      <c r="V746" s="2019"/>
      <c r="W746" s="2019"/>
      <c r="X746" s="2020"/>
      <c r="Y746" s="2242">
        <v>72</v>
      </c>
      <c r="Z746" s="2243"/>
      <c r="AA746" s="2243"/>
      <c r="AB746" s="2244"/>
      <c r="AC746" s="2018">
        <f t="shared" si="55"/>
        <v>1292</v>
      </c>
      <c r="AD746" s="2019"/>
      <c r="AE746" s="2019"/>
      <c r="AF746" s="2019"/>
      <c r="AG746" s="2020"/>
      <c r="AH746" s="2021">
        <v>0.3</v>
      </c>
      <c r="AI746" s="2022"/>
      <c r="AJ746" s="2022"/>
      <c r="AK746" s="2022"/>
      <c r="AL746" s="2023"/>
      <c r="AM746" s="2011">
        <f t="shared" si="56"/>
        <v>0.29990714948932218</v>
      </c>
      <c r="AN746" s="2012"/>
      <c r="AO746" s="201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92" t="s">
        <v>169</v>
      </c>
      <c r="C747" s="2193"/>
      <c r="D747" s="2193"/>
      <c r="E747" s="2193"/>
      <c r="F747" s="2194"/>
      <c r="G747" s="2320">
        <v>5</v>
      </c>
      <c r="H747" s="2321"/>
      <c r="I747" s="2321"/>
      <c r="J747" s="2322"/>
      <c r="K747" s="2206">
        <v>964</v>
      </c>
      <c r="L747" s="2207"/>
      <c r="M747" s="2207"/>
      <c r="N747" s="2208"/>
      <c r="O747" s="2242">
        <v>2513</v>
      </c>
      <c r="P747" s="2243"/>
      <c r="Q747" s="2243"/>
      <c r="R747" s="2243"/>
      <c r="S747" s="2244"/>
      <c r="T747" s="2018">
        <f t="shared" si="54"/>
        <v>12565</v>
      </c>
      <c r="U747" s="2019"/>
      <c r="V747" s="2019"/>
      <c r="W747" s="2019"/>
      <c r="X747" s="2020"/>
      <c r="Y747" s="2242">
        <v>72</v>
      </c>
      <c r="Z747" s="2243"/>
      <c r="AA747" s="2243"/>
      <c r="AB747" s="2244"/>
      <c r="AC747" s="2018">
        <f t="shared" si="55"/>
        <v>2585</v>
      </c>
      <c r="AD747" s="2019"/>
      <c r="AE747" s="2019"/>
      <c r="AF747" s="2019"/>
      <c r="AG747" s="2020"/>
      <c r="AH747" s="2021">
        <v>0.6</v>
      </c>
      <c r="AI747" s="2022"/>
      <c r="AJ747" s="2022"/>
      <c r="AK747" s="2022"/>
      <c r="AL747" s="2023"/>
      <c r="AM747" s="2011">
        <f t="shared" si="56"/>
        <v>0.60004642525533891</v>
      </c>
      <c r="AN747" s="2012"/>
      <c r="AO747" s="201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92"/>
      <c r="C748" s="2193"/>
      <c r="D748" s="2193"/>
      <c r="E748" s="2193"/>
      <c r="F748" s="2194"/>
      <c r="G748" s="2320">
        <v>0</v>
      </c>
      <c r="H748" s="2321"/>
      <c r="I748" s="2321"/>
      <c r="J748" s="2322"/>
      <c r="K748" s="2206"/>
      <c r="L748" s="2207"/>
      <c r="M748" s="2207"/>
      <c r="N748" s="2208"/>
      <c r="O748" s="2242"/>
      <c r="P748" s="2243"/>
      <c r="Q748" s="2243"/>
      <c r="R748" s="2243"/>
      <c r="S748" s="2244"/>
      <c r="T748" s="2018">
        <f t="shared" si="54"/>
        <v>0</v>
      </c>
      <c r="U748" s="2019"/>
      <c r="V748" s="2019"/>
      <c r="W748" s="2019"/>
      <c r="X748" s="2020"/>
      <c r="Y748" s="2242">
        <v>0</v>
      </c>
      <c r="Z748" s="2243"/>
      <c r="AA748" s="2243"/>
      <c r="AB748" s="2244"/>
      <c r="AC748" s="2018">
        <f t="shared" si="55"/>
        <v>0</v>
      </c>
      <c r="AD748" s="2019"/>
      <c r="AE748" s="2019"/>
      <c r="AF748" s="2019"/>
      <c r="AG748" s="2020"/>
      <c r="AH748" s="2021">
        <v>0</v>
      </c>
      <c r="AI748" s="2022"/>
      <c r="AJ748" s="2022"/>
      <c r="AK748" s="2022"/>
      <c r="AL748" s="2023"/>
      <c r="AM748" s="2011" t="str">
        <f t="shared" si="56"/>
        <v xml:space="preserve"> </v>
      </c>
      <c r="AN748" s="2012"/>
      <c r="AO748" s="201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92"/>
      <c r="C749" s="2193"/>
      <c r="D749" s="2193"/>
      <c r="E749" s="2193"/>
      <c r="F749" s="2194"/>
      <c r="G749" s="2320"/>
      <c r="H749" s="2321"/>
      <c r="I749" s="2321"/>
      <c r="J749" s="2322"/>
      <c r="K749" s="2206"/>
      <c r="L749" s="2207"/>
      <c r="M749" s="2207"/>
      <c r="N749" s="2208"/>
      <c r="O749" s="2242"/>
      <c r="P749" s="2243"/>
      <c r="Q749" s="2243"/>
      <c r="R749" s="2243"/>
      <c r="S749" s="2244"/>
      <c r="T749" s="2018">
        <f t="shared" si="54"/>
        <v>0</v>
      </c>
      <c r="U749" s="2019"/>
      <c r="V749" s="2019"/>
      <c r="W749" s="2019"/>
      <c r="X749" s="2020"/>
      <c r="Y749" s="2242">
        <v>0</v>
      </c>
      <c r="Z749" s="2243"/>
      <c r="AA749" s="2243"/>
      <c r="AB749" s="2244"/>
      <c r="AC749" s="2018">
        <f t="shared" si="55"/>
        <v>0</v>
      </c>
      <c r="AD749" s="2019"/>
      <c r="AE749" s="2019"/>
      <c r="AF749" s="2019"/>
      <c r="AG749" s="2020"/>
      <c r="AH749" s="2021">
        <v>0</v>
      </c>
      <c r="AI749" s="2022"/>
      <c r="AJ749" s="2022"/>
      <c r="AK749" s="2022"/>
      <c r="AL749" s="2023"/>
      <c r="AM749" s="2011" t="str">
        <f t="shared" si="56"/>
        <v xml:space="preserve"> </v>
      </c>
      <c r="AN749" s="2012"/>
      <c r="AO749" s="201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2"/>
      <c r="C750" s="2193"/>
      <c r="D750" s="2193"/>
      <c r="E750" s="2193"/>
      <c r="F750" s="2194"/>
      <c r="G750" s="2320"/>
      <c r="H750" s="2321"/>
      <c r="I750" s="2321"/>
      <c r="J750" s="2322"/>
      <c r="K750" s="2206"/>
      <c r="L750" s="2207"/>
      <c r="M750" s="2207"/>
      <c r="N750" s="2208"/>
      <c r="O750" s="2242"/>
      <c r="P750" s="2243"/>
      <c r="Q750" s="2243"/>
      <c r="R750" s="2243"/>
      <c r="S750" s="2244"/>
      <c r="T750" s="2018">
        <f t="shared" si="54"/>
        <v>0</v>
      </c>
      <c r="U750" s="2019"/>
      <c r="V750" s="2019"/>
      <c r="W750" s="2019"/>
      <c r="X750" s="2020"/>
      <c r="Y750" s="2242">
        <v>0</v>
      </c>
      <c r="Z750" s="2243"/>
      <c r="AA750" s="2243"/>
      <c r="AB750" s="2244"/>
      <c r="AC750" s="2018">
        <f t="shared" si="55"/>
        <v>0</v>
      </c>
      <c r="AD750" s="2019"/>
      <c r="AE750" s="2019"/>
      <c r="AF750" s="2019"/>
      <c r="AG750" s="2020"/>
      <c r="AH750" s="2021">
        <v>0</v>
      </c>
      <c r="AI750" s="2022"/>
      <c r="AJ750" s="2022"/>
      <c r="AK750" s="2022"/>
      <c r="AL750" s="2023"/>
      <c r="AM750" s="2011" t="str">
        <f t="shared" si="56"/>
        <v xml:space="preserve"> </v>
      </c>
      <c r="AN750" s="2012"/>
      <c r="AO750" s="201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92"/>
      <c r="C751" s="2193"/>
      <c r="D751" s="2193"/>
      <c r="E751" s="2193"/>
      <c r="F751" s="2194"/>
      <c r="G751" s="2320"/>
      <c r="H751" s="2321"/>
      <c r="I751" s="2321"/>
      <c r="J751" s="2322"/>
      <c r="K751" s="2206"/>
      <c r="L751" s="2207"/>
      <c r="M751" s="2207"/>
      <c r="N751" s="2208"/>
      <c r="O751" s="2242"/>
      <c r="P751" s="2243"/>
      <c r="Q751" s="2243"/>
      <c r="R751" s="2243"/>
      <c r="S751" s="2244"/>
      <c r="T751" s="2018">
        <f t="shared" si="54"/>
        <v>0</v>
      </c>
      <c r="U751" s="2019"/>
      <c r="V751" s="2019"/>
      <c r="W751" s="2019"/>
      <c r="X751" s="2020"/>
      <c r="Y751" s="2242">
        <v>0</v>
      </c>
      <c r="Z751" s="2243"/>
      <c r="AA751" s="2243"/>
      <c r="AB751" s="2244"/>
      <c r="AC751" s="2018">
        <f t="shared" si="55"/>
        <v>0</v>
      </c>
      <c r="AD751" s="2019"/>
      <c r="AE751" s="2019"/>
      <c r="AF751" s="2019"/>
      <c r="AG751" s="2020"/>
      <c r="AH751" s="2021">
        <v>0</v>
      </c>
      <c r="AI751" s="2022"/>
      <c r="AJ751" s="2022"/>
      <c r="AK751" s="2022"/>
      <c r="AL751" s="2023"/>
      <c r="AM751" s="2011" t="str">
        <f t="shared" si="56"/>
        <v xml:space="preserve"> </v>
      </c>
      <c r="AN751" s="2012"/>
      <c r="AO751" s="201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92"/>
      <c r="C752" s="2193"/>
      <c r="D752" s="2193"/>
      <c r="E752" s="2193"/>
      <c r="F752" s="2194"/>
      <c r="G752" s="2320"/>
      <c r="H752" s="2321"/>
      <c r="I752" s="2321"/>
      <c r="J752" s="2322"/>
      <c r="K752" s="2206"/>
      <c r="L752" s="2207"/>
      <c r="M752" s="2207"/>
      <c r="N752" s="2208"/>
      <c r="O752" s="2242"/>
      <c r="P752" s="2243"/>
      <c r="Q752" s="2243"/>
      <c r="R752" s="2243"/>
      <c r="S752" s="2244"/>
      <c r="T752" s="2018">
        <f t="shared" si="54"/>
        <v>0</v>
      </c>
      <c r="U752" s="2019"/>
      <c r="V752" s="2019"/>
      <c r="W752" s="2019"/>
      <c r="X752" s="2020"/>
      <c r="Y752" s="2242">
        <v>0</v>
      </c>
      <c r="Z752" s="2243"/>
      <c r="AA752" s="2243"/>
      <c r="AB752" s="2244"/>
      <c r="AC752" s="2018">
        <f t="shared" si="55"/>
        <v>0</v>
      </c>
      <c r="AD752" s="2019"/>
      <c r="AE752" s="2019"/>
      <c r="AF752" s="2019"/>
      <c r="AG752" s="2020"/>
      <c r="AH752" s="2021">
        <v>0</v>
      </c>
      <c r="AI752" s="2022"/>
      <c r="AJ752" s="2022"/>
      <c r="AK752" s="2022"/>
      <c r="AL752" s="2023"/>
      <c r="AM752" s="2011" t="str">
        <f t="shared" si="56"/>
        <v xml:space="preserve"> </v>
      </c>
      <c r="AN752" s="2012"/>
      <c r="AO752" s="201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36" t="s">
        <v>130</v>
      </c>
      <c r="C753" s="2337"/>
      <c r="D753" s="2337"/>
      <c r="E753" s="2337"/>
      <c r="F753" s="2338"/>
      <c r="G753" s="2409">
        <f>SUM(G728:J752)</f>
        <v>246</v>
      </c>
      <c r="H753" s="2410"/>
      <c r="I753" s="2410"/>
      <c r="J753" s="2411"/>
      <c r="O753" s="1583" t="s">
        <v>129</v>
      </c>
      <c r="P753" s="1584"/>
      <c r="Q753" s="1584"/>
      <c r="R753" s="1584"/>
      <c r="S753" s="1585"/>
      <c r="T753" s="2018">
        <f>SUM(T728:X752)</f>
        <v>495189</v>
      </c>
      <c r="U753" s="2019"/>
      <c r="V753" s="2019"/>
      <c r="W753" s="2019"/>
      <c r="X753" s="2020"/>
      <c r="AC753" s="1587" t="s">
        <v>969</v>
      </c>
      <c r="AD753" s="1586"/>
      <c r="AE753" s="1586"/>
      <c r="AF753" s="1586"/>
      <c r="AG753" s="1588"/>
      <c r="AH753" s="2327">
        <f>BI696</f>
        <v>0.55934959349593505</v>
      </c>
      <c r="AI753" s="2328"/>
      <c r="AJ753" s="2328"/>
      <c r="AK753" s="2328"/>
      <c r="AL753" s="2329"/>
      <c r="AM753" s="2327">
        <f>BI728</f>
        <v>0.55938753616963632</v>
      </c>
      <c r="AN753" s="2328"/>
      <c r="AO753" s="2329"/>
      <c r="AP753" s="1578"/>
      <c r="AQ753" s="1578"/>
      <c r="AR753" s="1578"/>
      <c r="AS753" s="1578"/>
      <c r="AT753" s="1578"/>
      <c r="AU753" s="1578"/>
      <c r="AV753" s="1578"/>
      <c r="AW753" s="1578"/>
      <c r="AX753" s="1578"/>
      <c r="AY753" s="157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05" t="s">
        <v>626</v>
      </c>
      <c r="AG755" s="2405"/>
      <c r="AH755" s="2405"/>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79"/>
      <c r="AN757" s="1579"/>
      <c r="AO757" s="1579"/>
      <c r="AP757" s="1579"/>
      <c r="AQ757" s="1579"/>
      <c r="AR757" s="1579"/>
      <c r="AS757" s="1579"/>
      <c r="AT757" s="1579"/>
      <c r="AU757" s="1579"/>
      <c r="AV757" s="1579"/>
      <c r="AW757" s="1579"/>
      <c r="AX757" s="1579"/>
      <c r="AY757" s="1579"/>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64" t="s">
        <v>407</v>
      </c>
      <c r="K768" s="2265"/>
      <c r="L768" s="2265"/>
      <c r="M768" s="2265"/>
      <c r="N768" s="2266"/>
      <c r="O768" s="2361" t="s">
        <v>291</v>
      </c>
      <c r="P768" s="2361"/>
      <c r="Q768" s="2361"/>
      <c r="R768" s="2361"/>
      <c r="S768" s="2361"/>
      <c r="T768" s="2273" t="s">
        <v>2157</v>
      </c>
      <c r="U768" s="2274"/>
      <c r="V768" s="2274"/>
      <c r="W768" s="2275"/>
      <c r="X768" s="2264" t="s">
        <v>478</v>
      </c>
      <c r="Y768" s="2265"/>
      <c r="Z768" s="2265"/>
      <c r="AA768" s="2265"/>
      <c r="AB768" s="2266"/>
      <c r="AC768" s="2264" t="s">
        <v>292</v>
      </c>
      <c r="AD768" s="2265"/>
      <c r="AE768" s="2265"/>
      <c r="AF768" s="2265"/>
      <c r="AG768" s="2266"/>
      <c r="AH768" s="1755"/>
      <c r="AI768" s="1822"/>
      <c r="AJ768" s="1822"/>
      <c r="AK768" s="1822"/>
      <c r="AL768" s="182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67"/>
      <c r="K769" s="2268"/>
      <c r="L769" s="2268"/>
      <c r="M769" s="2268"/>
      <c r="N769" s="2269"/>
      <c r="O769" s="2361"/>
      <c r="P769" s="2361"/>
      <c r="Q769" s="2361"/>
      <c r="R769" s="2361"/>
      <c r="S769" s="2361"/>
      <c r="T769" s="2276"/>
      <c r="U769" s="2277"/>
      <c r="V769" s="2277"/>
      <c r="W769" s="2278"/>
      <c r="X769" s="2267"/>
      <c r="Y769" s="2268"/>
      <c r="Z769" s="2268"/>
      <c r="AA769" s="2268"/>
      <c r="AB769" s="2269"/>
      <c r="AC769" s="2267"/>
      <c r="AD769" s="2268"/>
      <c r="AE769" s="2268"/>
      <c r="AF769" s="2268"/>
      <c r="AG769" s="2269"/>
      <c r="AH769" s="1822"/>
      <c r="AI769" s="1822"/>
      <c r="AJ769" s="1822"/>
      <c r="AK769" s="1822"/>
      <c r="AL769" s="182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67"/>
      <c r="K770" s="2268"/>
      <c r="L770" s="2268"/>
      <c r="M770" s="2268"/>
      <c r="N770" s="2269"/>
      <c r="O770" s="2361"/>
      <c r="P770" s="2361"/>
      <c r="Q770" s="2361"/>
      <c r="R770" s="2361"/>
      <c r="S770" s="2361"/>
      <c r="T770" s="2276"/>
      <c r="U770" s="2277"/>
      <c r="V770" s="2277"/>
      <c r="W770" s="2278"/>
      <c r="X770" s="2267"/>
      <c r="Y770" s="2268"/>
      <c r="Z770" s="2268"/>
      <c r="AA770" s="2268"/>
      <c r="AB770" s="2269"/>
      <c r="AC770" s="2267"/>
      <c r="AD770" s="2268"/>
      <c r="AE770" s="2268"/>
      <c r="AF770" s="2268"/>
      <c r="AG770" s="2269"/>
      <c r="AH770" s="1822"/>
      <c r="AI770" s="39"/>
      <c r="AJ770" s="39"/>
      <c r="AK770" s="1822"/>
      <c r="AL770" s="182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70"/>
      <c r="K771" s="2271"/>
      <c r="L771" s="2271"/>
      <c r="M771" s="2271"/>
      <c r="N771" s="2272"/>
      <c r="O771" s="2361"/>
      <c r="P771" s="2361"/>
      <c r="Q771" s="2361"/>
      <c r="R771" s="2361"/>
      <c r="S771" s="2361"/>
      <c r="T771" s="2279"/>
      <c r="U771" s="2280"/>
      <c r="V771" s="2280"/>
      <c r="W771" s="2281"/>
      <c r="X771" s="2270"/>
      <c r="Y771" s="2271"/>
      <c r="Z771" s="2271"/>
      <c r="AA771" s="2271"/>
      <c r="AB771" s="2272"/>
      <c r="AC771" s="2270"/>
      <c r="AD771" s="2271"/>
      <c r="AE771" s="2271"/>
      <c r="AF771" s="2271"/>
      <c r="AG771" s="2272"/>
      <c r="AH771" s="1822"/>
      <c r="AI771" s="1822"/>
      <c r="AJ771" s="1822"/>
      <c r="AK771" s="1822"/>
      <c r="AL771" s="182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2" t="s">
        <v>168</v>
      </c>
      <c r="K772" s="2193"/>
      <c r="L772" s="2193"/>
      <c r="M772" s="2193"/>
      <c r="N772" s="2194"/>
      <c r="O772" s="2195">
        <v>3</v>
      </c>
      <c r="P772" s="2195"/>
      <c r="Q772" s="2195"/>
      <c r="R772" s="2195"/>
      <c r="S772" s="2195"/>
      <c r="T772" s="2206">
        <v>748</v>
      </c>
      <c r="U772" s="2207"/>
      <c r="V772" s="2207"/>
      <c r="W772" s="2208"/>
      <c r="X772" s="2242"/>
      <c r="Y772" s="2243"/>
      <c r="Z772" s="2243"/>
      <c r="AA772" s="2243"/>
      <c r="AB772" s="2244"/>
      <c r="AC772" s="2018">
        <f>X772*O772</f>
        <v>0</v>
      </c>
      <c r="AD772" s="2019"/>
      <c r="AE772" s="2019"/>
      <c r="AF772" s="2019"/>
      <c r="AG772" s="2020"/>
      <c r="AH772" s="1823"/>
      <c r="AI772" s="1822"/>
      <c r="AJ772" s="1822"/>
      <c r="AK772" s="1823"/>
      <c r="AL772" s="182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2"/>
      <c r="K773" s="2193"/>
      <c r="L773" s="2193"/>
      <c r="M773" s="2193"/>
      <c r="N773" s="2194"/>
      <c r="O773" s="2195"/>
      <c r="P773" s="2195"/>
      <c r="Q773" s="2195"/>
      <c r="R773" s="2195"/>
      <c r="S773" s="2195"/>
      <c r="T773" s="2206"/>
      <c r="U773" s="2207"/>
      <c r="V773" s="2207"/>
      <c r="W773" s="2208"/>
      <c r="X773" s="2242"/>
      <c r="Y773" s="2243"/>
      <c r="Z773" s="2243"/>
      <c r="AA773" s="2243"/>
      <c r="AB773" s="2244"/>
      <c r="AC773" s="2018">
        <f>X773*O773</f>
        <v>0</v>
      </c>
      <c r="AD773" s="2019"/>
      <c r="AE773" s="2019"/>
      <c r="AF773" s="2019"/>
      <c r="AG773" s="2020"/>
      <c r="AH773" s="1823"/>
      <c r="AI773" s="1823"/>
      <c r="AJ773" s="1823"/>
      <c r="AK773" s="1823"/>
      <c r="AL773" s="182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2"/>
      <c r="K774" s="2193"/>
      <c r="L774" s="2193"/>
      <c r="M774" s="2193"/>
      <c r="N774" s="2194"/>
      <c r="O774" s="2195"/>
      <c r="P774" s="2195"/>
      <c r="Q774" s="2195"/>
      <c r="R774" s="2195"/>
      <c r="S774" s="2195"/>
      <c r="T774" s="2206"/>
      <c r="U774" s="2207"/>
      <c r="V774" s="2207"/>
      <c r="W774" s="2208"/>
      <c r="X774" s="2242"/>
      <c r="Y774" s="2243"/>
      <c r="Z774" s="2243"/>
      <c r="AA774" s="2243"/>
      <c r="AB774" s="2244"/>
      <c r="AC774" s="2018">
        <f>X774*O774</f>
        <v>0</v>
      </c>
      <c r="AD774" s="2019"/>
      <c r="AE774" s="2019"/>
      <c r="AF774" s="2019"/>
      <c r="AG774" s="2020"/>
      <c r="AH774" s="1823"/>
      <c r="AI774" s="1823"/>
      <c r="AJ774" s="1823"/>
      <c r="AK774" s="1823"/>
      <c r="AL774" s="182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2"/>
      <c r="K775" s="2193"/>
      <c r="L775" s="2193"/>
      <c r="M775" s="2193"/>
      <c r="N775" s="2194"/>
      <c r="O775" s="2195"/>
      <c r="P775" s="2195"/>
      <c r="Q775" s="2195"/>
      <c r="R775" s="2195"/>
      <c r="S775" s="2195"/>
      <c r="T775" s="2206"/>
      <c r="U775" s="2207"/>
      <c r="V775" s="2207"/>
      <c r="W775" s="2208"/>
      <c r="X775" s="2242"/>
      <c r="Y775" s="2243"/>
      <c r="Z775" s="2243"/>
      <c r="AA775" s="2243"/>
      <c r="AB775" s="2244"/>
      <c r="AC775" s="2018">
        <f>X775*O775</f>
        <v>0</v>
      </c>
      <c r="AD775" s="2019"/>
      <c r="AE775" s="2019"/>
      <c r="AF775" s="2019"/>
      <c r="AG775" s="2020"/>
      <c r="AH775" s="1823"/>
      <c r="AI775" s="1823"/>
      <c r="AJ775" s="1823"/>
      <c r="AK775" s="1823"/>
      <c r="AL775" s="182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36" t="s">
        <v>130</v>
      </c>
      <c r="K776" s="2337"/>
      <c r="L776" s="2337"/>
      <c r="M776" s="2337"/>
      <c r="N776" s="2338"/>
      <c r="O776" s="2330">
        <f>SUM(O772:S775)</f>
        <v>3</v>
      </c>
      <c r="P776" s="2331"/>
      <c r="Q776" s="2331"/>
      <c r="R776" s="2331"/>
      <c r="S776" s="2332"/>
      <c r="X776" s="2261" t="s">
        <v>129</v>
      </c>
      <c r="Y776" s="2262"/>
      <c r="Z776" s="2262"/>
      <c r="AA776" s="2262"/>
      <c r="AB776" s="2263"/>
      <c r="AC776" s="2018">
        <f>SUM(AC772:AG775)</f>
        <v>0</v>
      </c>
      <c r="AD776" s="2019"/>
      <c r="AE776" s="2019"/>
      <c r="AF776" s="2019"/>
      <c r="AG776" s="2020"/>
      <c r="AH776" s="39"/>
      <c r="AI776" s="1823"/>
      <c r="AJ776" s="182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51" t="s">
        <v>706</v>
      </c>
      <c r="K778" s="2351"/>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64" t="s">
        <v>407</v>
      </c>
      <c r="K782" s="2265"/>
      <c r="L782" s="2265"/>
      <c r="M782" s="2265"/>
      <c r="N782" s="2266"/>
      <c r="O782" s="2361" t="s">
        <v>291</v>
      </c>
      <c r="P782" s="2361"/>
      <c r="Q782" s="2361"/>
      <c r="R782" s="2361"/>
      <c r="S782" s="2361"/>
      <c r="T782" s="2273" t="s">
        <v>2157</v>
      </c>
      <c r="U782" s="2274"/>
      <c r="V782" s="2274"/>
      <c r="W782" s="2275"/>
      <c r="X782" s="2264" t="s">
        <v>478</v>
      </c>
      <c r="Y782" s="2265"/>
      <c r="Z782" s="2265"/>
      <c r="AA782" s="2265"/>
      <c r="AB782" s="2266"/>
      <c r="AC782" s="2264" t="s">
        <v>292</v>
      </c>
      <c r="AD782" s="2265"/>
      <c r="AE782" s="2265"/>
      <c r="AF782" s="2265"/>
      <c r="AG782" s="2266"/>
      <c r="AH782" s="2407" t="s">
        <v>2397</v>
      </c>
      <c r="AI782" s="2265"/>
      <c r="AJ782" s="2265"/>
      <c r="AK782" s="2265"/>
      <c r="AL782" s="226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67"/>
      <c r="K783" s="2268"/>
      <c r="L783" s="2268"/>
      <c r="M783" s="2268"/>
      <c r="N783" s="2269"/>
      <c r="O783" s="2361"/>
      <c r="P783" s="2361"/>
      <c r="Q783" s="2361"/>
      <c r="R783" s="2361"/>
      <c r="S783" s="2361"/>
      <c r="T783" s="2276"/>
      <c r="U783" s="2277"/>
      <c r="V783" s="2277"/>
      <c r="W783" s="2278"/>
      <c r="X783" s="2267"/>
      <c r="Y783" s="2268"/>
      <c r="Z783" s="2268"/>
      <c r="AA783" s="2268"/>
      <c r="AB783" s="2269"/>
      <c r="AC783" s="2267"/>
      <c r="AD783" s="2268"/>
      <c r="AE783" s="2268"/>
      <c r="AF783" s="2268"/>
      <c r="AG783" s="2269"/>
      <c r="AH783" s="2267"/>
      <c r="AI783" s="2268"/>
      <c r="AJ783" s="2268"/>
      <c r="AK783" s="2268"/>
      <c r="AL783" s="226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67"/>
      <c r="K784" s="2268"/>
      <c r="L784" s="2268"/>
      <c r="M784" s="2268"/>
      <c r="N784" s="2269"/>
      <c r="O784" s="2361"/>
      <c r="P784" s="2361"/>
      <c r="Q784" s="2361"/>
      <c r="R784" s="2361"/>
      <c r="S784" s="2361"/>
      <c r="T784" s="2276"/>
      <c r="U784" s="2277"/>
      <c r="V784" s="2277"/>
      <c r="W784" s="2278"/>
      <c r="X784" s="2267"/>
      <c r="Y784" s="2268"/>
      <c r="Z784" s="2268"/>
      <c r="AA784" s="2268"/>
      <c r="AB784" s="2269"/>
      <c r="AC784" s="2267"/>
      <c r="AD784" s="2268"/>
      <c r="AE784" s="2268"/>
      <c r="AF784" s="2268"/>
      <c r="AG784" s="2269"/>
      <c r="AH784" s="2267"/>
      <c r="AI784" s="2268"/>
      <c r="AJ784" s="2268"/>
      <c r="AK784" s="2268"/>
      <c r="AL784" s="226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70"/>
      <c r="K785" s="2271"/>
      <c r="L785" s="2271"/>
      <c r="M785" s="2271"/>
      <c r="N785" s="2272"/>
      <c r="O785" s="2361"/>
      <c r="P785" s="2361"/>
      <c r="Q785" s="2361"/>
      <c r="R785" s="2361"/>
      <c r="S785" s="2361"/>
      <c r="T785" s="2279"/>
      <c r="U785" s="2280"/>
      <c r="V785" s="2280"/>
      <c r="W785" s="2281"/>
      <c r="X785" s="2270"/>
      <c r="Y785" s="2271"/>
      <c r="Z785" s="2271"/>
      <c r="AA785" s="2271"/>
      <c r="AB785" s="2272"/>
      <c r="AC785" s="2270"/>
      <c r="AD785" s="2271"/>
      <c r="AE785" s="2271"/>
      <c r="AF785" s="2271"/>
      <c r="AG785" s="2272"/>
      <c r="AH785" s="2270"/>
      <c r="AI785" s="2271"/>
      <c r="AJ785" s="2271"/>
      <c r="AK785" s="2271"/>
      <c r="AL785" s="227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2"/>
      <c r="K786" s="2193"/>
      <c r="L786" s="2193"/>
      <c r="M786" s="2193"/>
      <c r="N786" s="2194"/>
      <c r="O786" s="2195"/>
      <c r="P786" s="2195"/>
      <c r="Q786" s="2195"/>
      <c r="R786" s="2195"/>
      <c r="S786" s="2195"/>
      <c r="T786" s="2206"/>
      <c r="U786" s="2207"/>
      <c r="V786" s="2207"/>
      <c r="W786" s="2208"/>
      <c r="X786" s="2242"/>
      <c r="Y786" s="2243"/>
      <c r="Z786" s="2243"/>
      <c r="AA786" s="2243"/>
      <c r="AB786" s="2244"/>
      <c r="AC786" s="2018">
        <f t="shared" ref="AC786:AC795" si="57">X786*O786</f>
        <v>0</v>
      </c>
      <c r="AD786" s="2019"/>
      <c r="AE786" s="2019"/>
      <c r="AF786" s="2019"/>
      <c r="AG786" s="2020"/>
      <c r="AH786" s="2021"/>
      <c r="AI786" s="2022"/>
      <c r="AJ786" s="2022"/>
      <c r="AK786" s="2022"/>
      <c r="AL786" s="202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2"/>
      <c r="K787" s="2193"/>
      <c r="L787" s="2193"/>
      <c r="M787" s="2193"/>
      <c r="N787" s="2194"/>
      <c r="O787" s="2195"/>
      <c r="P787" s="2195"/>
      <c r="Q787" s="2195"/>
      <c r="R787" s="2195"/>
      <c r="S787" s="2195"/>
      <c r="T787" s="2206"/>
      <c r="U787" s="2207"/>
      <c r="V787" s="2207"/>
      <c r="W787" s="2208"/>
      <c r="X787" s="2242"/>
      <c r="Y787" s="2243"/>
      <c r="Z787" s="2243"/>
      <c r="AA787" s="2243"/>
      <c r="AB787" s="2244"/>
      <c r="AC787" s="2018">
        <f t="shared" si="57"/>
        <v>0</v>
      </c>
      <c r="AD787" s="2019"/>
      <c r="AE787" s="2019"/>
      <c r="AF787" s="2019"/>
      <c r="AG787" s="2020"/>
      <c r="AH787" s="2021"/>
      <c r="AI787" s="2022"/>
      <c r="AJ787" s="2022"/>
      <c r="AK787" s="2022"/>
      <c r="AL787" s="202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2"/>
      <c r="K788" s="2193"/>
      <c r="L788" s="2193"/>
      <c r="M788" s="2193"/>
      <c r="N788" s="2194"/>
      <c r="O788" s="2195"/>
      <c r="P788" s="2195"/>
      <c r="Q788" s="2195"/>
      <c r="R788" s="2195"/>
      <c r="S788" s="2195"/>
      <c r="T788" s="2206"/>
      <c r="U788" s="2207"/>
      <c r="V788" s="2207"/>
      <c r="W788" s="2208"/>
      <c r="X788" s="2242"/>
      <c r="Y788" s="2243"/>
      <c r="Z788" s="2243"/>
      <c r="AA788" s="2243"/>
      <c r="AB788" s="2244"/>
      <c r="AC788" s="2018">
        <f t="shared" si="57"/>
        <v>0</v>
      </c>
      <c r="AD788" s="2019"/>
      <c r="AE788" s="2019"/>
      <c r="AF788" s="2019"/>
      <c r="AG788" s="2020"/>
      <c r="AH788" s="2021"/>
      <c r="AI788" s="2022"/>
      <c r="AJ788" s="2022"/>
      <c r="AK788" s="2022"/>
      <c r="AL788" s="202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2"/>
      <c r="K789" s="2193"/>
      <c r="L789" s="2193"/>
      <c r="M789" s="2193"/>
      <c r="N789" s="2194"/>
      <c r="O789" s="2195"/>
      <c r="P789" s="2195"/>
      <c r="Q789" s="2195"/>
      <c r="R789" s="2195"/>
      <c r="S789" s="2195"/>
      <c r="T789" s="2206"/>
      <c r="U789" s="2207"/>
      <c r="V789" s="2207"/>
      <c r="W789" s="2208"/>
      <c r="X789" s="2242"/>
      <c r="Y789" s="2243"/>
      <c r="Z789" s="2243"/>
      <c r="AA789" s="2243"/>
      <c r="AB789" s="2244"/>
      <c r="AC789" s="2018">
        <f t="shared" si="57"/>
        <v>0</v>
      </c>
      <c r="AD789" s="2019"/>
      <c r="AE789" s="2019"/>
      <c r="AF789" s="2019"/>
      <c r="AG789" s="2020"/>
      <c r="AH789" s="2021"/>
      <c r="AI789" s="2022"/>
      <c r="AJ789" s="2022"/>
      <c r="AK789" s="2022"/>
      <c r="AL789" s="202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2"/>
      <c r="K790" s="2193"/>
      <c r="L790" s="2193"/>
      <c r="M790" s="2193"/>
      <c r="N790" s="2194"/>
      <c r="O790" s="2195"/>
      <c r="P790" s="2195"/>
      <c r="Q790" s="2195"/>
      <c r="R790" s="2195"/>
      <c r="S790" s="2195"/>
      <c r="T790" s="2206"/>
      <c r="U790" s="2207"/>
      <c r="V790" s="2207"/>
      <c r="W790" s="2208"/>
      <c r="X790" s="2242"/>
      <c r="Y790" s="2243"/>
      <c r="Z790" s="2243"/>
      <c r="AA790" s="2243"/>
      <c r="AB790" s="2244"/>
      <c r="AC790" s="2018">
        <f t="shared" si="57"/>
        <v>0</v>
      </c>
      <c r="AD790" s="2019"/>
      <c r="AE790" s="2019"/>
      <c r="AF790" s="2019"/>
      <c r="AG790" s="2020"/>
      <c r="AH790" s="2021"/>
      <c r="AI790" s="2022"/>
      <c r="AJ790" s="2022"/>
      <c r="AK790" s="2022"/>
      <c r="AL790" s="202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2"/>
      <c r="K791" s="2193"/>
      <c r="L791" s="2193"/>
      <c r="M791" s="2193"/>
      <c r="N791" s="2194"/>
      <c r="O791" s="2195"/>
      <c r="P791" s="2195"/>
      <c r="Q791" s="2195"/>
      <c r="R791" s="2195"/>
      <c r="S791" s="2195"/>
      <c r="T791" s="2206"/>
      <c r="U791" s="2207"/>
      <c r="V791" s="2207"/>
      <c r="W791" s="2208"/>
      <c r="X791" s="2242"/>
      <c r="Y791" s="2243"/>
      <c r="Z791" s="2243"/>
      <c r="AA791" s="2243"/>
      <c r="AB791" s="2244"/>
      <c r="AC791" s="2018">
        <f t="shared" si="57"/>
        <v>0</v>
      </c>
      <c r="AD791" s="2019"/>
      <c r="AE791" s="2019"/>
      <c r="AF791" s="2019"/>
      <c r="AG791" s="2020"/>
      <c r="AH791" s="2021"/>
      <c r="AI791" s="2022"/>
      <c r="AJ791" s="2022"/>
      <c r="AK791" s="2022"/>
      <c r="AL791" s="202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2"/>
      <c r="K792" s="2193"/>
      <c r="L792" s="2193"/>
      <c r="M792" s="2193"/>
      <c r="N792" s="2194"/>
      <c r="O792" s="2195"/>
      <c r="P792" s="2195"/>
      <c r="Q792" s="2195"/>
      <c r="R792" s="2195"/>
      <c r="S792" s="2195"/>
      <c r="T792" s="2206"/>
      <c r="U792" s="2207"/>
      <c r="V792" s="2207"/>
      <c r="W792" s="2208"/>
      <c r="X792" s="2242"/>
      <c r="Y792" s="2243"/>
      <c r="Z792" s="2243"/>
      <c r="AA792" s="2243"/>
      <c r="AB792" s="2244"/>
      <c r="AC792" s="2018">
        <f t="shared" si="57"/>
        <v>0</v>
      </c>
      <c r="AD792" s="2019"/>
      <c r="AE792" s="2019"/>
      <c r="AF792" s="2019"/>
      <c r="AG792" s="2020"/>
      <c r="AH792" s="2021"/>
      <c r="AI792" s="2022"/>
      <c r="AJ792" s="2022"/>
      <c r="AK792" s="2022"/>
      <c r="AL792" s="202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2"/>
      <c r="K793" s="2193"/>
      <c r="L793" s="2193"/>
      <c r="M793" s="2193"/>
      <c r="N793" s="2194"/>
      <c r="O793" s="2195"/>
      <c r="P793" s="2195"/>
      <c r="Q793" s="2195"/>
      <c r="R793" s="2195"/>
      <c r="S793" s="2195"/>
      <c r="T793" s="2206"/>
      <c r="U793" s="2207"/>
      <c r="V793" s="2207"/>
      <c r="W793" s="2208"/>
      <c r="X793" s="2242"/>
      <c r="Y793" s="2243"/>
      <c r="Z793" s="2243"/>
      <c r="AA793" s="2243"/>
      <c r="AB793" s="2244"/>
      <c r="AC793" s="2018">
        <f t="shared" si="57"/>
        <v>0</v>
      </c>
      <c r="AD793" s="2019"/>
      <c r="AE793" s="2019"/>
      <c r="AF793" s="2019"/>
      <c r="AG793" s="2020"/>
      <c r="AH793" s="2021"/>
      <c r="AI793" s="2022"/>
      <c r="AJ793" s="2022"/>
      <c r="AK793" s="2022"/>
      <c r="AL793" s="202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2"/>
      <c r="K794" s="2193"/>
      <c r="L794" s="2193"/>
      <c r="M794" s="2193"/>
      <c r="N794" s="2194"/>
      <c r="O794" s="2195"/>
      <c r="P794" s="2195"/>
      <c r="Q794" s="2195"/>
      <c r="R794" s="2195"/>
      <c r="S794" s="2195"/>
      <c r="T794" s="2206"/>
      <c r="U794" s="2207"/>
      <c r="V794" s="2207"/>
      <c r="W794" s="2208"/>
      <c r="X794" s="2242"/>
      <c r="Y794" s="2243"/>
      <c r="Z794" s="2243"/>
      <c r="AA794" s="2243"/>
      <c r="AB794" s="2244"/>
      <c r="AC794" s="2018">
        <f t="shared" si="57"/>
        <v>0</v>
      </c>
      <c r="AD794" s="2019"/>
      <c r="AE794" s="2019"/>
      <c r="AF794" s="2019"/>
      <c r="AG794" s="2020"/>
      <c r="AH794" s="2021"/>
      <c r="AI794" s="2022"/>
      <c r="AJ794" s="2022"/>
      <c r="AK794" s="2022"/>
      <c r="AL794" s="202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2"/>
      <c r="K795" s="2193"/>
      <c r="L795" s="2193"/>
      <c r="M795" s="2193"/>
      <c r="N795" s="2194"/>
      <c r="O795" s="2195"/>
      <c r="P795" s="2195"/>
      <c r="Q795" s="2195"/>
      <c r="R795" s="2195"/>
      <c r="S795" s="2195"/>
      <c r="T795" s="2206"/>
      <c r="U795" s="2207"/>
      <c r="V795" s="2207"/>
      <c r="W795" s="2208"/>
      <c r="X795" s="2242"/>
      <c r="Y795" s="2243"/>
      <c r="Z795" s="2243"/>
      <c r="AA795" s="2243"/>
      <c r="AB795" s="2244"/>
      <c r="AC795" s="2018">
        <f t="shared" si="57"/>
        <v>0</v>
      </c>
      <c r="AD795" s="2019"/>
      <c r="AE795" s="2019"/>
      <c r="AF795" s="2019"/>
      <c r="AG795" s="2020"/>
      <c r="AH795" s="2021"/>
      <c r="AI795" s="2022"/>
      <c r="AJ795" s="2022"/>
      <c r="AK795" s="2022"/>
      <c r="AL795" s="202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36" t="s">
        <v>130</v>
      </c>
      <c r="K796" s="2337"/>
      <c r="L796" s="2337"/>
      <c r="M796" s="2337"/>
      <c r="N796" s="2338"/>
      <c r="O796" s="2416">
        <f>SUM(O786:S795)</f>
        <v>0</v>
      </c>
      <c r="P796" s="2416"/>
      <c r="Q796" s="2416"/>
      <c r="R796" s="2416"/>
      <c r="S796" s="2416"/>
      <c r="X796" s="1600" t="s">
        <v>129</v>
      </c>
      <c r="Y796" s="1601"/>
      <c r="Z796" s="1601"/>
      <c r="AA796" s="1601"/>
      <c r="AB796" s="1602"/>
      <c r="AC796" s="2018">
        <f>SUM(AC786:AG795)</f>
        <v>0</v>
      </c>
      <c r="AD796" s="2019"/>
      <c r="AE796" s="2019"/>
      <c r="AF796" s="2019"/>
      <c r="AG796" s="202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43">
        <f>T753+AC776+AC796</f>
        <v>495189</v>
      </c>
      <c r="Z798" s="2343"/>
      <c r="AA798" s="2343"/>
      <c r="AB798" s="2343"/>
      <c r="AC798" s="234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43">
        <f>(T753+AC776+AC796)*12</f>
        <v>5942268</v>
      </c>
      <c r="Z799" s="2343"/>
      <c r="AA799" s="2343"/>
      <c r="AB799" s="2343"/>
      <c r="AC799" s="2343"/>
      <c r="AZ799" s="58"/>
      <c r="BA799" s="51" t="s">
        <v>667</v>
      </c>
      <c r="BB799" s="51"/>
      <c r="BC799" s="51"/>
      <c r="BD799" s="51"/>
      <c r="BE799" s="51"/>
      <c r="BF799" s="51"/>
      <c r="BG799" s="51"/>
      <c r="BH799" s="51"/>
      <c r="BI799" s="51"/>
      <c r="BJ799" s="51"/>
      <c r="BK799" s="51"/>
      <c r="BL799" s="51"/>
      <c r="BM799" s="51"/>
      <c r="BN799" s="2359" t="s">
        <v>502</v>
      </c>
      <c r="BO799" s="2360"/>
      <c r="BP799" s="58"/>
      <c r="BQ799" s="58"/>
      <c r="BR799" s="58"/>
      <c r="BS799" s="51" t="s">
        <v>669</v>
      </c>
      <c r="BT799" s="51"/>
      <c r="BU799" s="51"/>
      <c r="BV799" s="51"/>
      <c r="BW799" s="51"/>
      <c r="BX799" s="51"/>
      <c r="BY799" s="51"/>
      <c r="BZ799" s="51"/>
      <c r="CA799" s="51"/>
      <c r="CB799" s="2356" t="str">
        <f>T189</f>
        <v>Santa Clara</v>
      </c>
      <c r="CC799" s="2357"/>
      <c r="CD799" s="2357"/>
      <c r="CE799" s="2357"/>
      <c r="CF799" s="2357"/>
      <c r="CG799" s="2357"/>
      <c r="CH799" s="235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85"/>
      <c r="AA804" s="2286"/>
      <c r="AB804" s="2286"/>
      <c r="AC804" s="2286"/>
      <c r="AD804" s="2286"/>
      <c r="AE804" s="228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8"/>
      <c r="AA805" s="2286"/>
      <c r="AB805" s="2286"/>
      <c r="AC805" s="2286"/>
      <c r="AD805" s="2286"/>
      <c r="AE805" s="228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6">
        <v>0</v>
      </c>
      <c r="AA806" s="2240"/>
      <c r="AB806" s="2240"/>
      <c r="AC806" s="2240"/>
      <c r="AD806" s="2240"/>
      <c r="AE806" s="224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44">
        <f>'Subsidy Contract Calculation'!I30</f>
        <v>0</v>
      </c>
      <c r="AA807" s="2345"/>
      <c r="AB807" s="2345"/>
      <c r="AC807" s="2345"/>
      <c r="AD807" s="2345"/>
      <c r="AE807" s="234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4"/>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4"/>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4"/>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5">
        <v>0</v>
      </c>
      <c r="AA811" s="2016"/>
      <c r="AB811" s="2016"/>
      <c r="AC811" s="2016"/>
      <c r="AD811" s="2016"/>
      <c r="AE811" s="201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4"/>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5"/>
      <c r="AA812" s="2016"/>
      <c r="AB812" s="2016"/>
      <c r="AC812" s="2016"/>
      <c r="AD812" s="2016"/>
      <c r="AE812" s="201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4"/>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5"/>
      <c r="AA813" s="2016"/>
      <c r="AB813" s="2016"/>
      <c r="AC813" s="2016"/>
      <c r="AD813" s="2016"/>
      <c r="AE813" s="201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4"/>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87" t="s">
        <v>2618</v>
      </c>
      <c r="Q814" s="2368"/>
      <c r="R814" s="2368"/>
      <c r="S814" s="2368"/>
      <c r="T814" s="2368"/>
      <c r="U814" s="2368"/>
      <c r="V814" s="2368"/>
      <c r="W814" s="2368"/>
      <c r="X814" s="2368"/>
      <c r="Y814" s="2369"/>
      <c r="Z814" s="2015">
        <v>49800</v>
      </c>
      <c r="AA814" s="2016"/>
      <c r="AB814" s="2016"/>
      <c r="AC814" s="2016"/>
      <c r="AD814" s="2016"/>
      <c r="AE814" s="201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4"/>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44">
        <f>SUM(Z811:AE814)</f>
        <v>49800</v>
      </c>
      <c r="AA815" s="2345"/>
      <c r="AB815" s="2345"/>
      <c r="AC815" s="2345"/>
      <c r="AD815" s="2345"/>
      <c r="AE815" s="234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4"/>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344">
        <f>Z815+Y799+Z807</f>
        <v>5992068</v>
      </c>
      <c r="AA816" s="2345"/>
      <c r="AB816" s="2345"/>
      <c r="AC816" s="2345"/>
      <c r="AD816" s="2345"/>
      <c r="AE816" s="234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4"/>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4"/>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4"/>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4"/>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4"/>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2" t="s">
        <v>131</v>
      </c>
      <c r="N821" s="2412"/>
      <c r="O821" s="2412"/>
      <c r="P821" s="2413"/>
      <c r="Q821" s="2324" t="s">
        <v>298</v>
      </c>
      <c r="R821" s="2324"/>
      <c r="S821" s="2324"/>
      <c r="T821" s="2324"/>
      <c r="U821" s="2324" t="s">
        <v>299</v>
      </c>
      <c r="V821" s="2324"/>
      <c r="W821" s="2324"/>
      <c r="X821" s="2324"/>
      <c r="Y821" s="2324" t="s">
        <v>300</v>
      </c>
      <c r="Z821" s="2324"/>
      <c r="AA821" s="2324"/>
      <c r="AB821" s="2324"/>
      <c r="AC821" s="2324" t="s">
        <v>371</v>
      </c>
      <c r="AD821" s="2324"/>
      <c r="AE821" s="2324"/>
      <c r="AF821" s="2324"/>
      <c r="AG821" s="2252" t="s">
        <v>344</v>
      </c>
      <c r="AH821" s="2252"/>
      <c r="AI821" s="2252"/>
      <c r="AJ821" s="225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4"/>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4"/>
      <c r="N822" s="2414"/>
      <c r="O822" s="2414"/>
      <c r="P822" s="2415"/>
      <c r="Q822" s="2324"/>
      <c r="R822" s="2324"/>
      <c r="S822" s="2324"/>
      <c r="T822" s="2324"/>
      <c r="U822" s="2324"/>
      <c r="V822" s="2324"/>
      <c r="W822" s="2324"/>
      <c r="X822" s="2324"/>
      <c r="Y822" s="2324"/>
      <c r="Z822" s="2324"/>
      <c r="AA822" s="2324"/>
      <c r="AB822" s="2324"/>
      <c r="AC822" s="2324"/>
      <c r="AD822" s="2324"/>
      <c r="AE822" s="2324"/>
      <c r="AF822" s="2324"/>
      <c r="AG822" s="2252"/>
      <c r="AH822" s="2252"/>
      <c r="AI822" s="2252"/>
      <c r="AJ822" s="225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4"/>
      <c r="CS822" s="61"/>
      <c r="CT822" s="61"/>
      <c r="CU822" s="61"/>
      <c r="CV822" s="61"/>
      <c r="CW822" s="61"/>
      <c r="CX822" s="61"/>
      <c r="CY822" s="61"/>
      <c r="CZ822" s="61"/>
      <c r="DA822" s="61"/>
      <c r="DB822" s="61"/>
      <c r="DC822" s="61"/>
      <c r="DD822" s="61"/>
      <c r="DE822" s="61"/>
      <c r="DF822" s="61"/>
    </row>
    <row r="823" spans="1:110" s="7" customFormat="1" ht="12.75" customHeight="1">
      <c r="A823" s="12"/>
      <c r="B823" s="12"/>
      <c r="C823" s="2245" t="s">
        <v>43</v>
      </c>
      <c r="D823" s="2246"/>
      <c r="E823" s="2246"/>
      <c r="F823" s="2246"/>
      <c r="G823" s="2246"/>
      <c r="H823" s="2246"/>
      <c r="I823" s="80"/>
      <c r="J823" s="80"/>
      <c r="K823" s="80"/>
      <c r="L823" s="81"/>
      <c r="M823" s="2205"/>
      <c r="N823" s="2205"/>
      <c r="O823" s="2205"/>
      <c r="P823" s="2205"/>
      <c r="Q823" s="2205"/>
      <c r="R823" s="2205"/>
      <c r="S823" s="2205"/>
      <c r="T823" s="2205"/>
      <c r="U823" s="2205"/>
      <c r="V823" s="2205"/>
      <c r="W823" s="2205"/>
      <c r="X823" s="2205"/>
      <c r="Y823" s="2205"/>
      <c r="Z823" s="2205"/>
      <c r="AA823" s="2205"/>
      <c r="AB823" s="2205"/>
      <c r="AC823" s="2070"/>
      <c r="AD823" s="2071"/>
      <c r="AE823" s="2071"/>
      <c r="AF823" s="2072"/>
      <c r="AG823" s="2070"/>
      <c r="AH823" s="2071"/>
      <c r="AI823" s="2071"/>
      <c r="AJ823" s="207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4"/>
      <c r="CS823" s="61"/>
      <c r="CT823" s="61"/>
      <c r="CU823" s="61"/>
      <c r="CV823" s="61"/>
      <c r="CW823" s="61"/>
      <c r="CX823" s="61"/>
      <c r="CY823" s="61"/>
      <c r="CZ823" s="61"/>
      <c r="DA823" s="61"/>
      <c r="DB823" s="61"/>
      <c r="DC823" s="61"/>
      <c r="DD823" s="61"/>
      <c r="DE823" s="61"/>
      <c r="DF823" s="61"/>
    </row>
    <row r="824" spans="1:110" s="7" customFormat="1" ht="12.75" customHeight="1">
      <c r="A824" s="12"/>
      <c r="B824" s="12"/>
      <c r="C824" s="2247" t="s">
        <v>44</v>
      </c>
      <c r="D824" s="2248"/>
      <c r="E824" s="2248"/>
      <c r="F824" s="2248"/>
      <c r="G824" s="2248"/>
      <c r="H824" s="2248"/>
      <c r="I824" s="77"/>
      <c r="J824" s="77"/>
      <c r="K824" s="77"/>
      <c r="L824" s="78"/>
      <c r="M824" s="2205"/>
      <c r="N824" s="2205"/>
      <c r="O824" s="2205"/>
      <c r="P824" s="2205"/>
      <c r="Q824" s="2205"/>
      <c r="R824" s="2205"/>
      <c r="S824" s="2205"/>
      <c r="T824" s="2205"/>
      <c r="U824" s="2205"/>
      <c r="V824" s="2205"/>
      <c r="W824" s="2205"/>
      <c r="X824" s="2205"/>
      <c r="Y824" s="2205"/>
      <c r="Z824" s="2205"/>
      <c r="AA824" s="2205"/>
      <c r="AB824" s="2205"/>
      <c r="AC824" s="2070"/>
      <c r="AD824" s="2071"/>
      <c r="AE824" s="2071"/>
      <c r="AF824" s="2072"/>
      <c r="AG824" s="2070"/>
      <c r="AH824" s="2071"/>
      <c r="AI824" s="2071"/>
      <c r="AJ824" s="207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4"/>
      <c r="CS824" s="61"/>
      <c r="CT824" s="61"/>
      <c r="CU824" s="61"/>
      <c r="CV824" s="61"/>
      <c r="CW824" s="61"/>
      <c r="CX824" s="61"/>
      <c r="CY824" s="61"/>
      <c r="CZ824" s="61"/>
      <c r="DA824" s="61"/>
      <c r="DB824" s="61"/>
      <c r="DC824" s="61"/>
      <c r="DD824" s="61"/>
      <c r="DE824" s="61"/>
      <c r="DF824" s="61"/>
    </row>
    <row r="825" spans="1:110" s="7" customFormat="1" ht="12.75" customHeight="1">
      <c r="A825" s="12"/>
      <c r="B825" s="12"/>
      <c r="C825" s="2247" t="s">
        <v>45</v>
      </c>
      <c r="D825" s="2248"/>
      <c r="E825" s="2248"/>
      <c r="F825" s="2248"/>
      <c r="G825" s="2248"/>
      <c r="H825" s="2248"/>
      <c r="I825" s="96"/>
      <c r="J825" s="96"/>
      <c r="K825" s="96"/>
      <c r="L825" s="97"/>
      <c r="M825" s="2205"/>
      <c r="N825" s="2205"/>
      <c r="O825" s="2205"/>
      <c r="P825" s="2205"/>
      <c r="Q825" s="2205"/>
      <c r="R825" s="2205"/>
      <c r="S825" s="2205"/>
      <c r="T825" s="2205"/>
      <c r="U825" s="2205"/>
      <c r="V825" s="2205"/>
      <c r="W825" s="2205"/>
      <c r="X825" s="2205"/>
      <c r="Y825" s="2205"/>
      <c r="Z825" s="2205"/>
      <c r="AA825" s="2205"/>
      <c r="AB825" s="2205"/>
      <c r="AC825" s="2070"/>
      <c r="AD825" s="2071"/>
      <c r="AE825" s="2071"/>
      <c r="AF825" s="2072"/>
      <c r="AG825" s="2070"/>
      <c r="AH825" s="2071"/>
      <c r="AI825" s="2071"/>
      <c r="AJ825" s="207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4"/>
      <c r="CS825" s="61"/>
      <c r="CT825" s="61"/>
      <c r="CU825" s="61"/>
      <c r="CV825" s="61"/>
      <c r="CW825" s="61"/>
      <c r="CX825" s="61"/>
      <c r="CY825" s="61"/>
      <c r="CZ825" s="61"/>
      <c r="DA825" s="61"/>
      <c r="DB825" s="61"/>
      <c r="DC825" s="61"/>
      <c r="DD825" s="61"/>
      <c r="DE825" s="61"/>
      <c r="DF825" s="61"/>
    </row>
    <row r="826" spans="1:110" s="7" customFormat="1" ht="12.75" customHeight="1">
      <c r="A826" s="12"/>
      <c r="B826" s="12"/>
      <c r="C826" s="2247" t="s">
        <v>820</v>
      </c>
      <c r="D826" s="2248"/>
      <c r="E826" s="2248"/>
      <c r="F826" s="2248"/>
      <c r="G826" s="2248"/>
      <c r="H826" s="2248"/>
      <c r="I826" s="96"/>
      <c r="J826" s="96"/>
      <c r="K826" s="96"/>
      <c r="L826" s="97"/>
      <c r="M826" s="2205"/>
      <c r="N826" s="2205"/>
      <c r="O826" s="2205"/>
      <c r="P826" s="2205"/>
      <c r="Q826" s="2205"/>
      <c r="R826" s="2205"/>
      <c r="S826" s="2205"/>
      <c r="T826" s="2205"/>
      <c r="U826" s="2205"/>
      <c r="V826" s="2205"/>
      <c r="W826" s="2205"/>
      <c r="X826" s="2205"/>
      <c r="Y826" s="2205"/>
      <c r="Z826" s="2205"/>
      <c r="AA826" s="2205"/>
      <c r="AB826" s="2205"/>
      <c r="AC826" s="2070"/>
      <c r="AD826" s="2071"/>
      <c r="AE826" s="2071"/>
      <c r="AF826" s="2072"/>
      <c r="AG826" s="2070"/>
      <c r="AH826" s="2071"/>
      <c r="AI826" s="2071"/>
      <c r="AJ826" s="207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4"/>
      <c r="CS826" s="61"/>
      <c r="CT826" s="61"/>
      <c r="CU826" s="61"/>
      <c r="CV826" s="61"/>
      <c r="CW826" s="61"/>
      <c r="CX826" s="61"/>
      <c r="CY826" s="61"/>
      <c r="CZ826" s="61"/>
      <c r="DA826" s="61"/>
      <c r="DB826" s="61"/>
      <c r="DC826" s="61"/>
      <c r="DD826" s="61"/>
      <c r="DE826" s="61"/>
      <c r="DF826" s="61"/>
    </row>
    <row r="827" spans="1:110" s="7" customFormat="1" ht="12.75" customHeight="1">
      <c r="A827" s="12"/>
      <c r="B827" s="12"/>
      <c r="C827" s="2247" t="s">
        <v>492</v>
      </c>
      <c r="D827" s="2248"/>
      <c r="E827" s="2248"/>
      <c r="F827" s="2248"/>
      <c r="G827" s="2248"/>
      <c r="H827" s="2248"/>
      <c r="I827" s="96"/>
      <c r="J827" s="96"/>
      <c r="K827" s="96"/>
      <c r="L827" s="97"/>
      <c r="M827" s="2205"/>
      <c r="N827" s="2205"/>
      <c r="O827" s="2205"/>
      <c r="P827" s="2205"/>
      <c r="Q827" s="2205"/>
      <c r="R827" s="2205"/>
      <c r="S827" s="2205"/>
      <c r="T827" s="2205"/>
      <c r="U827" s="2205"/>
      <c r="V827" s="2205"/>
      <c r="W827" s="2205"/>
      <c r="X827" s="2205"/>
      <c r="Y827" s="2205"/>
      <c r="Z827" s="2205"/>
      <c r="AA827" s="2205"/>
      <c r="AB827" s="2205"/>
      <c r="AC827" s="2070"/>
      <c r="AD827" s="2071"/>
      <c r="AE827" s="2071"/>
      <c r="AF827" s="2072"/>
      <c r="AG827" s="2070"/>
      <c r="AH827" s="2071"/>
      <c r="AI827" s="2071"/>
      <c r="AJ827" s="207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4"/>
      <c r="CS827" s="61"/>
      <c r="CT827" s="61"/>
      <c r="CU827" s="61"/>
      <c r="CV827" s="61"/>
      <c r="CW827" s="61"/>
      <c r="CX827" s="61"/>
      <c r="CY827" s="61"/>
      <c r="CZ827" s="61"/>
      <c r="DA827" s="61"/>
      <c r="DB827" s="61"/>
      <c r="DC827" s="61"/>
      <c r="DD827" s="61"/>
      <c r="DE827" s="61"/>
      <c r="DF827" s="61"/>
    </row>
    <row r="828" spans="1:110" s="7" customFormat="1" ht="12.75" customHeight="1">
      <c r="A828" s="12"/>
      <c r="B828" s="12"/>
      <c r="C828" s="2401" t="s">
        <v>841</v>
      </c>
      <c r="D828" s="2248"/>
      <c r="E828" s="2248"/>
      <c r="F828" s="2248"/>
      <c r="G828" s="2248"/>
      <c r="H828" s="2248"/>
      <c r="I828" s="96"/>
      <c r="J828" s="96"/>
      <c r="K828" s="96"/>
      <c r="L828" s="97"/>
      <c r="M828" s="2205"/>
      <c r="N828" s="2205"/>
      <c r="O828" s="2205"/>
      <c r="P828" s="2205"/>
      <c r="Q828" s="2205"/>
      <c r="R828" s="2205"/>
      <c r="S828" s="2205"/>
      <c r="T828" s="2205"/>
      <c r="U828" s="2205"/>
      <c r="V828" s="2205"/>
      <c r="W828" s="2205"/>
      <c r="X828" s="2205"/>
      <c r="Y828" s="2205"/>
      <c r="Z828" s="2205"/>
      <c r="AA828" s="2205"/>
      <c r="AB828" s="2205"/>
      <c r="AC828" s="2070"/>
      <c r="AD828" s="2071"/>
      <c r="AE828" s="2071"/>
      <c r="AF828" s="2072"/>
      <c r="AG828" s="2070"/>
      <c r="AH828" s="2071"/>
      <c r="AI828" s="2071"/>
      <c r="AJ828" s="207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4"/>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57" t="s">
        <v>343</v>
      </c>
      <c r="G829" s="2258"/>
      <c r="H829" s="2258"/>
      <c r="I829" s="2258"/>
      <c r="J829" s="2258"/>
      <c r="K829" s="2258"/>
      <c r="L829" s="2259"/>
      <c r="M829" s="2205"/>
      <c r="N829" s="2205"/>
      <c r="O829" s="2205"/>
      <c r="P829" s="2205"/>
      <c r="Q829" s="2205"/>
      <c r="R829" s="2205"/>
      <c r="S829" s="2205"/>
      <c r="T829" s="2205"/>
      <c r="U829" s="2205"/>
      <c r="V829" s="2205"/>
      <c r="W829" s="2205"/>
      <c r="X829" s="2205"/>
      <c r="Y829" s="2205"/>
      <c r="Z829" s="2205"/>
      <c r="AA829" s="2205"/>
      <c r="AB829" s="2205"/>
      <c r="AC829" s="2070"/>
      <c r="AD829" s="2071"/>
      <c r="AE829" s="2071"/>
      <c r="AF829" s="2072"/>
      <c r="AG829" s="2070"/>
      <c r="AH829" s="2071"/>
      <c r="AI829" s="2071"/>
      <c r="AJ829" s="207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4"/>
      <c r="CS829" s="61"/>
      <c r="CT829" s="61"/>
      <c r="CU829" s="61"/>
      <c r="CV829" s="61"/>
      <c r="CW829" s="61"/>
      <c r="CX829" s="61"/>
      <c r="CY829" s="61"/>
      <c r="CZ829" s="61"/>
      <c r="DA829" s="61"/>
      <c r="DB829" s="61"/>
      <c r="DC829" s="61"/>
      <c r="DD829" s="61"/>
      <c r="DE829" s="61"/>
      <c r="DF829" s="61"/>
    </row>
    <row r="830" spans="1:110" s="7" customFormat="1" ht="12.75" customHeight="1">
      <c r="A830" s="12"/>
      <c r="B830" s="12"/>
      <c r="C830" s="2336" t="s">
        <v>129</v>
      </c>
      <c r="D830" s="2337"/>
      <c r="E830" s="2337"/>
      <c r="F830" s="2337"/>
      <c r="G830" s="2337"/>
      <c r="H830" s="2337"/>
      <c r="I830" s="2337"/>
      <c r="J830" s="2337"/>
      <c r="K830" s="2337"/>
      <c r="L830" s="2338"/>
      <c r="M830" s="2334">
        <f>SUM(M823:P829)</f>
        <v>0</v>
      </c>
      <c r="N830" s="2334"/>
      <c r="O830" s="2334"/>
      <c r="P830" s="2334"/>
      <c r="Q830" s="2334">
        <f>SUM(Q823:T829)</f>
        <v>0</v>
      </c>
      <c r="R830" s="2334"/>
      <c r="S830" s="2334"/>
      <c r="T830" s="2334"/>
      <c r="U830" s="2334">
        <f>SUM(U823:X829)</f>
        <v>0</v>
      </c>
      <c r="V830" s="2334"/>
      <c r="W830" s="2334"/>
      <c r="X830" s="2334"/>
      <c r="Y830" s="2334">
        <f>SUM(Y823:AB829)</f>
        <v>0</v>
      </c>
      <c r="Z830" s="2334"/>
      <c r="AA830" s="2334"/>
      <c r="AB830" s="2334"/>
      <c r="AC830" s="2334">
        <f>SUM(AC823:AF829)</f>
        <v>0</v>
      </c>
      <c r="AD830" s="2334"/>
      <c r="AE830" s="2334"/>
      <c r="AF830" s="2334"/>
      <c r="AG830" s="2334">
        <f>SUM(AG823:AJ829)</f>
        <v>0</v>
      </c>
      <c r="AH830" s="2334"/>
      <c r="AI830" s="2334"/>
      <c r="AJ830" s="233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4"/>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4"/>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4"/>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4"/>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4"/>
      <c r="CS834" s="61"/>
      <c r="CT834" s="61"/>
      <c r="CU834" s="61"/>
      <c r="CV834" s="61"/>
      <c r="CW834" s="61"/>
      <c r="CX834" s="61"/>
      <c r="CY834" s="61"/>
      <c r="CZ834" s="61"/>
      <c r="DA834" s="61"/>
      <c r="DB834" s="61"/>
      <c r="DC834" s="61"/>
      <c r="DD834" s="61"/>
      <c r="DE834" s="61"/>
      <c r="DF834" s="61"/>
    </row>
    <row r="835" spans="1:110" s="7" customFormat="1" ht="12.75" customHeight="1">
      <c r="A835" s="12"/>
      <c r="B835" s="12"/>
      <c r="C835" s="2209" t="s">
        <v>2619</v>
      </c>
      <c r="D835" s="2210"/>
      <c r="E835" s="2210"/>
      <c r="F835" s="2210"/>
      <c r="G835" s="2210"/>
      <c r="H835" s="2210"/>
      <c r="I835" s="2210"/>
      <c r="J835" s="2210"/>
      <c r="K835" s="2210"/>
      <c r="L835" s="2210"/>
      <c r="M835" s="2210"/>
      <c r="N835" s="2210"/>
      <c r="O835" s="2210"/>
      <c r="P835" s="2210"/>
      <c r="Q835" s="2210"/>
      <c r="R835" s="2210"/>
      <c r="S835" s="2210"/>
      <c r="T835" s="2210"/>
      <c r="U835" s="2210"/>
      <c r="V835" s="2210"/>
      <c r="W835" s="2210"/>
      <c r="X835" s="2210"/>
      <c r="Y835" s="2210"/>
      <c r="Z835" s="2210"/>
      <c r="AA835" s="2210"/>
      <c r="AB835" s="2210"/>
      <c r="AC835" s="2210"/>
      <c r="AD835" s="2210"/>
      <c r="AE835" s="2210"/>
      <c r="AF835" s="2210"/>
      <c r="AG835" s="2210"/>
      <c r="AH835" s="2210"/>
      <c r="AI835" s="2210"/>
      <c r="AJ835" s="221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4"/>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4"/>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4"/>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3">
        <f>12450</f>
        <v>12450</v>
      </c>
      <c r="X840" s="2043"/>
      <c r="Y840" s="2043"/>
      <c r="Z840" s="2043"/>
      <c r="AA840" s="2043"/>
      <c r="AB840" s="2043"/>
      <c r="AC840" s="204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3"/>
      <c r="X841" s="2043"/>
      <c r="Y841" s="2043"/>
      <c r="Z841" s="2043"/>
      <c r="AA841" s="2043"/>
      <c r="AB841" s="2043"/>
      <c r="AC841" s="204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3"/>
      <c r="X842" s="2043"/>
      <c r="Y842" s="2043"/>
      <c r="Z842" s="2043"/>
      <c r="AA842" s="2043"/>
      <c r="AB842" s="2043"/>
      <c r="AC842" s="204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3"/>
      <c r="X843" s="2043"/>
      <c r="Y843" s="2043"/>
      <c r="Z843" s="2043"/>
      <c r="AA843" s="2043"/>
      <c r="AB843" s="2043"/>
      <c r="AC843" s="204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57" t="s">
        <v>343</v>
      </c>
      <c r="N844" s="2258"/>
      <c r="O844" s="2258"/>
      <c r="P844" s="2258"/>
      <c r="Q844" s="2258"/>
      <c r="R844" s="2258"/>
      <c r="S844" s="2258"/>
      <c r="T844" s="2258"/>
      <c r="U844" s="2258"/>
      <c r="V844" s="2259"/>
      <c r="W844" s="2043">
        <v>54780</v>
      </c>
      <c r="X844" s="2043"/>
      <c r="Y844" s="2043"/>
      <c r="Z844" s="2043"/>
      <c r="AA844" s="2043"/>
      <c r="AB844" s="2043"/>
      <c r="AC844" s="204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3">
        <f>ROUNDDOWN(BC932*2,2)</f>
        <v>0</v>
      </c>
      <c r="BJ844" s="2323"/>
      <c r="BK844" s="2323"/>
      <c r="BL844" s="2323"/>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44">
        <f>SUM(W840:AC844)</f>
        <v>67230</v>
      </c>
      <c r="X845" s="2345"/>
      <c r="Y845" s="2345"/>
      <c r="Z845" s="2345"/>
      <c r="AA845" s="2345"/>
      <c r="AB845" s="2345"/>
      <c r="AC845" s="234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36" t="s">
        <v>355</v>
      </c>
      <c r="K847" s="2337"/>
      <c r="L847" s="2337"/>
      <c r="M847" s="2337"/>
      <c r="N847" s="2337"/>
      <c r="O847" s="2337"/>
      <c r="P847" s="2337"/>
      <c r="Q847" s="2337"/>
      <c r="R847" s="2337"/>
      <c r="S847" s="2337"/>
      <c r="T847" s="2337"/>
      <c r="U847" s="2337"/>
      <c r="V847" s="2338"/>
      <c r="W847" s="2015">
        <f>113849</f>
        <v>113849</v>
      </c>
      <c r="X847" s="2016"/>
      <c r="Y847" s="2016"/>
      <c r="Z847" s="2016"/>
      <c r="AA847" s="2016"/>
      <c r="AB847" s="2016"/>
      <c r="AC847" s="2017"/>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53"/>
      <c r="X849" s="2253"/>
      <c r="Y849" s="2253"/>
      <c r="Z849" s="2253"/>
      <c r="AA849" s="2253"/>
      <c r="AB849" s="2253"/>
      <c r="AC849" s="225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53">
        <f>80925</f>
        <v>80925</v>
      </c>
      <c r="X850" s="2253"/>
      <c r="Y850" s="2253"/>
      <c r="Z850" s="2253"/>
      <c r="AA850" s="2253"/>
      <c r="AB850" s="2253"/>
      <c r="AC850" s="225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53">
        <f>93375</f>
        <v>93375</v>
      </c>
      <c r="X851" s="2253"/>
      <c r="Y851" s="2253"/>
      <c r="Z851" s="2253"/>
      <c r="AA851" s="2253"/>
      <c r="AB851" s="2253"/>
      <c r="AC851" s="225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5"/>
      <c r="BH851" s="2335"/>
      <c r="BI851" s="2335"/>
      <c r="BJ851" s="2335"/>
      <c r="BK851" s="2335"/>
      <c r="BL851" s="2335"/>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53">
        <f>80925+99600</f>
        <v>180525</v>
      </c>
      <c r="X852" s="2253"/>
      <c r="Y852" s="2253"/>
      <c r="Z852" s="2253"/>
      <c r="AA852" s="2253"/>
      <c r="AB852" s="2253"/>
      <c r="AC852" s="225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02">
        <f>SUM(W849:AC852)</f>
        <v>354825</v>
      </c>
      <c r="X853" s="2402"/>
      <c r="Y853" s="2402"/>
      <c r="Z853" s="2402"/>
      <c r="AA853" s="2402"/>
      <c r="AB853" s="2402"/>
      <c r="AC853" s="240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0">
        <f>SUM(AZ821:AZ849)</f>
        <v>0</v>
      </c>
      <c r="BA854" s="2400"/>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72">
        <v>300000</v>
      </c>
      <c r="X855" s="2373"/>
      <c r="Y855" s="2373"/>
      <c r="Z855" s="2373"/>
      <c r="AA855" s="2373"/>
      <c r="AB855" s="2373"/>
      <c r="AC855" s="2374"/>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4"/>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93">
        <v>4</v>
      </c>
      <c r="U856" s="2394"/>
      <c r="V856" s="2395"/>
      <c r="W856" s="1490"/>
      <c r="X856" s="1491"/>
      <c r="Y856" s="1491"/>
      <c r="Z856" s="1491"/>
      <c r="AA856" s="1491"/>
      <c r="AB856" s="1491"/>
      <c r="AC856" s="1492"/>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4"/>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72">
        <v>85950</v>
      </c>
      <c r="X857" s="2373"/>
      <c r="Y857" s="2373"/>
      <c r="Z857" s="2373"/>
      <c r="AA857" s="2373"/>
      <c r="AB857" s="2373"/>
      <c r="AC857" s="2374"/>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4"/>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93">
        <v>3</v>
      </c>
      <c r="U858" s="2394"/>
      <c r="V858" s="2395"/>
      <c r="W858" s="1490"/>
      <c r="X858" s="1491"/>
      <c r="Y858" s="1491"/>
      <c r="Z858" s="1491"/>
      <c r="AA858" s="1491"/>
      <c r="AB858" s="1491"/>
      <c r="AC858" s="1492"/>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4"/>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57" t="s">
        <v>343</v>
      </c>
      <c r="N859" s="2258"/>
      <c r="O859" s="2258"/>
      <c r="P859" s="2258"/>
      <c r="Q859" s="2258"/>
      <c r="R859" s="2258"/>
      <c r="S859" s="2258"/>
      <c r="T859" s="2258"/>
      <c r="U859" s="2258"/>
      <c r="V859" s="2259"/>
      <c r="W859" s="2372"/>
      <c r="X859" s="2373"/>
      <c r="Y859" s="2373"/>
      <c r="Z859" s="2373"/>
      <c r="AA859" s="2373"/>
      <c r="AB859" s="2373"/>
      <c r="AC859" s="2374"/>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4"/>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54">
        <f>SUM(W855:AC859)</f>
        <v>385950</v>
      </c>
      <c r="X860" s="2255"/>
      <c r="Y860" s="2255"/>
      <c r="Z860" s="2255"/>
      <c r="AA860" s="2255"/>
      <c r="AB860" s="2255"/>
      <c r="AC860" s="225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4"/>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72">
        <v>136950</v>
      </c>
      <c r="X861" s="2373"/>
      <c r="Y861" s="2373"/>
      <c r="Z861" s="2373"/>
      <c r="AA861" s="2373"/>
      <c r="AB861" s="2373"/>
      <c r="AC861" s="2374"/>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4"/>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4"/>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3">
        <v>15000</v>
      </c>
      <c r="X863" s="2043"/>
      <c r="Y863" s="2043"/>
      <c r="Z863" s="2043"/>
      <c r="AA863" s="2043"/>
      <c r="AB863" s="2043"/>
      <c r="AC863" s="2043"/>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4"/>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3">
        <v>25000</v>
      </c>
      <c r="X864" s="2043"/>
      <c r="Y864" s="2043"/>
      <c r="Z864" s="2043"/>
      <c r="AA864" s="2043"/>
      <c r="AB864" s="2043"/>
      <c r="AC864" s="2043"/>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4"/>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3">
        <v>124500</v>
      </c>
      <c r="X865" s="2043"/>
      <c r="Y865" s="2043"/>
      <c r="Z865" s="2043"/>
      <c r="AA865" s="2043"/>
      <c r="AB865" s="2043"/>
      <c r="AC865" s="2043"/>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4"/>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3"/>
      <c r="X866" s="2043"/>
      <c r="Y866" s="2043"/>
      <c r="Z866" s="2043"/>
      <c r="AA866" s="2043"/>
      <c r="AB866" s="2043"/>
      <c r="AC866" s="2043"/>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4"/>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3">
        <f>161850-W864-W863</f>
        <v>121850</v>
      </c>
      <c r="X867" s="2043"/>
      <c r="Y867" s="2043"/>
      <c r="Z867" s="2043"/>
      <c r="AA867" s="2043"/>
      <c r="AB867" s="2043"/>
      <c r="AC867" s="204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4"/>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3"/>
      <c r="X868" s="2043"/>
      <c r="Y868" s="2043"/>
      <c r="Z868" s="2043"/>
      <c r="AA868" s="2043"/>
      <c r="AB868" s="2043"/>
      <c r="AC868" s="204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4"/>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57" t="s">
        <v>343</v>
      </c>
      <c r="N869" s="2258"/>
      <c r="O869" s="2258"/>
      <c r="P869" s="2258"/>
      <c r="Q869" s="2258"/>
      <c r="R869" s="2258"/>
      <c r="S869" s="2258"/>
      <c r="T869" s="2258"/>
      <c r="U869" s="2258"/>
      <c r="V869" s="2259"/>
      <c r="W869" s="2043"/>
      <c r="X869" s="2043"/>
      <c r="Y869" s="2043"/>
      <c r="Z869" s="2043"/>
      <c r="AA869" s="2043"/>
      <c r="AB869" s="2043"/>
      <c r="AC869" s="2043"/>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4"/>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43">
        <f>SUM(W863:AC869)</f>
        <v>286350</v>
      </c>
      <c r="X870" s="2343"/>
      <c r="Y870" s="2343"/>
      <c r="Z870" s="2343"/>
      <c r="AA870" s="2343"/>
      <c r="AB870" s="2343"/>
      <c r="AC870" s="234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4"/>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4"/>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049" t="s">
        <v>160</v>
      </c>
      <c r="N872" s="2258"/>
      <c r="O872" s="2258"/>
      <c r="P872" s="2258"/>
      <c r="Q872" s="2258"/>
      <c r="R872" s="2258"/>
      <c r="S872" s="2258"/>
      <c r="T872" s="2258"/>
      <c r="U872" s="2258"/>
      <c r="V872" s="2259"/>
      <c r="W872" s="2015">
        <v>0</v>
      </c>
      <c r="X872" s="2016"/>
      <c r="Y872" s="2016"/>
      <c r="Z872" s="2016"/>
      <c r="AA872" s="2016"/>
      <c r="AB872" s="2016"/>
      <c r="AC872" s="2017"/>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4"/>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257" t="s">
        <v>343</v>
      </c>
      <c r="N873" s="2258"/>
      <c r="O873" s="2258"/>
      <c r="P873" s="2258"/>
      <c r="Q873" s="2258"/>
      <c r="R873" s="2258"/>
      <c r="S873" s="2258"/>
      <c r="T873" s="2258"/>
      <c r="U873" s="2258"/>
      <c r="V873" s="2259"/>
      <c r="W873" s="2015"/>
      <c r="X873" s="2016"/>
      <c r="Y873" s="2016"/>
      <c r="Z873" s="2016"/>
      <c r="AA873" s="2016"/>
      <c r="AB873" s="2016"/>
      <c r="AC873" s="2017"/>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4"/>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7" t="s">
        <v>343</v>
      </c>
      <c r="N874" s="2258"/>
      <c r="O874" s="2258"/>
      <c r="P874" s="2258"/>
      <c r="Q874" s="2258"/>
      <c r="R874" s="2258"/>
      <c r="S874" s="2258"/>
      <c r="T874" s="2258"/>
      <c r="U874" s="2258"/>
      <c r="V874" s="2259"/>
      <c r="W874" s="2015"/>
      <c r="X874" s="2016"/>
      <c r="Y874" s="2016"/>
      <c r="Z874" s="2016"/>
      <c r="AA874" s="2016"/>
      <c r="AB874" s="2016"/>
      <c r="AC874" s="201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4"/>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7" t="s">
        <v>343</v>
      </c>
      <c r="N875" s="2258"/>
      <c r="O875" s="2258"/>
      <c r="P875" s="2258"/>
      <c r="Q875" s="2258"/>
      <c r="R875" s="2258"/>
      <c r="S875" s="2258"/>
      <c r="T875" s="2258"/>
      <c r="U875" s="2258"/>
      <c r="V875" s="2259"/>
      <c r="W875" s="2015"/>
      <c r="X875" s="2016"/>
      <c r="Y875" s="2016"/>
      <c r="Z875" s="2016"/>
      <c r="AA875" s="2016"/>
      <c r="AB875" s="2016"/>
      <c r="AC875" s="201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4"/>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7" t="s">
        <v>343</v>
      </c>
      <c r="N876" s="2258"/>
      <c r="O876" s="2258"/>
      <c r="P876" s="2258"/>
      <c r="Q876" s="2258"/>
      <c r="R876" s="2258"/>
      <c r="S876" s="2258"/>
      <c r="T876" s="2258"/>
      <c r="U876" s="2258"/>
      <c r="V876" s="2259"/>
      <c r="W876" s="2015"/>
      <c r="X876" s="2016"/>
      <c r="Y876" s="2016"/>
      <c r="Z876" s="2016"/>
      <c r="AA876" s="2016"/>
      <c r="AB876" s="2016"/>
      <c r="AC876" s="201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4"/>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44">
        <f>SUM(W872:AC876)</f>
        <v>0</v>
      </c>
      <c r="X877" s="2345"/>
      <c r="Y877" s="2345"/>
      <c r="Z877" s="2345"/>
      <c r="AA877" s="2345"/>
      <c r="AB877" s="2345"/>
      <c r="AC877" s="234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4"/>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4"/>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4"/>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4"/>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5" t="s">
        <v>283</v>
      </c>
      <c r="AC881" s="2345">
        <f>W845+W853+W860+W861+W870+W877+W847</f>
        <v>1345154</v>
      </c>
      <c r="AD881" s="2345"/>
      <c r="AE881" s="2345"/>
      <c r="AF881" s="2345"/>
      <c r="AG881" s="2345"/>
      <c r="AH881" s="234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4"/>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5" t="s">
        <v>544</v>
      </c>
      <c r="AC882" s="2391">
        <f>O796+O776+G753</f>
        <v>249</v>
      </c>
      <c r="AD882" s="2391"/>
      <c r="AE882" s="2391"/>
      <c r="AF882" s="2391"/>
      <c r="AG882" s="2391"/>
      <c r="AH882" s="239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4"/>
      <c r="CS882" s="61"/>
      <c r="CT882" s="61"/>
      <c r="CU882" s="61"/>
      <c r="CV882" s="61"/>
      <c r="CW882" s="61"/>
      <c r="CX882" s="61"/>
      <c r="CY882" s="61"/>
      <c r="CZ882" s="61"/>
      <c r="DA882" s="61"/>
      <c r="DB882" s="61"/>
      <c r="DC882" s="61"/>
      <c r="DD882" s="61"/>
      <c r="DE882" s="61"/>
      <c r="DF882" s="61"/>
    </row>
    <row r="883" spans="1:110" ht="12.75" customHeight="1">
      <c r="C883" s="71"/>
      <c r="D883" s="72"/>
      <c r="E883" s="2212" t="s">
        <v>33</v>
      </c>
      <c r="F883" s="2212"/>
      <c r="G883" s="2212"/>
      <c r="H883" s="2212"/>
      <c r="I883" s="2212"/>
      <c r="J883" s="2212"/>
      <c r="K883" s="2212"/>
      <c r="L883" s="2212"/>
      <c r="M883" s="2212"/>
      <c r="N883" s="2212"/>
      <c r="O883" s="2212"/>
      <c r="P883" s="2212"/>
      <c r="Q883" s="2212"/>
      <c r="R883" s="2212"/>
      <c r="S883" s="2212"/>
      <c r="T883" s="2212"/>
      <c r="U883" s="2212"/>
      <c r="V883" s="2212"/>
      <c r="W883" s="2212"/>
      <c r="X883" s="2212"/>
      <c r="Y883" s="2212"/>
      <c r="Z883" s="2212"/>
      <c r="AA883" s="2212"/>
      <c r="AB883" s="2213"/>
      <c r="AC883" s="2343">
        <f>IF(ISERROR((ROUNDDOWN(AC881/AC882,0))),0,(ROUNDDOWN(AC881/AC882,0)))</f>
        <v>5402</v>
      </c>
      <c r="AD883" s="2343"/>
      <c r="AE883" s="2343"/>
      <c r="AF883" s="2343"/>
      <c r="AG883" s="2343"/>
      <c r="AH883" s="234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4"/>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7" t="s">
        <v>819</v>
      </c>
      <c r="AC884" s="2396">
        <v>1282880</v>
      </c>
      <c r="AD884" s="2397"/>
      <c r="AE884" s="2397"/>
      <c r="AF884" s="2397"/>
      <c r="AG884" s="2397"/>
      <c r="AH884" s="239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4"/>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7" t="s">
        <v>1355</v>
      </c>
      <c r="AC885" s="2017"/>
      <c r="AD885" s="2043"/>
      <c r="AE885" s="2043"/>
      <c r="AF885" s="2043"/>
      <c r="AG885" s="2043"/>
      <c r="AH885" s="204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4"/>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7" t="s">
        <v>543</v>
      </c>
      <c r="AC886" s="2016">
        <v>20000</v>
      </c>
      <c r="AD886" s="2016"/>
      <c r="AE886" s="2016"/>
      <c r="AF886" s="2016"/>
      <c r="AG886" s="2016"/>
      <c r="AH886" s="201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4"/>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7" t="s">
        <v>84</v>
      </c>
      <c r="AC887" s="2016">
        <v>62250</v>
      </c>
      <c r="AD887" s="2016"/>
      <c r="AE887" s="2016"/>
      <c r="AF887" s="2016"/>
      <c r="AG887" s="2016"/>
      <c r="AH887" s="201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4"/>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0" t="s">
        <v>2156</v>
      </c>
      <c r="AC888" s="2070"/>
      <c r="AD888" s="2071"/>
      <c r="AE888" s="2071"/>
      <c r="AF888" s="2071"/>
      <c r="AG888" s="2071"/>
      <c r="AH888" s="207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4"/>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7" t="s">
        <v>85</v>
      </c>
      <c r="AC889" s="2016">
        <v>12450</v>
      </c>
      <c r="AD889" s="2016"/>
      <c r="AE889" s="2016"/>
      <c r="AF889" s="2016"/>
      <c r="AG889" s="2016"/>
      <c r="AH889" s="2017"/>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4"/>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7" t="s">
        <v>2011</v>
      </c>
      <c r="AC890" s="2016"/>
      <c r="AD890" s="2016"/>
      <c r="AE890" s="2016"/>
      <c r="AF890" s="2016"/>
      <c r="AG890" s="2016"/>
      <c r="AH890" s="201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4"/>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7" t="s">
        <v>1035</v>
      </c>
      <c r="D891" s="2538"/>
      <c r="E891" s="2538"/>
      <c r="F891" s="2538"/>
      <c r="G891" s="2538"/>
      <c r="H891" s="2538"/>
      <c r="I891" s="2538"/>
      <c r="J891" s="2538"/>
      <c r="K891" s="2538"/>
      <c r="L891" s="2538"/>
      <c r="M891" s="2538"/>
      <c r="N891" s="2538"/>
      <c r="O891" s="2538"/>
      <c r="P891" s="2538"/>
      <c r="Q891" s="2538"/>
      <c r="R891" s="2538"/>
      <c r="S891" s="2538"/>
      <c r="T891" s="2538"/>
      <c r="U891" s="2538"/>
      <c r="V891" s="2538"/>
      <c r="W891" s="2538"/>
      <c r="X891" s="2538"/>
      <c r="Y891" s="2538"/>
      <c r="Z891" s="2538"/>
      <c r="AA891" s="2538"/>
      <c r="AB891" s="2539"/>
      <c r="AC891" s="2043"/>
      <c r="AD891" s="2043"/>
      <c r="AE891" s="2043"/>
      <c r="AF891" s="2043"/>
      <c r="AG891" s="2043"/>
      <c r="AH891" s="204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4"/>
      <c r="CS891" s="61"/>
      <c r="CT891" s="61"/>
      <c r="CU891" s="61"/>
      <c r="CV891" s="61"/>
      <c r="CW891" s="61"/>
      <c r="CX891" s="61"/>
      <c r="CY891" s="61"/>
      <c r="CZ891" s="61"/>
      <c r="DA891" s="61"/>
      <c r="DB891" s="61"/>
      <c r="DC891" s="61"/>
      <c r="DD891" s="61"/>
      <c r="DE891" s="61"/>
      <c r="DF891" s="61"/>
    </row>
    <row r="892" spans="1:110" ht="12.75" customHeight="1">
      <c r="C892" s="2537" t="s">
        <v>1035</v>
      </c>
      <c r="D892" s="2538"/>
      <c r="E892" s="2538"/>
      <c r="F892" s="2538"/>
      <c r="G892" s="2538"/>
      <c r="H892" s="2538"/>
      <c r="I892" s="2538"/>
      <c r="J892" s="2538"/>
      <c r="K892" s="2538"/>
      <c r="L892" s="2538"/>
      <c r="M892" s="2538"/>
      <c r="N892" s="2538"/>
      <c r="O892" s="2538"/>
      <c r="P892" s="2538"/>
      <c r="Q892" s="2538"/>
      <c r="R892" s="2538"/>
      <c r="S892" s="2538"/>
      <c r="T892" s="2538"/>
      <c r="U892" s="2538"/>
      <c r="V892" s="2538"/>
      <c r="W892" s="2538"/>
      <c r="X892" s="2538"/>
      <c r="Y892" s="2538"/>
      <c r="Z892" s="2538"/>
      <c r="AA892" s="2538"/>
      <c r="AB892" s="2539"/>
      <c r="AC892" s="2043"/>
      <c r="AD892" s="2043"/>
      <c r="AE892" s="2043"/>
      <c r="AF892" s="2043"/>
      <c r="AG892" s="2043"/>
      <c r="AH892" s="204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4"/>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4"/>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4"/>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4"/>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15"/>
      <c r="AA896" s="2016"/>
      <c r="AB896" s="2016"/>
      <c r="AC896" s="2016"/>
      <c r="AD896" s="2016"/>
      <c r="AE896" s="2017"/>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4"/>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15"/>
      <c r="AA897" s="2016"/>
      <c r="AB897" s="2016"/>
      <c r="AC897" s="2016"/>
      <c r="AD897" s="2016"/>
      <c r="AE897" s="201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4"/>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15"/>
      <c r="AA898" s="2016"/>
      <c r="AB898" s="2016"/>
      <c r="AC898" s="2016"/>
      <c r="AD898" s="2016"/>
      <c r="AE898" s="201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4"/>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44">
        <f>Z896-(Z897+Z898)</f>
        <v>0</v>
      </c>
      <c r="AA899" s="2345"/>
      <c r="AB899" s="2345"/>
      <c r="AC899" s="2345"/>
      <c r="AD899" s="2345"/>
      <c r="AE899" s="2346"/>
      <c r="AZ899" s="61"/>
      <c r="BA899" s="25"/>
      <c r="BB899" s="127"/>
      <c r="BC899" s="127"/>
      <c r="BD899" s="1286"/>
      <c r="BE899" s="1286"/>
      <c r="BF899" s="1286"/>
      <c r="BG899" s="1604"/>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4"/>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4"/>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4"/>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5"/>
      <c r="BD901" s="2380"/>
      <c r="BE901" s="2380"/>
      <c r="BF901" s="1286"/>
      <c r="BG901" s="1604"/>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4"/>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5"/>
      <c r="BD902" s="2404"/>
      <c r="BE902" s="2404"/>
      <c r="BF902" s="1286"/>
      <c r="BG902" s="1604"/>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4"/>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5"/>
      <c r="BD903" s="2333"/>
      <c r="BE903" s="2333"/>
      <c r="BF903" s="1286"/>
      <c r="BG903" s="1604"/>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4"/>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5"/>
      <c r="BD904" s="2333"/>
      <c r="BE904" s="2333"/>
      <c r="BF904" s="1286"/>
      <c r="BG904" s="1604"/>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4"/>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5"/>
      <c r="BD905" s="2333"/>
      <c r="BE905" s="2333"/>
      <c r="BF905" s="1286"/>
      <c r="BG905" s="1604"/>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4"/>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5"/>
      <c r="BD906" s="2380"/>
      <c r="BE906" s="2333"/>
      <c r="BF906" s="1286"/>
      <c r="BG906" s="1604"/>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4"/>
      <c r="CS906" s="61"/>
      <c r="CT906" s="61"/>
      <c r="CU906" s="61"/>
      <c r="CV906" s="61"/>
      <c r="CW906" s="61"/>
      <c r="CX906" s="61"/>
      <c r="CY906" s="61"/>
      <c r="CZ906" s="61"/>
      <c r="DA906" s="61"/>
      <c r="DB906" s="61"/>
      <c r="DC906" s="61"/>
      <c r="DD906" s="61"/>
      <c r="DE906" s="61"/>
      <c r="DF906" s="61"/>
    </row>
    <row r="907" spans="1:110" ht="12.75" customHeight="1">
      <c r="A907" s="2378" t="s">
        <v>101</v>
      </c>
      <c r="B907" s="2378"/>
      <c r="C907" s="2378"/>
      <c r="D907" s="2378"/>
      <c r="E907" s="2378"/>
      <c r="F907" s="2378"/>
      <c r="G907" s="2378"/>
      <c r="H907" s="2378"/>
      <c r="I907" s="2378"/>
      <c r="J907" s="2378"/>
      <c r="K907" s="2378"/>
      <c r="L907" s="2378"/>
      <c r="M907" s="2378"/>
      <c r="N907" s="2378"/>
      <c r="O907" s="2378"/>
      <c r="P907" s="2378"/>
      <c r="Q907" s="2378"/>
      <c r="R907" s="2378"/>
      <c r="S907" s="2378"/>
      <c r="T907" s="2378"/>
      <c r="U907" s="2378"/>
      <c r="V907" s="2378"/>
      <c r="W907" s="2378"/>
      <c r="X907" s="2378"/>
      <c r="Y907" s="2378"/>
      <c r="Z907" s="2378"/>
      <c r="AA907" s="2378"/>
      <c r="AB907" s="2378"/>
      <c r="AC907" s="2378"/>
      <c r="AD907" s="2378"/>
      <c r="AE907" s="2378"/>
      <c r="AF907" s="2378"/>
      <c r="AG907" s="2378"/>
      <c r="AH907" s="2378"/>
      <c r="AI907" s="2378"/>
      <c r="AJ907" s="2378"/>
      <c r="AK907" s="2378"/>
      <c r="AL907" s="2378"/>
      <c r="AM907" s="144"/>
      <c r="AN907" s="144"/>
      <c r="AO907" s="144"/>
      <c r="AP907" s="144"/>
      <c r="AQ907" s="144"/>
      <c r="AR907" s="144"/>
      <c r="AS907" s="144"/>
      <c r="AT907" s="144"/>
      <c r="AU907" s="144"/>
      <c r="AV907" s="144"/>
      <c r="AW907" s="144"/>
      <c r="AX907" s="144"/>
      <c r="AY907" s="144"/>
      <c r="AZ907" s="61"/>
      <c r="BA907" s="25"/>
      <c r="BB907" s="127"/>
      <c r="BC907" s="1605"/>
      <c r="BD907" s="2403"/>
      <c r="BE907" s="2403"/>
      <c r="BF907" s="2403"/>
      <c r="BG907" s="1604"/>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4"/>
      <c r="CS907" s="61"/>
      <c r="CT907" s="61"/>
      <c r="CU907" s="61"/>
      <c r="CV907" s="61"/>
      <c r="CW907" s="61"/>
      <c r="CX907" s="61"/>
      <c r="CY907" s="61"/>
      <c r="CZ907" s="61"/>
      <c r="DA907" s="61"/>
      <c r="DB907" s="61"/>
      <c r="DC907" s="61"/>
      <c r="DD907" s="61"/>
      <c r="DE907" s="61"/>
      <c r="DF907" s="61"/>
    </row>
    <row r="908" spans="1:110" ht="12.75" customHeight="1" thickBot="1">
      <c r="A908" s="2379"/>
      <c r="B908" s="2379"/>
      <c r="C908" s="2379"/>
      <c r="D908" s="2379"/>
      <c r="E908" s="2379"/>
      <c r="F908" s="2379"/>
      <c r="G908" s="2379"/>
      <c r="H908" s="2379"/>
      <c r="I908" s="2379"/>
      <c r="J908" s="2379"/>
      <c r="K908" s="2379"/>
      <c r="L908" s="2379"/>
      <c r="M908" s="2379"/>
      <c r="N908" s="2379"/>
      <c r="O908" s="2379"/>
      <c r="P908" s="2379"/>
      <c r="Q908" s="2379"/>
      <c r="R908" s="2379"/>
      <c r="S908" s="2379"/>
      <c r="T908" s="2379"/>
      <c r="U908" s="2379"/>
      <c r="V908" s="2379"/>
      <c r="W908" s="2379"/>
      <c r="X908" s="2379"/>
      <c r="Y908" s="2379"/>
      <c r="Z908" s="2379"/>
      <c r="AA908" s="2379"/>
      <c r="AB908" s="2379"/>
      <c r="AC908" s="2379"/>
      <c r="AD908" s="2379"/>
      <c r="AE908" s="2379"/>
      <c r="AF908" s="2379"/>
      <c r="AG908" s="2379"/>
      <c r="AH908" s="2379"/>
      <c r="AI908" s="2379"/>
      <c r="AJ908" s="2379"/>
      <c r="AK908" s="2379"/>
      <c r="AL908" s="2379"/>
      <c r="AM908" s="144"/>
      <c r="AN908" s="144"/>
      <c r="AO908" s="144"/>
      <c r="AP908" s="144"/>
      <c r="AQ908" s="144"/>
      <c r="AR908" s="144"/>
      <c r="AS908" s="144"/>
      <c r="AT908" s="144"/>
      <c r="AU908" s="144"/>
      <c r="AV908" s="144"/>
      <c r="AW908" s="144"/>
      <c r="AX908" s="144"/>
      <c r="AY908" s="144"/>
      <c r="AZ908" s="61"/>
      <c r="BA908" s="25"/>
      <c r="BB908" s="127"/>
      <c r="BC908" s="1605"/>
      <c r="BD908" s="2399"/>
      <c r="BE908" s="2399"/>
      <c r="BF908" s="2399"/>
      <c r="BG908" s="1604"/>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4"/>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5"/>
      <c r="BD909" s="2333"/>
      <c r="BE909" s="2333"/>
      <c r="BF909" s="1286"/>
      <c r="BG909" s="1604"/>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4"/>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5"/>
      <c r="BD910" s="2380"/>
      <c r="BE910" s="2333"/>
      <c r="BF910" s="1286"/>
      <c r="BG910" s="1604"/>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4"/>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5"/>
      <c r="BD911" s="25"/>
      <c r="BE911" s="25"/>
      <c r="BF911" s="25"/>
      <c r="BG911" s="1606"/>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4"/>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82" t="s">
        <v>850</v>
      </c>
      <c r="G912" s="2083"/>
      <c r="H912" s="2083"/>
      <c r="I912" s="2083"/>
      <c r="J912" s="2083"/>
      <c r="K912" s="2083"/>
      <c r="L912" s="2083"/>
      <c r="M912" s="2083"/>
      <c r="N912" s="2083"/>
      <c r="O912" s="2083"/>
      <c r="P912" s="2083"/>
      <c r="Q912" s="2083"/>
      <c r="R912" s="2083"/>
      <c r="S912" s="2083"/>
      <c r="T912" s="2084"/>
      <c r="U912" s="2073" t="s">
        <v>32</v>
      </c>
      <c r="V912" s="2074"/>
      <c r="W912" s="2074"/>
      <c r="X912" s="2074"/>
      <c r="Y912" s="2074"/>
      <c r="Z912" s="2074"/>
      <c r="AA912" s="73"/>
      <c r="AB912" s="161"/>
      <c r="AC912" s="161"/>
      <c r="AD912" s="161"/>
      <c r="AE912" s="161"/>
      <c r="AF912" s="162"/>
      <c r="AZ912" s="61"/>
      <c r="BA912" s="1604"/>
      <c r="BB912" s="127"/>
      <c r="BC912" s="127"/>
      <c r="BD912" s="2380"/>
      <c r="BE912" s="2333"/>
      <c r="BF912" s="1607"/>
      <c r="BG912" s="1604"/>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4"/>
      <c r="CS912" s="61"/>
      <c r="CT912" s="61"/>
      <c r="CU912" s="61"/>
      <c r="CV912" s="61"/>
      <c r="CW912" s="61"/>
      <c r="CX912" s="61"/>
      <c r="CY912" s="61"/>
      <c r="CZ912" s="61"/>
      <c r="DA912" s="61"/>
      <c r="DB912" s="61"/>
      <c r="DC912" s="61"/>
      <c r="DD912" s="61"/>
      <c r="DE912" s="61"/>
      <c r="DF912" s="61"/>
    </row>
    <row r="913" spans="2:110" ht="12.75" customHeight="1">
      <c r="B913" s="50"/>
      <c r="F913" s="2076" t="s">
        <v>879</v>
      </c>
      <c r="G913" s="2077"/>
      <c r="H913" s="2077"/>
      <c r="I913" s="2077"/>
      <c r="J913" s="2077"/>
      <c r="K913" s="2077"/>
      <c r="L913" s="2077"/>
      <c r="M913" s="2077"/>
      <c r="N913" s="2077"/>
      <c r="O913" s="2077"/>
      <c r="P913" s="2077"/>
      <c r="Q913" s="2077"/>
      <c r="R913" s="2077"/>
      <c r="S913" s="2077"/>
      <c r="T913" s="2078"/>
      <c r="U913" s="2076"/>
      <c r="V913" s="2077"/>
      <c r="W913" s="2077"/>
      <c r="X913" s="2077"/>
      <c r="Y913" s="2077"/>
      <c r="Z913" s="2077"/>
      <c r="AA913" s="74"/>
      <c r="AB913" s="57"/>
      <c r="AC913" s="57"/>
      <c r="AD913" s="57"/>
      <c r="AE913" s="57"/>
      <c r="AF913" s="163"/>
      <c r="AZ913" s="61"/>
      <c r="BA913" s="1604"/>
      <c r="BB913" s="1604"/>
      <c r="BC913" s="1604"/>
      <c r="BD913" s="1604"/>
      <c r="BE913" s="1604"/>
      <c r="BF913" s="1604"/>
      <c r="BG913" s="1604"/>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4"/>
      <c r="CS913" s="61"/>
      <c r="CT913" s="61"/>
      <c r="CU913" s="61"/>
      <c r="CV913" s="61"/>
      <c r="CW913" s="61"/>
      <c r="CX913" s="61"/>
      <c r="CY913" s="61"/>
      <c r="CZ913" s="61"/>
      <c r="DA913" s="61"/>
      <c r="DB913" s="61"/>
      <c r="DC913" s="61"/>
      <c r="DD913" s="61"/>
      <c r="DE913" s="61"/>
      <c r="DF913" s="61"/>
    </row>
    <row r="914" spans="2:110" ht="12.75" customHeight="1">
      <c r="B914" s="50"/>
      <c r="F914" s="2079"/>
      <c r="G914" s="2080"/>
      <c r="H914" s="2080"/>
      <c r="I914" s="2080"/>
      <c r="J914" s="2080"/>
      <c r="K914" s="2080"/>
      <c r="L914" s="2080"/>
      <c r="M914" s="2080"/>
      <c r="N914" s="2080"/>
      <c r="O914" s="2080"/>
      <c r="P914" s="2080"/>
      <c r="Q914" s="2080"/>
      <c r="R914" s="2080"/>
      <c r="S914" s="2080"/>
      <c r="T914" s="2081"/>
      <c r="U914" s="2079"/>
      <c r="V914" s="2080"/>
      <c r="W914" s="2080"/>
      <c r="X914" s="2080"/>
      <c r="Y914" s="2080"/>
      <c r="Z914" s="2080"/>
      <c r="AA914" s="164"/>
      <c r="AB914" s="2398" t="s">
        <v>410</v>
      </c>
      <c r="AC914" s="2398"/>
      <c r="AD914" s="2398"/>
      <c r="AE914" s="2398"/>
      <c r="AF914" s="165"/>
      <c r="AZ914" s="61"/>
      <c r="BA914" s="1604"/>
      <c r="BB914" s="1604"/>
      <c r="BC914" s="1604"/>
      <c r="BD914" s="1604"/>
      <c r="BE914" s="1604"/>
      <c r="BF914" s="1604"/>
      <c r="BG914" s="1604"/>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4"/>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49" t="s">
        <v>578</v>
      </c>
      <c r="V915" s="2250"/>
      <c r="W915" s="2250"/>
      <c r="X915" s="2250"/>
      <c r="Y915" s="2250"/>
      <c r="Z915" s="2251"/>
      <c r="AA915" s="2202">
        <f>AM564</f>
        <v>62500000</v>
      </c>
      <c r="AB915" s="2203"/>
      <c r="AC915" s="2203"/>
      <c r="AD915" s="2203"/>
      <c r="AE915" s="2203"/>
      <c r="AF915" s="220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4"/>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49" t="s">
        <v>626</v>
      </c>
      <c r="V916" s="2250"/>
      <c r="W916" s="2250"/>
      <c r="X916" s="2250"/>
      <c r="Y916" s="2250"/>
      <c r="Z916" s="2251"/>
      <c r="AA916" s="2202"/>
      <c r="AB916" s="2203"/>
      <c r="AC916" s="2203"/>
      <c r="AD916" s="2203"/>
      <c r="AE916" s="2203"/>
      <c r="AF916" s="220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4"/>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49" t="s">
        <v>626</v>
      </c>
      <c r="V917" s="2250"/>
      <c r="W917" s="2250"/>
      <c r="X917" s="2250"/>
      <c r="Y917" s="2250"/>
      <c r="Z917" s="2251"/>
      <c r="AA917" s="2202"/>
      <c r="AB917" s="2203"/>
      <c r="AC917" s="2203"/>
      <c r="AD917" s="2203"/>
      <c r="AE917" s="2203"/>
      <c r="AF917" s="220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4"/>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49" t="s">
        <v>626</v>
      </c>
      <c r="V918" s="2250"/>
      <c r="W918" s="2250"/>
      <c r="X918" s="2250"/>
      <c r="Y918" s="2250"/>
      <c r="Z918" s="2251"/>
      <c r="AA918" s="2202"/>
      <c r="AB918" s="2203"/>
      <c r="AC918" s="2203"/>
      <c r="AD918" s="2203"/>
      <c r="AE918" s="2203"/>
      <c r="AF918" s="220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4"/>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49" t="s">
        <v>626</v>
      </c>
      <c r="V919" s="2250"/>
      <c r="W919" s="2250"/>
      <c r="X919" s="2250"/>
      <c r="Y919" s="2250"/>
      <c r="Z919" s="2251"/>
      <c r="AA919" s="2202"/>
      <c r="AB919" s="2203"/>
      <c r="AC919" s="2203"/>
      <c r="AD919" s="2203"/>
      <c r="AE919" s="2203"/>
      <c r="AF919" s="220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4"/>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49" t="s">
        <v>626</v>
      </c>
      <c r="V920" s="2250"/>
      <c r="W920" s="2250"/>
      <c r="X920" s="2250"/>
      <c r="Y920" s="2250"/>
      <c r="Z920" s="2251"/>
      <c r="AA920" s="2202"/>
      <c r="AB920" s="2203"/>
      <c r="AC920" s="2203"/>
      <c r="AD920" s="2203"/>
      <c r="AE920" s="2203"/>
      <c r="AF920" s="220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4"/>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49" t="s">
        <v>626</v>
      </c>
      <c r="V921" s="2250"/>
      <c r="W921" s="2250"/>
      <c r="X921" s="2250"/>
      <c r="Y921" s="2250"/>
      <c r="Z921" s="2251"/>
      <c r="AA921" s="2202"/>
      <c r="AB921" s="2203"/>
      <c r="AC921" s="2203"/>
      <c r="AD921" s="2203"/>
      <c r="AE921" s="2203"/>
      <c r="AF921" s="220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4"/>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49" t="s">
        <v>626</v>
      </c>
      <c r="V922" s="2250"/>
      <c r="W922" s="2250"/>
      <c r="X922" s="2250"/>
      <c r="Y922" s="2250"/>
      <c r="Z922" s="2251"/>
      <c r="AA922" s="2202"/>
      <c r="AB922" s="2203"/>
      <c r="AC922" s="2203"/>
      <c r="AD922" s="2203"/>
      <c r="AE922" s="2203"/>
      <c r="AF922" s="220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4"/>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49" t="s">
        <v>626</v>
      </c>
      <c r="V923" s="2250"/>
      <c r="W923" s="2250"/>
      <c r="X923" s="2250"/>
      <c r="Y923" s="2250"/>
      <c r="Z923" s="2251"/>
      <c r="AA923" s="2202"/>
      <c r="AB923" s="2203"/>
      <c r="AC923" s="2203"/>
      <c r="AD923" s="2203"/>
      <c r="AE923" s="2203"/>
      <c r="AF923" s="220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4"/>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49" t="s">
        <v>626</v>
      </c>
      <c r="V924" s="2250"/>
      <c r="W924" s="2250"/>
      <c r="X924" s="2250"/>
      <c r="Y924" s="2250"/>
      <c r="Z924" s="2251"/>
      <c r="AA924" s="2202"/>
      <c r="AB924" s="2203"/>
      <c r="AC924" s="2203"/>
      <c r="AD924" s="2203"/>
      <c r="AE924" s="2203"/>
      <c r="AF924" s="220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4"/>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249" t="s">
        <v>626</v>
      </c>
      <c r="V925" s="2250"/>
      <c r="W925" s="2250"/>
      <c r="X925" s="2250"/>
      <c r="Y925" s="2250"/>
      <c r="Z925" s="2251"/>
      <c r="AA925" s="2202"/>
      <c r="AB925" s="2203"/>
      <c r="AC925" s="2203"/>
      <c r="AD925" s="2203"/>
      <c r="AE925" s="2203"/>
      <c r="AF925" s="220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4"/>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49" t="s">
        <v>626</v>
      </c>
      <c r="V926" s="2250"/>
      <c r="W926" s="2250"/>
      <c r="X926" s="2250"/>
      <c r="Y926" s="2250"/>
      <c r="Z926" s="2251"/>
      <c r="AA926" s="2202"/>
      <c r="AB926" s="2203"/>
      <c r="AC926" s="2203"/>
      <c r="AD926" s="2203"/>
      <c r="AE926" s="2203"/>
      <c r="AF926" s="220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4"/>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49" t="s">
        <v>626</v>
      </c>
      <c r="V927" s="2250"/>
      <c r="W927" s="2250"/>
      <c r="X927" s="2250"/>
      <c r="Y927" s="2250"/>
      <c r="Z927" s="2251"/>
      <c r="AA927" s="2202"/>
      <c r="AB927" s="2203"/>
      <c r="AC927" s="2203"/>
      <c r="AD927" s="2203"/>
      <c r="AE927" s="2203"/>
      <c r="AF927" s="220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4"/>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249" t="s">
        <v>626</v>
      </c>
      <c r="V928" s="2250"/>
      <c r="W928" s="2250"/>
      <c r="X928" s="2250"/>
      <c r="Y928" s="2250"/>
      <c r="Z928" s="2251"/>
      <c r="AA928" s="2202"/>
      <c r="AB928" s="2203"/>
      <c r="AC928" s="2203"/>
      <c r="AD928" s="2203"/>
      <c r="AE928" s="2203"/>
      <c r="AF928" s="220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4"/>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249" t="s">
        <v>626</v>
      </c>
      <c r="V929" s="2250"/>
      <c r="W929" s="2250"/>
      <c r="X929" s="2250"/>
      <c r="Y929" s="2250"/>
      <c r="Z929" s="2251"/>
      <c r="AA929" s="2202"/>
      <c r="AB929" s="2203"/>
      <c r="AC929" s="2203"/>
      <c r="AD929" s="2203"/>
      <c r="AE929" s="2203"/>
      <c r="AF929" s="220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4"/>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49" t="s">
        <v>706</v>
      </c>
      <c r="Q930" s="2250"/>
      <c r="R930" s="2250"/>
      <c r="S930" s="2250"/>
      <c r="T930" s="2251"/>
      <c r="U930" s="2249" t="s">
        <v>626</v>
      </c>
      <c r="V930" s="2250"/>
      <c r="W930" s="2250"/>
      <c r="X930" s="2250"/>
      <c r="Y930" s="2250"/>
      <c r="Z930" s="2251"/>
      <c r="AA930" s="2202"/>
      <c r="AB930" s="2203"/>
      <c r="AC930" s="2203"/>
      <c r="AD930" s="2203"/>
      <c r="AE930" s="2203"/>
      <c r="AF930" s="220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4"/>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87" t="s">
        <v>343</v>
      </c>
      <c r="J931" s="2388"/>
      <c r="K931" s="2388"/>
      <c r="L931" s="2388"/>
      <c r="M931" s="2388"/>
      <c r="N931" s="2388"/>
      <c r="O931" s="2388"/>
      <c r="P931" s="2388"/>
      <c r="Q931" s="2388"/>
      <c r="R931" s="2388"/>
      <c r="S931" s="2388"/>
      <c r="T931" s="2389"/>
      <c r="U931" s="2249" t="s">
        <v>626</v>
      </c>
      <c r="V931" s="2250"/>
      <c r="W931" s="2250"/>
      <c r="X931" s="2250"/>
      <c r="Y931" s="2250"/>
      <c r="Z931" s="2251"/>
      <c r="AA931" s="2202"/>
      <c r="AB931" s="2203"/>
      <c r="AC931" s="2203"/>
      <c r="AD931" s="2203"/>
      <c r="AE931" s="2203"/>
      <c r="AF931" s="220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4"/>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67" t="s">
        <v>343</v>
      </c>
      <c r="J932" s="2368"/>
      <c r="K932" s="2368"/>
      <c r="L932" s="2368"/>
      <c r="M932" s="2368"/>
      <c r="N932" s="2368"/>
      <c r="O932" s="2368"/>
      <c r="P932" s="2368"/>
      <c r="Q932" s="2368"/>
      <c r="R932" s="2368"/>
      <c r="S932" s="2368"/>
      <c r="T932" s="2369"/>
      <c r="U932" s="2249" t="s">
        <v>626</v>
      </c>
      <c r="V932" s="2250"/>
      <c r="W932" s="2250"/>
      <c r="X932" s="2250"/>
      <c r="Y932" s="2250"/>
      <c r="Z932" s="2251"/>
      <c r="AA932" s="2202"/>
      <c r="AB932" s="2203"/>
      <c r="AC932" s="2203"/>
      <c r="AD932" s="2203"/>
      <c r="AE932" s="2203"/>
      <c r="AF932" s="220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4"/>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67" t="s">
        <v>343</v>
      </c>
      <c r="J933" s="2368"/>
      <c r="K933" s="2368"/>
      <c r="L933" s="2368"/>
      <c r="M933" s="2368"/>
      <c r="N933" s="2368"/>
      <c r="O933" s="2368"/>
      <c r="P933" s="2368"/>
      <c r="Q933" s="2368"/>
      <c r="R933" s="2368"/>
      <c r="S933" s="2368"/>
      <c r="T933" s="2369"/>
      <c r="U933" s="2249" t="s">
        <v>626</v>
      </c>
      <c r="V933" s="2250"/>
      <c r="W933" s="2250"/>
      <c r="X933" s="2250"/>
      <c r="Y933" s="2250"/>
      <c r="Z933" s="2251"/>
      <c r="AA933" s="2202"/>
      <c r="AB933" s="2203"/>
      <c r="AC933" s="2203"/>
      <c r="AD933" s="2203"/>
      <c r="AE933" s="2203"/>
      <c r="AF933" s="220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4"/>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67" t="s">
        <v>343</v>
      </c>
      <c r="J934" s="2368"/>
      <c r="K934" s="2368"/>
      <c r="L934" s="2368"/>
      <c r="M934" s="2368"/>
      <c r="N934" s="2368"/>
      <c r="O934" s="2368"/>
      <c r="P934" s="2368"/>
      <c r="Q934" s="2368"/>
      <c r="R934" s="2368"/>
      <c r="S934" s="2368"/>
      <c r="T934" s="2369"/>
      <c r="U934" s="2249" t="s">
        <v>626</v>
      </c>
      <c r="V934" s="2250"/>
      <c r="W934" s="2250"/>
      <c r="X934" s="2250"/>
      <c r="Y934" s="2250"/>
      <c r="Z934" s="2251"/>
      <c r="AA934" s="2202"/>
      <c r="AB934" s="2203"/>
      <c r="AC934" s="2203"/>
      <c r="AD934" s="2203"/>
      <c r="AE934" s="2203"/>
      <c r="AF934" s="220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4"/>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4"/>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4"/>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0"/>
      <c r="AN937" s="1580"/>
      <c r="AO937" s="1580"/>
      <c r="AP937" s="1580"/>
      <c r="AQ937" s="1580"/>
      <c r="AR937" s="1580"/>
      <c r="AS937" s="1580"/>
      <c r="AT937" s="1580"/>
      <c r="AU937" s="1580"/>
      <c r="AV937" s="1580"/>
      <c r="AW937" s="1580"/>
      <c r="AX937" s="1580"/>
      <c r="AY937" s="1580"/>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4"/>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4"/>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39"/>
      <c r="N939" s="2240"/>
      <c r="O939" s="2240"/>
      <c r="P939" s="2240"/>
      <c r="Q939" s="2240"/>
      <c r="R939" s="2240"/>
      <c r="S939" s="2241"/>
      <c r="U939" s="103" t="s">
        <v>11</v>
      </c>
      <c r="V939" s="77"/>
      <c r="W939" s="77"/>
      <c r="X939" s="77"/>
      <c r="Y939" s="77"/>
      <c r="Z939" s="77"/>
      <c r="AA939" s="77"/>
      <c r="AB939" s="77"/>
      <c r="AC939" s="77"/>
      <c r="AD939" s="78"/>
      <c r="AE939" s="2239"/>
      <c r="AF939" s="2240"/>
      <c r="AG939" s="2240"/>
      <c r="AH939" s="2240"/>
      <c r="AI939" s="2240"/>
      <c r="AJ939" s="2240"/>
      <c r="AK939" s="224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4"/>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63"/>
      <c r="N940" s="2364"/>
      <c r="O940" s="2364"/>
      <c r="P940" s="2364"/>
      <c r="Q940" s="2364"/>
      <c r="R940" s="2364"/>
      <c r="S940" s="2365"/>
      <c r="U940" s="103" t="s">
        <v>12</v>
      </c>
      <c r="V940" s="77"/>
      <c r="W940" s="77"/>
      <c r="X940" s="77"/>
      <c r="Y940" s="77"/>
      <c r="Z940" s="77"/>
      <c r="AA940" s="77"/>
      <c r="AB940" s="77"/>
      <c r="AC940" s="77"/>
      <c r="AD940" s="78"/>
      <c r="AE940" s="2363"/>
      <c r="AF940" s="2364"/>
      <c r="AG940" s="2364"/>
      <c r="AH940" s="2364"/>
      <c r="AI940" s="2364"/>
      <c r="AJ940" s="2364"/>
      <c r="AK940" s="236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4"/>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75" t="s">
        <v>316</v>
      </c>
      <c r="K941" s="2376"/>
      <c r="L941" s="2376"/>
      <c r="M941" s="2376"/>
      <c r="N941" s="2376"/>
      <c r="O941" s="2376"/>
      <c r="P941" s="2376"/>
      <c r="Q941" s="2376"/>
      <c r="R941" s="2376"/>
      <c r="S941" s="2377"/>
      <c r="U941" s="103" t="s">
        <v>945</v>
      </c>
      <c r="V941" s="77"/>
      <c r="W941" s="77"/>
      <c r="AB941" s="2375" t="s">
        <v>316</v>
      </c>
      <c r="AC941" s="2376"/>
      <c r="AD941" s="2376"/>
      <c r="AE941" s="2376"/>
      <c r="AF941" s="2376"/>
      <c r="AG941" s="2376"/>
      <c r="AH941" s="2376"/>
      <c r="AI941" s="2376"/>
      <c r="AJ941" s="2376"/>
      <c r="AK941" s="237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4"/>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90"/>
      <c r="N942" s="2237"/>
      <c r="O942" s="2237"/>
      <c r="P942" s="2237"/>
      <c r="Q942" s="2237"/>
      <c r="R942" s="2237"/>
      <c r="S942" s="2238"/>
      <c r="U942" s="103" t="s">
        <v>13</v>
      </c>
      <c r="V942" s="77"/>
      <c r="W942" s="77"/>
      <c r="X942" s="77"/>
      <c r="Y942" s="77"/>
      <c r="Z942" s="77"/>
      <c r="AA942" s="77"/>
      <c r="AB942" s="77"/>
      <c r="AC942" s="77"/>
      <c r="AD942" s="78"/>
      <c r="AE942" s="2236"/>
      <c r="AF942" s="2237"/>
      <c r="AG942" s="2237"/>
      <c r="AH942" s="2237"/>
      <c r="AI942" s="2237"/>
      <c r="AJ942" s="2237"/>
      <c r="AK942" s="223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4"/>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85"/>
      <c r="N943" s="2286"/>
      <c r="O943" s="2286"/>
      <c r="P943" s="2286"/>
      <c r="Q943" s="2286"/>
      <c r="R943" s="2286"/>
      <c r="S943" s="2287"/>
      <c r="U943" s="103" t="s">
        <v>14</v>
      </c>
      <c r="V943" s="77"/>
      <c r="W943" s="77"/>
      <c r="X943" s="77"/>
      <c r="Y943" s="77"/>
      <c r="Z943" s="77"/>
      <c r="AA943" s="77"/>
      <c r="AB943" s="77"/>
      <c r="AC943" s="77"/>
      <c r="AD943" s="78"/>
      <c r="AE943" s="2285"/>
      <c r="AF943" s="2286"/>
      <c r="AG943" s="2286"/>
      <c r="AH943" s="2286"/>
      <c r="AI943" s="2286"/>
      <c r="AJ943" s="2286"/>
      <c r="AK943" s="228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4"/>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2"/>
      <c r="N944" s="2203"/>
      <c r="O944" s="2203"/>
      <c r="P944" s="2203"/>
      <c r="Q944" s="2203"/>
      <c r="R944" s="2203"/>
      <c r="S944" s="2204"/>
      <c r="U944" s="103" t="s">
        <v>15</v>
      </c>
      <c r="V944" s="77"/>
      <c r="W944" s="77"/>
      <c r="X944" s="77"/>
      <c r="Y944" s="77"/>
      <c r="Z944" s="77"/>
      <c r="AA944" s="77"/>
      <c r="AB944" s="77"/>
      <c r="AC944" s="77"/>
      <c r="AD944" s="78"/>
      <c r="AE944" s="2202"/>
      <c r="AF944" s="2203"/>
      <c r="AG944" s="2203"/>
      <c r="AH944" s="2203"/>
      <c r="AI944" s="2203"/>
      <c r="AJ944" s="2203"/>
      <c r="AK944" s="220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4"/>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2"/>
      <c r="N945" s="2203"/>
      <c r="O945" s="2203"/>
      <c r="P945" s="2203"/>
      <c r="Q945" s="2203"/>
      <c r="R945" s="2203"/>
      <c r="S945" s="2204"/>
      <c r="U945" s="103" t="s">
        <v>16</v>
      </c>
      <c r="V945" s="77"/>
      <c r="W945" s="77"/>
      <c r="X945" s="77"/>
      <c r="Y945" s="77"/>
      <c r="Z945" s="77"/>
      <c r="AA945" s="77"/>
      <c r="AB945" s="77"/>
      <c r="AC945" s="77"/>
      <c r="AD945" s="78"/>
      <c r="AE945" s="2202"/>
      <c r="AF945" s="2203"/>
      <c r="AG945" s="2203"/>
      <c r="AH945" s="2203"/>
      <c r="AI945" s="2203"/>
      <c r="AJ945" s="2203"/>
      <c r="AK945" s="220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4"/>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99"/>
      <c r="N946" s="2100"/>
      <c r="O946" s="2100"/>
      <c r="P946" s="2100"/>
      <c r="Q946" s="2100"/>
      <c r="R946" s="2100"/>
      <c r="S946" s="2101"/>
      <c r="U946" s="103" t="s">
        <v>605</v>
      </c>
      <c r="V946" s="77"/>
      <c r="W946" s="77"/>
      <c r="X946" s="77"/>
      <c r="Y946" s="77"/>
      <c r="Z946" s="77"/>
      <c r="AA946" s="77"/>
      <c r="AB946" s="77"/>
      <c r="AC946" s="77"/>
      <c r="AD946" s="78"/>
      <c r="AE946" s="2099"/>
      <c r="AF946" s="2100"/>
      <c r="AG946" s="2100"/>
      <c r="AH946" s="2100"/>
      <c r="AI946" s="2100"/>
      <c r="AJ946" s="2100"/>
      <c r="AK946" s="210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4"/>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4"/>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0"/>
      <c r="AN948" s="1580"/>
      <c r="AO948" s="1580"/>
      <c r="AP948" s="1580"/>
      <c r="AQ948" s="1580"/>
      <c r="AR948" s="1580"/>
      <c r="AS948" s="1580"/>
      <c r="AT948" s="1580"/>
      <c r="AU948" s="1580"/>
      <c r="AV948" s="1580"/>
      <c r="AW948" s="1580"/>
      <c r="AX948" s="1580"/>
      <c r="AY948" s="1580"/>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4"/>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0"/>
      <c r="AN949" s="1580"/>
      <c r="AO949" s="1580"/>
      <c r="AP949" s="1580"/>
      <c r="AQ949" s="1580"/>
      <c r="AR949" s="1580"/>
      <c r="AS949" s="1580"/>
      <c r="AT949" s="1580"/>
      <c r="AU949" s="1580"/>
      <c r="AV949" s="1580"/>
      <c r="AW949" s="1580"/>
      <c r="AX949" s="1580"/>
      <c r="AY949" s="1580"/>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4"/>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0"/>
      <c r="AN950" s="1580"/>
      <c r="AO950" s="1580"/>
      <c r="AP950" s="1580"/>
      <c r="AQ950" s="1580"/>
      <c r="AR950" s="1580"/>
      <c r="AS950" s="1580"/>
      <c r="AT950" s="1580"/>
      <c r="AU950" s="1580"/>
      <c r="AV950" s="1580"/>
      <c r="AW950" s="1580"/>
      <c r="AX950" s="1580"/>
      <c r="AY950" s="1580"/>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4"/>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96"/>
      <c r="N951" s="2197"/>
      <c r="O951" s="2197"/>
      <c r="P951" s="2197"/>
      <c r="Q951" s="2197"/>
      <c r="R951" s="2197"/>
      <c r="S951" s="2198"/>
      <c r="T951" s="103" t="s">
        <v>848</v>
      </c>
      <c r="U951" s="77"/>
      <c r="V951" s="77"/>
      <c r="W951" s="77"/>
      <c r="X951" s="77"/>
      <c r="Y951" s="77"/>
      <c r="Z951" s="78"/>
      <c r="AA951" s="2196"/>
      <c r="AB951" s="2197"/>
      <c r="AC951" s="2197"/>
      <c r="AD951" s="2197"/>
      <c r="AE951" s="2197"/>
      <c r="AF951" s="2197"/>
      <c r="AG951" s="219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4"/>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96"/>
      <c r="N952" s="2197"/>
      <c r="O952" s="2197"/>
      <c r="P952" s="2197"/>
      <c r="Q952" s="2197"/>
      <c r="R952" s="2197"/>
      <c r="S952" s="2198"/>
      <c r="T952" s="103" t="s">
        <v>847</v>
      </c>
      <c r="U952" s="77"/>
      <c r="V952" s="77"/>
      <c r="W952" s="77"/>
      <c r="X952" s="77"/>
      <c r="Y952" s="77"/>
      <c r="Z952" s="78"/>
      <c r="AA952" s="2196"/>
      <c r="AB952" s="2197"/>
      <c r="AC952" s="2197"/>
      <c r="AD952" s="2197"/>
      <c r="AE952" s="2197"/>
      <c r="AF952" s="2197"/>
      <c r="AG952" s="219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4"/>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282" t="s">
        <v>626</v>
      </c>
      <c r="N953" s="2283"/>
      <c r="O953" s="2283"/>
      <c r="P953" s="2283"/>
      <c r="Q953" s="2283"/>
      <c r="R953" s="2283"/>
      <c r="S953" s="2284"/>
      <c r="T953" s="76" t="s">
        <v>346</v>
      </c>
      <c r="U953" s="77"/>
      <c r="V953" s="77"/>
      <c r="W953" s="77"/>
      <c r="X953" s="77"/>
      <c r="Y953" s="77"/>
      <c r="Z953" s="78"/>
      <c r="AA953" s="2196"/>
      <c r="AB953" s="2197"/>
      <c r="AC953" s="2197"/>
      <c r="AD953" s="2197"/>
      <c r="AE953" s="2197"/>
      <c r="AF953" s="2197"/>
      <c r="AG953" s="219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4"/>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96"/>
      <c r="N954" s="2197"/>
      <c r="O954" s="2197"/>
      <c r="P954" s="2197"/>
      <c r="Q954" s="2197"/>
      <c r="R954" s="2197"/>
      <c r="S954" s="2198"/>
      <c r="T954" s="76" t="s">
        <v>347</v>
      </c>
      <c r="U954" s="77"/>
      <c r="V954" s="77"/>
      <c r="W954" s="77"/>
      <c r="X954" s="77"/>
      <c r="Y954" s="77"/>
      <c r="Z954" s="78"/>
      <c r="AA954" s="2196"/>
      <c r="AB954" s="2197"/>
      <c r="AC954" s="2197"/>
      <c r="AD954" s="2197"/>
      <c r="AE954" s="2197"/>
      <c r="AF954" s="2197"/>
      <c r="AG954" s="219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4"/>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96"/>
      <c r="N955" s="2197"/>
      <c r="O955" s="2197"/>
      <c r="P955" s="2197"/>
      <c r="Q955" s="2197"/>
      <c r="R955" s="2197"/>
      <c r="S955" s="2198"/>
      <c r="T955" s="76" t="s">
        <v>394</v>
      </c>
      <c r="U955" s="77"/>
      <c r="V955" s="77"/>
      <c r="W955" s="77"/>
      <c r="X955" s="77"/>
      <c r="Y955" s="77"/>
      <c r="Z955" s="78"/>
      <c r="AA955" s="2196"/>
      <c r="AB955" s="2197"/>
      <c r="AC955" s="2197"/>
      <c r="AD955" s="2197"/>
      <c r="AE955" s="2197"/>
      <c r="AF955" s="2197"/>
      <c r="AG955" s="219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4"/>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199" t="s">
        <v>316</v>
      </c>
      <c r="N956" s="2200"/>
      <c r="O956" s="2200"/>
      <c r="P956" s="2200"/>
      <c r="Q956" s="2200"/>
      <c r="R956" s="2200"/>
      <c r="S956" s="2201"/>
      <c r="T956" s="2384"/>
      <c r="U956" s="2385"/>
      <c r="V956" s="2385"/>
      <c r="W956" s="2385"/>
      <c r="X956" s="2385"/>
      <c r="Y956" s="2385"/>
      <c r="Z956" s="2386"/>
      <c r="AA956" s="2196"/>
      <c r="AB956" s="2197"/>
      <c r="AC956" s="2197"/>
      <c r="AD956" s="2197"/>
      <c r="AE956" s="2197"/>
      <c r="AF956" s="2197"/>
      <c r="AG956" s="219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4"/>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96"/>
      <c r="N957" s="2197"/>
      <c r="O957" s="2197"/>
      <c r="P957" s="2197"/>
      <c r="Q957" s="2197"/>
      <c r="R957" s="2197"/>
      <c r="S957" s="2198"/>
      <c r="T957" s="2384"/>
      <c r="U957" s="2385"/>
      <c r="V957" s="2385"/>
      <c r="W957" s="2385"/>
      <c r="X957" s="2385"/>
      <c r="Y957" s="2385"/>
      <c r="Z957" s="2386"/>
      <c r="AA957" s="2196"/>
      <c r="AB957" s="2197"/>
      <c r="AC957" s="2197"/>
      <c r="AD957" s="2197"/>
      <c r="AE957" s="2197"/>
      <c r="AF957" s="2197"/>
      <c r="AG957" s="219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4"/>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70" t="s">
        <v>706</v>
      </c>
      <c r="P958" s="2371"/>
      <c r="Q958" s="139"/>
      <c r="R958" s="139"/>
      <c r="S958" s="140"/>
      <c r="T958" s="71" t="s">
        <v>175</v>
      </c>
      <c r="U958" s="72"/>
      <c r="V958" s="72"/>
      <c r="W958" s="2257" t="s">
        <v>343</v>
      </c>
      <c r="X958" s="2258"/>
      <c r="Y958" s="2258"/>
      <c r="Z958" s="2258"/>
      <c r="AA958" s="2258"/>
      <c r="AB958" s="2258"/>
      <c r="AC958" s="2258"/>
      <c r="AD958" s="2258"/>
      <c r="AE958" s="2258"/>
      <c r="AF958" s="2258"/>
      <c r="AG958" s="225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4"/>
      <c r="CS958" s="61"/>
      <c r="CT958" s="61"/>
      <c r="CU958" s="61"/>
      <c r="CV958" s="61"/>
      <c r="CW958" s="61"/>
      <c r="CX958" s="61"/>
      <c r="CY958" s="61"/>
      <c r="CZ958" s="61"/>
      <c r="DA958" s="61"/>
      <c r="DB958" s="61"/>
      <c r="DC958" s="61"/>
      <c r="DD958" s="61"/>
      <c r="DE958" s="61"/>
      <c r="DF958" s="61"/>
    </row>
    <row r="959" spans="1:110" ht="12.75" customHeight="1">
      <c r="F959" s="2245" t="s">
        <v>34</v>
      </c>
      <c r="G959" s="2246"/>
      <c r="H959" s="2246"/>
      <c r="I959" s="2246"/>
      <c r="J959" s="2246"/>
      <c r="K959" s="2246"/>
      <c r="L959" s="2246"/>
      <c r="M959" s="2196"/>
      <c r="N959" s="2197"/>
      <c r="O959" s="2197"/>
      <c r="P959" s="2197"/>
      <c r="Q959" s="2197"/>
      <c r="R959" s="2197"/>
      <c r="S959" s="2198"/>
      <c r="T959" s="79"/>
      <c r="U959" s="80"/>
      <c r="V959" s="80"/>
      <c r="W959" s="80"/>
      <c r="X959" s="80"/>
      <c r="Y959" s="80"/>
      <c r="Z959" s="188" t="s">
        <v>139</v>
      </c>
      <c r="AA959" s="2381"/>
      <c r="AB959" s="2382"/>
      <c r="AC959" s="2382"/>
      <c r="AD959" s="2382"/>
      <c r="AE959" s="2382"/>
      <c r="AF959" s="2382"/>
      <c r="AG959" s="238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4"/>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4"/>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4"/>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4"/>
      <c r="CS962" s="61"/>
      <c r="CT962" s="61"/>
      <c r="CU962" s="61"/>
      <c r="CV962" s="61"/>
      <c r="CW962" s="61"/>
      <c r="CX962" s="61"/>
      <c r="CY962" s="61"/>
      <c r="CZ962" s="61"/>
      <c r="DA962" s="61"/>
      <c r="DB962" s="61"/>
      <c r="DC962" s="61"/>
      <c r="DD962" s="61"/>
      <c r="DE962" s="61"/>
      <c r="DF962" s="61"/>
    </row>
    <row r="963" spans="1:110" ht="12.75" customHeight="1">
      <c r="A963" s="2260" t="s">
        <v>581</v>
      </c>
      <c r="B963" s="2260"/>
      <c r="C963" s="2260"/>
      <c r="D963" s="2260"/>
      <c r="E963" s="2260"/>
      <c r="F963" s="2260"/>
      <c r="G963" s="2260"/>
      <c r="H963" s="2260"/>
      <c r="I963" s="2260"/>
      <c r="J963" s="2260"/>
      <c r="K963" s="2260"/>
      <c r="L963" s="2260"/>
      <c r="M963" s="2260"/>
      <c r="N963" s="2260"/>
      <c r="O963" s="2260"/>
      <c r="P963" s="2260"/>
      <c r="Q963" s="2260"/>
      <c r="R963" s="2260"/>
      <c r="S963" s="2260"/>
      <c r="T963" s="2260"/>
      <c r="U963" s="2260"/>
      <c r="V963" s="2260"/>
      <c r="W963" s="2260"/>
      <c r="X963" s="2260"/>
      <c r="Y963" s="2260"/>
      <c r="Z963" s="2260"/>
      <c r="AA963" s="2260"/>
      <c r="AB963" s="2260"/>
      <c r="AC963" s="2260"/>
      <c r="AD963" s="2260"/>
      <c r="AE963" s="2260"/>
      <c r="AF963" s="2260"/>
      <c r="AG963" s="2260"/>
      <c r="AH963" s="2260"/>
      <c r="AI963" s="2260"/>
      <c r="AJ963" s="2260"/>
      <c r="AK963" s="2260"/>
      <c r="AL963" s="2260"/>
      <c r="AM963" s="2260"/>
      <c r="AN963" s="2260"/>
      <c r="AO963" s="2260"/>
      <c r="AP963" s="2260"/>
      <c r="AQ963" s="2260"/>
      <c r="AR963" s="2260"/>
      <c r="AS963" s="226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4"/>
      <c r="CS963" s="61"/>
      <c r="CT963" s="61"/>
      <c r="CU963" s="61"/>
      <c r="CV963" s="61"/>
      <c r="CW963" s="61"/>
      <c r="CX963" s="61"/>
      <c r="CY963" s="61"/>
      <c r="CZ963" s="61"/>
      <c r="DA963" s="61"/>
      <c r="DB963" s="61"/>
      <c r="DC963" s="61"/>
      <c r="DD963" s="61"/>
      <c r="DE963" s="61"/>
      <c r="DF963" s="61"/>
    </row>
    <row r="964" spans="1:110" s="51" customFormat="1" ht="12.75" customHeight="1">
      <c r="A964" s="2260"/>
      <c r="B964" s="2260"/>
      <c r="C964" s="2260"/>
      <c r="D964" s="2260"/>
      <c r="E964" s="2260"/>
      <c r="F964" s="2260"/>
      <c r="G964" s="2260"/>
      <c r="H964" s="2260"/>
      <c r="I964" s="2260"/>
      <c r="J964" s="2260"/>
      <c r="K964" s="2260"/>
      <c r="L964" s="2260"/>
      <c r="M964" s="2260"/>
      <c r="N964" s="2260"/>
      <c r="O964" s="2260"/>
      <c r="P964" s="2260"/>
      <c r="Q964" s="2260"/>
      <c r="R964" s="2260"/>
      <c r="S964" s="2260"/>
      <c r="T964" s="2260"/>
      <c r="U964" s="2260"/>
      <c r="V964" s="2260"/>
      <c r="W964" s="2260"/>
      <c r="X964" s="2260"/>
      <c r="Y964" s="2260"/>
      <c r="Z964" s="2260"/>
      <c r="AA964" s="2260"/>
      <c r="AB964" s="2260"/>
      <c r="AC964" s="2260"/>
      <c r="AD964" s="2260"/>
      <c r="AE964" s="2260"/>
      <c r="AF964" s="2260"/>
      <c r="AG964" s="2260"/>
      <c r="AH964" s="2260"/>
      <c r="AI964" s="2260"/>
      <c r="AJ964" s="2260"/>
      <c r="AK964" s="2260"/>
      <c r="AL964" s="2260"/>
      <c r="AM964" s="2260"/>
      <c r="AN964" s="2260"/>
      <c r="AO964" s="2260"/>
      <c r="AP964" s="2260"/>
      <c r="AQ964" s="2260"/>
      <c r="AR964" s="2260"/>
      <c r="AS964" s="226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1"/>
      <c r="AN965" s="1581"/>
      <c r="AO965" s="1581"/>
      <c r="AP965" s="1581"/>
      <c r="AQ965" s="1581"/>
      <c r="AR965" s="1581"/>
      <c r="AS965" s="1581"/>
      <c r="AT965" s="1581"/>
      <c r="AU965" s="1581"/>
      <c r="AV965" s="1581"/>
      <c r="AW965" s="1581"/>
      <c r="AX965" s="1581"/>
      <c r="AY965" s="1581"/>
      <c r="AZ965" s="21"/>
      <c r="BB965" s="21"/>
      <c r="BC965" s="21"/>
      <c r="BD965" s="21"/>
      <c r="BE965" s="21"/>
      <c r="BF965" s="21"/>
      <c r="BG965" s="2335"/>
      <c r="BH965" s="2335"/>
      <c r="BI965" s="2335"/>
      <c r="BJ965" s="2335"/>
      <c r="BK965" s="2335"/>
      <c r="BL965" s="2335"/>
      <c r="BM965" s="56"/>
      <c r="BN965" s="56"/>
      <c r="CB965" s="107"/>
      <c r="CC965" s="107"/>
      <c r="CD965" s="107"/>
      <c r="CE965" s="107"/>
      <c r="CF965" s="107"/>
      <c r="CG965" s="107"/>
      <c r="CH965" s="107"/>
      <c r="CI965" s="107"/>
      <c r="CJ965" s="107"/>
      <c r="CK965" s="107"/>
      <c r="CL965" s="107"/>
      <c r="CM965" s="107"/>
      <c r="CN965" s="107"/>
      <c r="CO965" s="107"/>
      <c r="CP965" s="107"/>
      <c r="CQ965" s="107"/>
      <c r="CR965" s="1804"/>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1"/>
      <c r="AN966" s="1581"/>
      <c r="AO966" s="1581"/>
      <c r="AP966" s="1581"/>
      <c r="AQ966" s="1581"/>
      <c r="AR966" s="1581"/>
      <c r="AS966" s="1581"/>
      <c r="AT966" s="1581"/>
      <c r="AU966" s="1581"/>
      <c r="AV966" s="1581"/>
      <c r="AW966" s="1581"/>
      <c r="AX966" s="1581"/>
      <c r="AY966" s="1581"/>
      <c r="BB966" s="1608"/>
      <c r="BC966" s="1608"/>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1"/>
      <c r="AN967" s="1581"/>
      <c r="AO967" s="1581"/>
      <c r="AP967" s="1581"/>
      <c r="AQ967" s="1581"/>
      <c r="AR967" s="1581"/>
      <c r="AS967" s="1581"/>
      <c r="AT967" s="1581"/>
      <c r="AU967" s="1581"/>
      <c r="AV967" s="1581"/>
      <c r="AW967" s="1581"/>
      <c r="AX967" s="1581"/>
      <c r="AY967" s="1581"/>
      <c r="BB967" s="1608"/>
      <c r="BC967" s="1608"/>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4"/>
      <c r="D968" s="2093" t="s">
        <v>673</v>
      </c>
      <c r="E968" s="2094"/>
      <c r="F968" s="2094"/>
      <c r="G968" s="2094"/>
      <c r="H968" s="2094"/>
      <c r="I968" s="2094"/>
      <c r="J968" s="2094"/>
      <c r="K968" s="2094"/>
      <c r="L968" s="2094"/>
      <c r="M968" s="2094"/>
      <c r="N968" s="2094"/>
      <c r="O968" s="2094"/>
      <c r="P968" s="2094"/>
      <c r="Q968" s="2095"/>
      <c r="R968" s="2093" t="s">
        <v>674</v>
      </c>
      <c r="S968" s="2094"/>
      <c r="T968" s="2094"/>
      <c r="U968" s="2094"/>
      <c r="V968" s="2094"/>
      <c r="W968" s="2094"/>
      <c r="X968" s="2094"/>
      <c r="Y968" s="2094"/>
      <c r="Z968" s="2094"/>
      <c r="AA968" s="2095"/>
      <c r="AB968" s="2093" t="s">
        <v>675</v>
      </c>
      <c r="AC968" s="2094"/>
      <c r="AD968" s="2094"/>
      <c r="AE968" s="2094"/>
      <c r="AF968" s="2094"/>
      <c r="AG968" s="2094"/>
      <c r="AH968" s="2094"/>
      <c r="AI968" s="2095"/>
      <c r="AJ968" s="2093" t="s">
        <v>676</v>
      </c>
      <c r="AK968" s="2094"/>
      <c r="AL968" s="2094"/>
      <c r="AM968" s="2094"/>
      <c r="AN968" s="2094"/>
      <c r="AO968" s="2094"/>
      <c r="AP968" s="2094"/>
      <c r="AQ968" s="2095"/>
      <c r="AR968" s="1581"/>
      <c r="AS968" s="1581"/>
      <c r="AT968" s="1581"/>
      <c r="AU968" s="1581"/>
      <c r="AV968" s="1581"/>
      <c r="AW968" s="1581"/>
      <c r="AX968" s="1581"/>
      <c r="AY968" s="1581"/>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4"/>
      <c r="CS968" s="107"/>
      <c r="CT968" s="107"/>
      <c r="CU968" s="107"/>
      <c r="CV968" s="107"/>
      <c r="CW968" s="107"/>
      <c r="CX968" s="107"/>
      <c r="CY968" s="107"/>
      <c r="CZ968" s="107"/>
      <c r="DA968" s="107"/>
      <c r="DB968" s="107"/>
      <c r="DC968" s="107"/>
      <c r="DD968" s="107"/>
      <c r="DE968" s="107"/>
      <c r="DF968" s="107"/>
    </row>
    <row r="969" spans="1:110" s="51" customFormat="1" ht="12.75">
      <c r="B969" s="110"/>
      <c r="C969" s="1625"/>
      <c r="D969" s="2171" t="s">
        <v>668</v>
      </c>
      <c r="E969" s="2172"/>
      <c r="F969" s="2172"/>
      <c r="G969" s="2172"/>
      <c r="H969" s="2172"/>
      <c r="I969" s="2172"/>
      <c r="J969" s="2172"/>
      <c r="K969" s="2172"/>
      <c r="L969" s="2172"/>
      <c r="M969" s="2172"/>
      <c r="N969" s="2172"/>
      <c r="O969" s="2172"/>
      <c r="P969" s="2172"/>
      <c r="Q969" s="2173"/>
      <c r="R969" s="2170">
        <f>IF(ISNA(IF($BN$799="4%",(INDEX($BP$809:$BT$866,MATCH($CB$799,$BO$809:$BO$866,0),MATCH(D969,$BP$808:$BT$808,0))),(INDEX($BW$809:$CA$866,MATCH($CB$799,$BV$809:$BV$866,0),MATCH(D969,$BW$808:$CA$808,0))))),0,IF($BN$799="4%",(INDEX($BP$809:$BT$866,MATCH($CB$799,$BO$809:$BO$866,0),MATCH(D969,$BP$808:$BT$808,0))),(INDEX($BW$809:$CA$866,MATCH($CB$799,$BV$809:$BV$866,0),MATCH(D969,$BW$808:$CA$808,0)))))</f>
        <v>440028</v>
      </c>
      <c r="S969" s="2170"/>
      <c r="T969" s="2170"/>
      <c r="U969" s="2170"/>
      <c r="V969" s="2170"/>
      <c r="W969" s="2170"/>
      <c r="X969" s="2170"/>
      <c r="Y969" s="2170"/>
      <c r="Z969" s="2170"/>
      <c r="AA969" s="2170"/>
      <c r="AB969" s="2096">
        <f>BN663</f>
        <v>0</v>
      </c>
      <c r="AC969" s="2097"/>
      <c r="AD969" s="2097"/>
      <c r="AE969" s="2097"/>
      <c r="AF969" s="2097"/>
      <c r="AG969" s="2097"/>
      <c r="AH969" s="2097"/>
      <c r="AI969" s="2098"/>
      <c r="AJ969" s="2154">
        <f>IF(ISERROR((R969*AB969)),0,(R969*AB969))</f>
        <v>0</v>
      </c>
      <c r="AK969" s="2155"/>
      <c r="AL969" s="2155"/>
      <c r="AM969" s="2155"/>
      <c r="AN969" s="2155"/>
      <c r="AO969" s="2155"/>
      <c r="AP969" s="2155"/>
      <c r="AQ969" s="2156"/>
      <c r="AR969" s="1581"/>
      <c r="AS969" s="1581"/>
      <c r="AT969" s="1581"/>
      <c r="AU969" s="1581"/>
      <c r="AV969" s="1581"/>
      <c r="AW969" s="1581"/>
      <c r="AX969" s="1581"/>
      <c r="AY969" s="1581"/>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4"/>
      <c r="CS969" s="107"/>
      <c r="CT969" s="107"/>
      <c r="CU969" s="107"/>
      <c r="CV969" s="107"/>
      <c r="CW969" s="107"/>
      <c r="CX969" s="107"/>
      <c r="CY969" s="107"/>
      <c r="CZ969" s="107"/>
      <c r="DA969" s="107"/>
      <c r="DB969" s="107"/>
      <c r="DC969" s="107"/>
      <c r="DD969" s="107"/>
      <c r="DE969" s="107"/>
      <c r="DF969" s="107"/>
    </row>
    <row r="970" spans="1:110" s="51" customFormat="1" ht="12.75">
      <c r="B970" s="110"/>
      <c r="C970" s="1626"/>
      <c r="D970" s="2171" t="s">
        <v>334</v>
      </c>
      <c r="E970" s="2172"/>
      <c r="F970" s="2172"/>
      <c r="G970" s="2172"/>
      <c r="H970" s="2172"/>
      <c r="I970" s="2172"/>
      <c r="J970" s="2172"/>
      <c r="K970" s="2172"/>
      <c r="L970" s="2172"/>
      <c r="M970" s="2172"/>
      <c r="N970" s="2172"/>
      <c r="O970" s="2172"/>
      <c r="P970" s="2172"/>
      <c r="Q970" s="2173"/>
      <c r="R970" s="2170">
        <f>IF(ISNA(IF($BN$799="4%",(INDEX($BP$809:$BT$866,MATCH($CB$799,$BO$809:$BO$866,0),MATCH(D970,$BP$808:$BT$808,0))),(INDEX($BW$809:$CA$866,MATCH($CB$799,$BV$809:$BV$866,0),MATCH(D970,$BW$808:$CA$808,0))))),0,IF($BN$799="4%",(INDEX($BP$809:$BT$866,MATCH($CB$799,$BO$809:$BO$866,0),MATCH(D970,$BP$808:$BT$808,0))),(INDEX($BW$809:$CA$866,MATCH($CB$799,$BV$809:$BV$866,0),MATCH(D970,$BW$808:$CA$808,0)))))</f>
        <v>507348</v>
      </c>
      <c r="S970" s="2170"/>
      <c r="T970" s="2170"/>
      <c r="U970" s="2170"/>
      <c r="V970" s="2170"/>
      <c r="W970" s="2170"/>
      <c r="X970" s="2170"/>
      <c r="Y970" s="2170"/>
      <c r="Z970" s="2170"/>
      <c r="AA970" s="2170"/>
      <c r="AB970" s="2096">
        <f>BS663</f>
        <v>70</v>
      </c>
      <c r="AC970" s="2097"/>
      <c r="AD970" s="2097"/>
      <c r="AE970" s="2097"/>
      <c r="AF970" s="2097"/>
      <c r="AG970" s="2097"/>
      <c r="AH970" s="2097"/>
      <c r="AI970" s="2098"/>
      <c r="AJ970" s="2154">
        <f>IF(ISERROR((R970*AB970)),0,(R970*AB970))</f>
        <v>35514360</v>
      </c>
      <c r="AK970" s="2155"/>
      <c r="AL970" s="2155"/>
      <c r="AM970" s="2155"/>
      <c r="AN970" s="2155"/>
      <c r="AO970" s="2155"/>
      <c r="AP970" s="2155"/>
      <c r="AQ970" s="2156"/>
      <c r="AR970" s="1581"/>
      <c r="AS970" s="1581"/>
      <c r="AT970" s="1581"/>
      <c r="AU970" s="1581"/>
      <c r="AV970" s="1581"/>
      <c r="AW970" s="1581"/>
      <c r="AX970" s="1581"/>
      <c r="AY970" s="1581"/>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6"/>
      <c r="D971" s="2171" t="s">
        <v>168</v>
      </c>
      <c r="E971" s="2172"/>
      <c r="F971" s="2172"/>
      <c r="G971" s="2172"/>
      <c r="H971" s="2172"/>
      <c r="I971" s="2172"/>
      <c r="J971" s="2172"/>
      <c r="K971" s="2172"/>
      <c r="L971" s="2172"/>
      <c r="M971" s="2172"/>
      <c r="N971" s="2172"/>
      <c r="O971" s="2172"/>
      <c r="P971" s="2172"/>
      <c r="Q971" s="2173"/>
      <c r="R971" s="2170">
        <f>IF(ISNA(IF($BN$799="4%",(INDEX($BP$809:$BT$866,MATCH($CB$799,$BO$809:$BO$866,0),MATCH(D971,$BP$808:$BT$808,0))),(INDEX($BW$809:$CA$866,MATCH($CB$799,$BV$809:$BV$866,0),MATCH(D971,$BW$808:$CA$808,0))))),0,IF($BN$799="4%",(INDEX($BP$809:$BT$866,MATCH($CB$799,$BO$809:$BO$866,0),MATCH(D971,$BP$808:$BT$808,0))),(INDEX($BW$809:$CA$866,MATCH($CB$799,$BV$809:$BV$866,0),MATCH(D971,$BW$808:$CA$808,0)))))</f>
        <v>612000</v>
      </c>
      <c r="S971" s="2170"/>
      <c r="T971" s="2170"/>
      <c r="U971" s="2170"/>
      <c r="V971" s="2170"/>
      <c r="W971" s="2170"/>
      <c r="X971" s="2170"/>
      <c r="Y971" s="2170"/>
      <c r="Z971" s="2170"/>
      <c r="AA971" s="2170"/>
      <c r="AB971" s="2096">
        <f>BX663</f>
        <v>116</v>
      </c>
      <c r="AC971" s="2097"/>
      <c r="AD971" s="2097"/>
      <c r="AE971" s="2097"/>
      <c r="AF971" s="2097"/>
      <c r="AG971" s="2097"/>
      <c r="AH971" s="2097"/>
      <c r="AI971" s="2098"/>
      <c r="AJ971" s="2154">
        <f>IF(ISERROR((R971*AB971)),0,(R971*AB971))</f>
        <v>70992000</v>
      </c>
      <c r="AK971" s="2155"/>
      <c r="AL971" s="2155"/>
      <c r="AM971" s="2155"/>
      <c r="AN971" s="2155"/>
      <c r="AO971" s="2155"/>
      <c r="AP971" s="2155"/>
      <c r="AQ971" s="2156"/>
      <c r="AR971" s="1581"/>
      <c r="AS971" s="1581"/>
      <c r="AT971" s="1581"/>
      <c r="AU971" s="1581"/>
      <c r="AV971" s="1581"/>
      <c r="AW971" s="1581"/>
      <c r="AX971" s="1581"/>
      <c r="AY971" s="1581"/>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4"/>
      <c r="CS971" s="107"/>
      <c r="CT971" s="107"/>
      <c r="CU971" s="107"/>
      <c r="CV971" s="107"/>
      <c r="CW971" s="107"/>
      <c r="CX971" s="107"/>
      <c r="CY971" s="107"/>
      <c r="CZ971" s="107"/>
      <c r="DA971" s="107"/>
      <c r="DB971" s="107"/>
      <c r="DC971" s="107"/>
      <c r="DD971" s="107"/>
      <c r="DE971" s="107"/>
      <c r="DF971" s="107"/>
    </row>
    <row r="972" spans="1:110" s="51" customFormat="1" ht="12.75">
      <c r="B972" s="110"/>
      <c r="C972" s="1626"/>
      <c r="D972" s="2171" t="s">
        <v>169</v>
      </c>
      <c r="E972" s="2172"/>
      <c r="F972" s="2172"/>
      <c r="G972" s="2172"/>
      <c r="H972" s="2172"/>
      <c r="I972" s="2172"/>
      <c r="J972" s="2172"/>
      <c r="K972" s="2172"/>
      <c r="L972" s="2172"/>
      <c r="M972" s="2172"/>
      <c r="N972" s="2172"/>
      <c r="O972" s="2172"/>
      <c r="P972" s="2172"/>
      <c r="Q972" s="2173"/>
      <c r="R972" s="2170">
        <f>IF(ISNA(IF($BN$799="4%",(INDEX($BP$809:$BT$866,MATCH($CB$799,$BO$809:$BO$866,0),MATCH(D972,$BP$808:$BT$808,0))),(INDEX($BW$809:$CA$866,MATCH($CB$799,$BV$809:$BV$866,0),MATCH(D972,$BW$808:$CA$808,0))))),0,IF($BN$799="4%",(INDEX($BP$809:$BT$866,MATCH($CB$799,$BO$809:$BO$866,0),MATCH(D972,$BP$808:$BT$808,0))),(INDEX($BW$809:$CA$866,MATCH($CB$799,$BV$809:$BV$866,0),MATCH(D972,$BW$808:$CA$808,0)))))</f>
        <v>783360</v>
      </c>
      <c r="S972" s="2170"/>
      <c r="T972" s="2170"/>
      <c r="U972" s="2170"/>
      <c r="V972" s="2170"/>
      <c r="W972" s="2170"/>
      <c r="X972" s="2170"/>
      <c r="Y972" s="2170"/>
      <c r="Z972" s="2170"/>
      <c r="AA972" s="2170"/>
      <c r="AB972" s="2096">
        <f>CC663</f>
        <v>63</v>
      </c>
      <c r="AC972" s="2097"/>
      <c r="AD972" s="2097"/>
      <c r="AE972" s="2097"/>
      <c r="AF972" s="2097"/>
      <c r="AG972" s="2097"/>
      <c r="AH972" s="2097"/>
      <c r="AI972" s="2098"/>
      <c r="AJ972" s="2154">
        <f>IF(ISERROR((R972*AB972)),0,(R972*AB972))</f>
        <v>49351680</v>
      </c>
      <c r="AK972" s="2155"/>
      <c r="AL972" s="2155"/>
      <c r="AM972" s="2155"/>
      <c r="AN972" s="2155"/>
      <c r="AO972" s="2155"/>
      <c r="AP972" s="2155"/>
      <c r="AQ972" s="2156"/>
      <c r="AR972" s="1581"/>
      <c r="AS972" s="1581"/>
      <c r="AT972" s="1581"/>
      <c r="AU972" s="1581"/>
      <c r="AV972" s="1581"/>
      <c r="AW972" s="1581"/>
      <c r="AX972" s="1581"/>
      <c r="AY972" s="1581"/>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4"/>
      <c r="CS972" s="107"/>
      <c r="CT972" s="107"/>
      <c r="CU972" s="107"/>
      <c r="CV972" s="107"/>
      <c r="CW972" s="107"/>
      <c r="CX972" s="107"/>
      <c r="CY972" s="107"/>
      <c r="CZ972" s="107"/>
      <c r="DA972" s="107"/>
      <c r="DB972" s="107"/>
      <c r="DC972" s="107"/>
      <c r="DD972" s="107"/>
      <c r="DE972" s="107"/>
      <c r="DF972" s="107"/>
    </row>
    <row r="973" spans="1:110" ht="12.75" customHeight="1">
      <c r="A973" s="51"/>
      <c r="B973" s="79"/>
      <c r="C973" s="1627"/>
      <c r="D973" s="2171" t="s">
        <v>493</v>
      </c>
      <c r="E973" s="2172"/>
      <c r="F973" s="2172"/>
      <c r="G973" s="2172"/>
      <c r="H973" s="2172"/>
      <c r="I973" s="2172"/>
      <c r="J973" s="2172"/>
      <c r="K973" s="2172"/>
      <c r="L973" s="2172"/>
      <c r="M973" s="2172"/>
      <c r="N973" s="2172"/>
      <c r="O973" s="2172"/>
      <c r="P973" s="2172"/>
      <c r="Q973" s="2173"/>
      <c r="R973" s="2170">
        <f>IF(ISNA(IF($BN$799="4%",(INDEX($BP$809:$BT$866,MATCH($CB$799,$BO$809:$BO$866,0),MATCH(D973,$BP$808:$BT$808,0))),(INDEX($BW$809:$CA$866,MATCH($CB$799,$BV$809:$BV$866,0),MATCH(D973,$BW$808:$CA$808,0))))),0,IF($BN$799="4%",(INDEX($BP$809:$BT$866,MATCH($CB$799,$BO$809:$BO$866,0),MATCH(D973,$BP$808:$BT$808,0))),(INDEX($BW$809:$CA$866,MATCH($CB$799,$BV$809:$BV$866,0),MATCH(D973,$BW$808:$CA$808,0)))))</f>
        <v>872712</v>
      </c>
      <c r="S973" s="2170"/>
      <c r="T973" s="2170"/>
      <c r="U973" s="2170"/>
      <c r="V973" s="2170"/>
      <c r="W973" s="2170"/>
      <c r="X973" s="2170"/>
      <c r="Y973" s="2170"/>
      <c r="Z973" s="2170"/>
      <c r="AA973" s="2170"/>
      <c r="AB973" s="2096">
        <f>CM663+CH663</f>
        <v>0</v>
      </c>
      <c r="AC973" s="2097"/>
      <c r="AD973" s="2097"/>
      <c r="AE973" s="2097"/>
      <c r="AF973" s="2097"/>
      <c r="AG973" s="2097"/>
      <c r="AH973" s="2097"/>
      <c r="AI973" s="2098"/>
      <c r="AJ973" s="2154">
        <f>IF(ISERROR((R973*AB973)),0,(R973*AB973))</f>
        <v>0</v>
      </c>
      <c r="AK973" s="2155"/>
      <c r="AL973" s="2155"/>
      <c r="AM973" s="2155"/>
      <c r="AN973" s="2155"/>
      <c r="AO973" s="2155"/>
      <c r="AP973" s="2155"/>
      <c r="AQ973" s="2156"/>
      <c r="AR973" s="1581"/>
      <c r="AS973" s="1581"/>
      <c r="AT973" s="1581"/>
      <c r="AU973" s="1581"/>
      <c r="AV973" s="1581"/>
      <c r="AW973" s="1581"/>
      <c r="AX973" s="1581"/>
      <c r="AY973" s="1581"/>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4"/>
      <c r="CS973" s="61"/>
      <c r="CT973" s="61"/>
      <c r="CU973" s="61"/>
      <c r="CV973" s="61"/>
      <c r="CW973" s="61"/>
      <c r="CX973" s="61"/>
      <c r="CY973" s="61"/>
      <c r="CZ973" s="61"/>
      <c r="DA973" s="61"/>
      <c r="DB973" s="61"/>
      <c r="DC973" s="61"/>
      <c r="DD973" s="61"/>
      <c r="DE973" s="61"/>
      <c r="DF973" s="61"/>
    </row>
    <row r="974" spans="1:110" ht="12.75" customHeight="1">
      <c r="A974" s="51"/>
      <c r="B974" s="2180" t="s">
        <v>849</v>
      </c>
      <c r="C974" s="2181"/>
      <c r="D974" s="2181"/>
      <c r="E974" s="2181"/>
      <c r="F974" s="2181"/>
      <c r="G974" s="2181"/>
      <c r="H974" s="2181"/>
      <c r="I974" s="2181"/>
      <c r="J974" s="2181"/>
      <c r="K974" s="2181"/>
      <c r="L974" s="2181"/>
      <c r="M974" s="2181"/>
      <c r="N974" s="2181"/>
      <c r="O974" s="2181"/>
      <c r="P974" s="2181"/>
      <c r="Q974" s="2181"/>
      <c r="R974" s="2181"/>
      <c r="S974" s="2181"/>
      <c r="T974" s="2181"/>
      <c r="U974" s="2181"/>
      <c r="V974" s="2181"/>
      <c r="W974" s="2181"/>
      <c r="X974" s="2181"/>
      <c r="Y974" s="2181"/>
      <c r="Z974" s="2181"/>
      <c r="AA974" s="2182"/>
      <c r="AB974" s="2096">
        <f>SUM(AB969:AI973)</f>
        <v>249</v>
      </c>
      <c r="AC974" s="2097"/>
      <c r="AD974" s="2097"/>
      <c r="AE974" s="2097"/>
      <c r="AF974" s="2097"/>
      <c r="AG974" s="2097"/>
      <c r="AH974" s="2097"/>
      <c r="AI974" s="2098"/>
      <c r="AJ974" s="2154"/>
      <c r="AK974" s="2155"/>
      <c r="AL974" s="2155"/>
      <c r="AM974" s="2155"/>
      <c r="AN974" s="2155"/>
      <c r="AO974" s="2155"/>
      <c r="AP974" s="2155"/>
      <c r="AQ974" s="2156"/>
      <c r="AR974" s="1581"/>
      <c r="AS974" s="1581"/>
      <c r="AT974" s="1581"/>
      <c r="AU974" s="1581"/>
      <c r="AV974" s="1581"/>
      <c r="AW974" s="1581"/>
      <c r="AX974" s="1581"/>
      <c r="AY974" s="1581"/>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4"/>
      <c r="CS974" s="61"/>
      <c r="CT974" s="61"/>
      <c r="CU974" s="61"/>
      <c r="CV974" s="61"/>
      <c r="CW974" s="61"/>
      <c r="CX974" s="61"/>
      <c r="CY974" s="61"/>
      <c r="CZ974" s="61"/>
      <c r="DA974" s="61"/>
      <c r="DB974" s="61"/>
      <c r="DC974" s="61"/>
      <c r="DD974" s="61"/>
      <c r="DE974" s="61"/>
      <c r="DF974" s="61"/>
    </row>
    <row r="975" spans="1:110" ht="12.4" customHeight="1">
      <c r="A975" s="51"/>
      <c r="B975" s="2151" t="s">
        <v>545</v>
      </c>
      <c r="C975" s="2152"/>
      <c r="D975" s="2152"/>
      <c r="E975" s="2152"/>
      <c r="F975" s="2152"/>
      <c r="G975" s="2152"/>
      <c r="H975" s="2152"/>
      <c r="I975" s="2152"/>
      <c r="J975" s="2152"/>
      <c r="K975" s="2152"/>
      <c r="L975" s="2152"/>
      <c r="M975" s="2152"/>
      <c r="N975" s="2152"/>
      <c r="O975" s="2152"/>
      <c r="P975" s="2152"/>
      <c r="Q975" s="2152"/>
      <c r="R975" s="2152"/>
      <c r="S975" s="2152"/>
      <c r="T975" s="2152"/>
      <c r="U975" s="2152"/>
      <c r="V975" s="2152"/>
      <c r="W975" s="2152"/>
      <c r="X975" s="2152"/>
      <c r="Y975" s="2152"/>
      <c r="Z975" s="2152"/>
      <c r="AA975" s="2152"/>
      <c r="AB975" s="2152"/>
      <c r="AC975" s="2152"/>
      <c r="AD975" s="2152"/>
      <c r="AE975" s="2152"/>
      <c r="AF975" s="2152"/>
      <c r="AG975" s="2152"/>
      <c r="AH975" s="2152"/>
      <c r="AI975" s="2153"/>
      <c r="AJ975" s="2154">
        <f>SUM(AJ969:AQ973)</f>
        <v>155858040</v>
      </c>
      <c r="AK975" s="2155"/>
      <c r="AL975" s="2155"/>
      <c r="AM975" s="2155"/>
      <c r="AN975" s="2155"/>
      <c r="AO975" s="2155"/>
      <c r="AP975" s="2155"/>
      <c r="AQ975" s="2156"/>
      <c r="AR975" s="1581"/>
      <c r="AS975" s="1581"/>
      <c r="AT975" s="1581"/>
      <c r="AU975" s="1581"/>
      <c r="AV975" s="1581"/>
      <c r="AW975" s="1581"/>
      <c r="AX975" s="1581"/>
      <c r="AY975" s="1581"/>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4"/>
      <c r="CS975" s="61"/>
      <c r="CT975" s="61"/>
      <c r="CU975" s="61"/>
      <c r="CV975" s="61"/>
      <c r="CW975" s="61"/>
      <c r="CX975" s="61"/>
      <c r="CY975" s="61"/>
      <c r="CZ975" s="61"/>
      <c r="DA975" s="61"/>
      <c r="DB975" s="61"/>
      <c r="DC975" s="61"/>
      <c r="DD975" s="61"/>
      <c r="DE975" s="61"/>
      <c r="DF975" s="61"/>
    </row>
    <row r="976" spans="1:110" ht="12.75" customHeight="1">
      <c r="A976" s="51"/>
      <c r="B976" s="2157"/>
      <c r="C976" s="2158"/>
      <c r="D976" s="2158"/>
      <c r="E976" s="2158"/>
      <c r="F976" s="2158"/>
      <c r="G976" s="2158"/>
      <c r="H976" s="2158"/>
      <c r="I976" s="2158"/>
      <c r="J976" s="2158"/>
      <c r="K976" s="2158"/>
      <c r="L976" s="2158"/>
      <c r="M976" s="2158"/>
      <c r="N976" s="2158"/>
      <c r="O976" s="2158"/>
      <c r="P976" s="2158"/>
      <c r="Q976" s="2158"/>
      <c r="R976" s="2158"/>
      <c r="S976" s="2158"/>
      <c r="T976" s="2158"/>
      <c r="U976" s="2158"/>
      <c r="V976" s="2158"/>
      <c r="W976" s="2158"/>
      <c r="X976" s="2158"/>
      <c r="Y976" s="2158"/>
      <c r="Z976" s="2158"/>
      <c r="AA976" s="2158"/>
      <c r="AB976" s="2158"/>
      <c r="AC976" s="2158"/>
      <c r="AD976" s="2158"/>
      <c r="AE976" s="2159"/>
      <c r="AF976" s="2160" t="s">
        <v>703</v>
      </c>
      <c r="AG976" s="2161"/>
      <c r="AH976" s="2161"/>
      <c r="AI976" s="2162"/>
      <c r="AJ976" s="2157"/>
      <c r="AK976" s="2158"/>
      <c r="AL976" s="2158"/>
      <c r="AM976" s="2158"/>
      <c r="AN976" s="2158"/>
      <c r="AO976" s="2158"/>
      <c r="AP976" s="2158"/>
      <c r="AQ976" s="2159"/>
      <c r="AR976" s="1581"/>
      <c r="AS976" s="1581"/>
      <c r="AT976" s="1581"/>
      <c r="AU976" s="1581"/>
      <c r="AV976" s="1581"/>
      <c r="AW976" s="1581"/>
      <c r="AX976" s="1581"/>
      <c r="AY976" s="1581"/>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4"/>
      <c r="CS976" s="61"/>
      <c r="CT976" s="61"/>
      <c r="CU976" s="61"/>
      <c r="CV976" s="61"/>
      <c r="CW976" s="61"/>
      <c r="CX976" s="61"/>
      <c r="CY976" s="61"/>
      <c r="CZ976" s="61"/>
      <c r="DA976" s="61"/>
      <c r="DB976" s="61"/>
      <c r="DC976" s="61"/>
      <c r="DD976" s="61"/>
      <c r="DE976" s="61"/>
      <c r="DF976" s="61"/>
    </row>
    <row r="977" spans="1:110" ht="12.75" customHeight="1">
      <c r="A977" s="51"/>
      <c r="B977" s="110"/>
      <c r="C977" s="1623" t="s">
        <v>705</v>
      </c>
      <c r="D977" s="2167" t="s">
        <v>1431</v>
      </c>
      <c r="E977" s="2168"/>
      <c r="F977" s="2168"/>
      <c r="G977" s="2168"/>
      <c r="H977" s="2168"/>
      <c r="I977" s="2168"/>
      <c r="J977" s="2168"/>
      <c r="K977" s="2168"/>
      <c r="L977" s="2168"/>
      <c r="M977" s="2168"/>
      <c r="N977" s="2168"/>
      <c r="O977" s="2168"/>
      <c r="P977" s="2168"/>
      <c r="Q977" s="2168"/>
      <c r="R977" s="2168"/>
      <c r="S977" s="2168"/>
      <c r="T977" s="2168"/>
      <c r="U977" s="2168"/>
      <c r="V977" s="2168"/>
      <c r="W977" s="2168"/>
      <c r="X977" s="2168"/>
      <c r="Y977" s="2168"/>
      <c r="Z977" s="2168"/>
      <c r="AA977" s="2168"/>
      <c r="AB977" s="2168"/>
      <c r="AC977" s="2168"/>
      <c r="AD977" s="2168"/>
      <c r="AE977" s="2169"/>
      <c r="AF977" s="117"/>
      <c r="AG977" s="2163" t="s">
        <v>706</v>
      </c>
      <c r="AH977" s="2164"/>
      <c r="AI977" s="125"/>
      <c r="AJ977" s="2109">
        <f>ROUND(IF(AND(AG977="yes",D979&gt;0),AJ975*0.2,0),0)</f>
        <v>0</v>
      </c>
      <c r="AK977" s="2110"/>
      <c r="AL977" s="2110"/>
      <c r="AM977" s="2110"/>
      <c r="AN977" s="2110"/>
      <c r="AO977" s="2110"/>
      <c r="AP977" s="2110"/>
      <c r="AQ977" s="2111"/>
      <c r="AR977" s="1581"/>
      <c r="AS977" s="1581"/>
      <c r="AT977" s="1581"/>
      <c r="AU977" s="1581"/>
      <c r="AV977" s="1581"/>
      <c r="AW977" s="1581"/>
      <c r="AX977" s="1581"/>
      <c r="AY977" s="1581"/>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4"/>
      <c r="CS977" s="61"/>
      <c r="CT977" s="61"/>
      <c r="CU977" s="61"/>
      <c r="CV977" s="61"/>
      <c r="CW977" s="61"/>
      <c r="CX977" s="61"/>
      <c r="CY977" s="61"/>
      <c r="CZ977" s="61"/>
      <c r="DA977" s="61"/>
      <c r="DB977" s="61"/>
      <c r="DC977" s="61"/>
      <c r="DD977" s="61"/>
      <c r="DE977" s="61"/>
      <c r="DF977" s="61"/>
    </row>
    <row r="978" spans="1:110" ht="66" customHeight="1">
      <c r="A978" s="51"/>
      <c r="B978" s="412"/>
      <c r="C978" s="411"/>
      <c r="D978" s="2183" t="s">
        <v>1432</v>
      </c>
      <c r="E978" s="2184"/>
      <c r="F978" s="2184"/>
      <c r="G978" s="2184"/>
      <c r="H978" s="2184"/>
      <c r="I978" s="2184"/>
      <c r="J978" s="2184"/>
      <c r="K978" s="2184"/>
      <c r="L978" s="2184"/>
      <c r="M978" s="2184"/>
      <c r="N978" s="2184"/>
      <c r="O978" s="2184"/>
      <c r="P978" s="2184"/>
      <c r="Q978" s="2184"/>
      <c r="R978" s="2184"/>
      <c r="S978" s="2184"/>
      <c r="T978" s="2184"/>
      <c r="U978" s="2184"/>
      <c r="V978" s="2184"/>
      <c r="W978" s="2184"/>
      <c r="X978" s="2184"/>
      <c r="Y978" s="2184"/>
      <c r="Z978" s="2184"/>
      <c r="AA978" s="2184"/>
      <c r="AB978" s="2184"/>
      <c r="AC978" s="2184"/>
      <c r="AD978" s="2184"/>
      <c r="AE978" s="2185"/>
      <c r="AF978" s="110"/>
      <c r="AG978" s="112"/>
      <c r="AH978" s="112"/>
      <c r="AI978" s="121"/>
      <c r="AJ978" s="2112"/>
      <c r="AK978" s="2113"/>
      <c r="AL978" s="2113"/>
      <c r="AM978" s="2113"/>
      <c r="AN978" s="2113"/>
      <c r="AO978" s="2113"/>
      <c r="AP978" s="2113"/>
      <c r="AQ978" s="2114"/>
      <c r="AR978" s="1581"/>
      <c r="AS978" s="1581"/>
      <c r="AT978" s="1581"/>
      <c r="AU978" s="1581"/>
      <c r="AV978" s="1581"/>
      <c r="AW978" s="1581"/>
      <c r="AX978" s="1581"/>
      <c r="AY978" s="1581"/>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4"/>
      <c r="CS978" s="61"/>
      <c r="CT978" s="61"/>
      <c r="CU978" s="61"/>
      <c r="CV978" s="61"/>
      <c r="CW978" s="61"/>
      <c r="CX978" s="61"/>
      <c r="CY978" s="61"/>
      <c r="CZ978" s="61"/>
      <c r="DA978" s="61"/>
      <c r="DB978" s="61"/>
      <c r="DC978" s="61"/>
      <c r="DD978" s="61"/>
      <c r="DE978" s="61"/>
      <c r="DF978" s="61"/>
    </row>
    <row r="979" spans="1:110" ht="12.4" customHeight="1">
      <c r="A979" s="51"/>
      <c r="B979" s="412"/>
      <c r="C979" s="411"/>
      <c r="D979" s="2186"/>
      <c r="E979" s="2187"/>
      <c r="F979" s="2187"/>
      <c r="G979" s="2187"/>
      <c r="H979" s="2187"/>
      <c r="I979" s="2187"/>
      <c r="J979" s="2187"/>
      <c r="K979" s="2187"/>
      <c r="L979" s="2187"/>
      <c r="M979" s="2187"/>
      <c r="N979" s="2187"/>
      <c r="O979" s="2187"/>
      <c r="P979" s="2187"/>
      <c r="Q979" s="2187"/>
      <c r="R979" s="2187"/>
      <c r="S979" s="2187"/>
      <c r="T979" s="2187"/>
      <c r="U979" s="2187"/>
      <c r="V979" s="2187"/>
      <c r="W979" s="2187"/>
      <c r="X979" s="2187"/>
      <c r="Y979" s="2187"/>
      <c r="Z979" s="2187"/>
      <c r="AA979" s="2187"/>
      <c r="AB979" s="2187"/>
      <c r="AC979" s="2187"/>
      <c r="AD979" s="2187"/>
      <c r="AE979" s="2188"/>
      <c r="AF979" s="115"/>
      <c r="AG979" s="11"/>
      <c r="AH979" s="11"/>
      <c r="AI979" s="116"/>
      <c r="AJ979" s="2115"/>
      <c r="AK979" s="2116"/>
      <c r="AL979" s="2116"/>
      <c r="AM979" s="2116"/>
      <c r="AN979" s="2116"/>
      <c r="AO979" s="2116"/>
      <c r="AP979" s="2116"/>
      <c r="AQ979" s="2117"/>
      <c r="AR979" s="1581"/>
      <c r="AS979" s="1581"/>
      <c r="AT979" s="1581"/>
      <c r="AU979" s="1581"/>
      <c r="AV979" s="1581"/>
      <c r="AW979" s="1581"/>
      <c r="AX979" s="1581"/>
      <c r="AY979" s="1581"/>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4"/>
      <c r="CS979" s="61"/>
      <c r="CT979" s="61"/>
      <c r="CU979" s="61"/>
      <c r="CV979" s="61"/>
      <c r="CW979" s="61"/>
      <c r="CX979" s="61"/>
      <c r="CY979" s="61"/>
      <c r="CZ979" s="61"/>
      <c r="DA979" s="61"/>
      <c r="DB979" s="61"/>
      <c r="DC979" s="61"/>
      <c r="DD979" s="61"/>
      <c r="DE979" s="61"/>
      <c r="DF979" s="61"/>
    </row>
    <row r="980" spans="1:110" ht="12.75" customHeight="1">
      <c r="A980" s="51"/>
      <c r="B980" s="410"/>
      <c r="C980" s="501"/>
      <c r="D980" s="2103" t="s">
        <v>1531</v>
      </c>
      <c r="E980" s="2104"/>
      <c r="F980" s="2104"/>
      <c r="G980" s="2104"/>
      <c r="H980" s="2104"/>
      <c r="I980" s="2104"/>
      <c r="J980" s="2104"/>
      <c r="K980" s="2104"/>
      <c r="L980" s="2104"/>
      <c r="M980" s="2104"/>
      <c r="N980" s="2104"/>
      <c r="O980" s="2104"/>
      <c r="P980" s="2104"/>
      <c r="Q980" s="2104"/>
      <c r="R980" s="2104"/>
      <c r="S980" s="2104"/>
      <c r="T980" s="2104"/>
      <c r="U980" s="2104"/>
      <c r="V980" s="2104"/>
      <c r="W980" s="2104"/>
      <c r="X980" s="2104"/>
      <c r="Y980" s="2104"/>
      <c r="Z980" s="2104"/>
      <c r="AA980" s="2104"/>
      <c r="AB980" s="2104"/>
      <c r="AC980" s="2104"/>
      <c r="AD980" s="2104"/>
      <c r="AE980" s="2105"/>
      <c r="AF980" s="117"/>
      <c r="AG980" s="2165" t="s">
        <v>706</v>
      </c>
      <c r="AH980" s="2166"/>
      <c r="AI980" s="125"/>
      <c r="AJ980" s="2109">
        <f>ROUND(IF(AG980="yes",AJ975*0.05,0),0)</f>
        <v>0</v>
      </c>
      <c r="AK980" s="2110"/>
      <c r="AL980" s="2110"/>
      <c r="AM980" s="2110"/>
      <c r="AN980" s="2110"/>
      <c r="AO980" s="2110"/>
      <c r="AP980" s="2110"/>
      <c r="AQ980" s="2111"/>
      <c r="AR980" s="1581"/>
      <c r="AS980" s="1581"/>
      <c r="AT980" s="1581"/>
      <c r="AU980" s="1581"/>
      <c r="AV980" s="1581"/>
      <c r="AW980" s="1581"/>
      <c r="AX980" s="1581"/>
      <c r="AY980" s="1581"/>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4"/>
      <c r="CS980" s="61"/>
      <c r="CT980" s="61"/>
      <c r="CU980" s="61"/>
      <c r="CV980" s="61"/>
      <c r="CW980" s="61"/>
      <c r="CX980" s="61"/>
      <c r="CY980" s="61"/>
      <c r="CZ980" s="61"/>
      <c r="DA980" s="61"/>
      <c r="DB980" s="61"/>
      <c r="DC980" s="61"/>
      <c r="DD980" s="61"/>
      <c r="DE980" s="61"/>
      <c r="DF980" s="61"/>
    </row>
    <row r="981" spans="1:110" ht="12.4" customHeight="1">
      <c r="A981" s="51"/>
      <c r="B981" s="412"/>
      <c r="C981" s="120"/>
      <c r="D981" s="2183" t="s">
        <v>1529</v>
      </c>
      <c r="E981" s="2184"/>
      <c r="F981" s="2184"/>
      <c r="G981" s="2184"/>
      <c r="H981" s="2184"/>
      <c r="I981" s="2184"/>
      <c r="J981" s="2184"/>
      <c r="K981" s="2184"/>
      <c r="L981" s="2184"/>
      <c r="M981" s="2184"/>
      <c r="N981" s="2184"/>
      <c r="O981" s="2184"/>
      <c r="P981" s="2184"/>
      <c r="Q981" s="2184"/>
      <c r="R981" s="2184"/>
      <c r="S981" s="2184"/>
      <c r="T981" s="2184"/>
      <c r="U981" s="2184"/>
      <c r="V981" s="2184"/>
      <c r="W981" s="2184"/>
      <c r="X981" s="2184"/>
      <c r="Y981" s="2184"/>
      <c r="Z981" s="2184"/>
      <c r="AA981" s="2184"/>
      <c r="AB981" s="2184"/>
      <c r="AC981" s="2184"/>
      <c r="AD981" s="2184"/>
      <c r="AE981" s="2185"/>
      <c r="AF981" s="110"/>
      <c r="AG981" s="112"/>
      <c r="AH981" s="112"/>
      <c r="AI981" s="121"/>
      <c r="AJ981" s="2112"/>
      <c r="AK981" s="2113"/>
      <c r="AL981" s="2113"/>
      <c r="AM981" s="2113"/>
      <c r="AN981" s="2113"/>
      <c r="AO981" s="2113"/>
      <c r="AP981" s="2113"/>
      <c r="AQ981" s="2114"/>
      <c r="AR981" s="1581"/>
      <c r="AS981" s="1581"/>
      <c r="AT981" s="1581"/>
      <c r="AU981" s="1581"/>
      <c r="AV981" s="1581"/>
      <c r="AW981" s="1581"/>
      <c r="AX981" s="1581"/>
      <c r="AY981" s="158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4"/>
      <c r="CS981" s="61"/>
      <c r="CT981" s="61"/>
      <c r="CU981" s="61"/>
      <c r="CV981" s="61"/>
      <c r="CW981" s="61"/>
      <c r="CX981" s="61"/>
      <c r="CY981" s="61"/>
      <c r="CZ981" s="61"/>
      <c r="DA981" s="61"/>
      <c r="DB981" s="61"/>
      <c r="DC981" s="61"/>
      <c r="DD981" s="61"/>
      <c r="DE981" s="61"/>
      <c r="DF981" s="61"/>
    </row>
    <row r="982" spans="1:110" ht="12.75" customHeight="1">
      <c r="A982" s="51"/>
      <c r="B982" s="412"/>
      <c r="C982" s="120"/>
      <c r="D982" s="2183"/>
      <c r="E982" s="2184"/>
      <c r="F982" s="2184"/>
      <c r="G982" s="2184"/>
      <c r="H982" s="2184"/>
      <c r="I982" s="2184"/>
      <c r="J982" s="2184"/>
      <c r="K982" s="2184"/>
      <c r="L982" s="2184"/>
      <c r="M982" s="2184"/>
      <c r="N982" s="2184"/>
      <c r="O982" s="2184"/>
      <c r="P982" s="2184"/>
      <c r="Q982" s="2184"/>
      <c r="R982" s="2184"/>
      <c r="S982" s="2184"/>
      <c r="T982" s="2184"/>
      <c r="U982" s="2184"/>
      <c r="V982" s="2184"/>
      <c r="W982" s="2184"/>
      <c r="X982" s="2184"/>
      <c r="Y982" s="2184"/>
      <c r="Z982" s="2184"/>
      <c r="AA982" s="2184"/>
      <c r="AB982" s="2184"/>
      <c r="AC982" s="2184"/>
      <c r="AD982" s="2184"/>
      <c r="AE982" s="2185"/>
      <c r="AF982" s="110"/>
      <c r="AG982" s="112"/>
      <c r="AH982" s="112"/>
      <c r="AI982" s="121"/>
      <c r="AJ982" s="2112"/>
      <c r="AK982" s="2113"/>
      <c r="AL982" s="2113"/>
      <c r="AM982" s="2113"/>
      <c r="AN982" s="2113"/>
      <c r="AO982" s="2113"/>
      <c r="AP982" s="2113"/>
      <c r="AQ982" s="2114"/>
      <c r="AR982" s="1581"/>
      <c r="AS982" s="1581"/>
      <c r="AT982" s="1581"/>
      <c r="AU982" s="1581"/>
      <c r="AV982" s="1581"/>
      <c r="AW982" s="1581"/>
      <c r="AX982" s="1581"/>
      <c r="AY982" s="158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4"/>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83"/>
      <c r="E983" s="2184"/>
      <c r="F983" s="2184"/>
      <c r="G983" s="2184"/>
      <c r="H983" s="2184"/>
      <c r="I983" s="2184"/>
      <c r="J983" s="2184"/>
      <c r="K983" s="2184"/>
      <c r="L983" s="2184"/>
      <c r="M983" s="2184"/>
      <c r="N983" s="2184"/>
      <c r="O983" s="2184"/>
      <c r="P983" s="2184"/>
      <c r="Q983" s="2184"/>
      <c r="R983" s="2184"/>
      <c r="S983" s="2184"/>
      <c r="T983" s="2184"/>
      <c r="U983" s="2184"/>
      <c r="V983" s="2184"/>
      <c r="W983" s="2184"/>
      <c r="X983" s="2184"/>
      <c r="Y983" s="2184"/>
      <c r="Z983" s="2184"/>
      <c r="AA983" s="2184"/>
      <c r="AB983" s="2184"/>
      <c r="AC983" s="2184"/>
      <c r="AD983" s="2184"/>
      <c r="AE983" s="2185"/>
      <c r="AF983" s="110"/>
      <c r="AG983" s="112"/>
      <c r="AH983" s="112"/>
      <c r="AI983" s="121"/>
      <c r="AJ983" s="2112"/>
      <c r="AK983" s="2113"/>
      <c r="AL983" s="2113"/>
      <c r="AM983" s="2113"/>
      <c r="AN983" s="2113"/>
      <c r="AO983" s="2113"/>
      <c r="AP983" s="2113"/>
      <c r="AQ983" s="2114"/>
      <c r="AR983" s="1581"/>
      <c r="AS983" s="1581"/>
      <c r="AT983" s="1581"/>
      <c r="AU983" s="1581"/>
      <c r="AV983" s="1581"/>
      <c r="AW983" s="1581"/>
      <c r="AX983" s="1581"/>
      <c r="AY983" s="158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4"/>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83"/>
      <c r="E984" s="2184"/>
      <c r="F984" s="2184"/>
      <c r="G984" s="2184"/>
      <c r="H984" s="2184"/>
      <c r="I984" s="2184"/>
      <c r="J984" s="2184"/>
      <c r="K984" s="2184"/>
      <c r="L984" s="2184"/>
      <c r="M984" s="2184"/>
      <c r="N984" s="2184"/>
      <c r="O984" s="2184"/>
      <c r="P984" s="2184"/>
      <c r="Q984" s="2184"/>
      <c r="R984" s="2184"/>
      <c r="S984" s="2184"/>
      <c r="T984" s="2184"/>
      <c r="U984" s="2184"/>
      <c r="V984" s="2184"/>
      <c r="W984" s="2184"/>
      <c r="X984" s="2184"/>
      <c r="Y984" s="2184"/>
      <c r="Z984" s="2184"/>
      <c r="AA984" s="2184"/>
      <c r="AB984" s="2184"/>
      <c r="AC984" s="2184"/>
      <c r="AD984" s="2184"/>
      <c r="AE984" s="2185"/>
      <c r="AF984" s="110"/>
      <c r="AG984" s="112"/>
      <c r="AH984" s="112"/>
      <c r="AI984" s="121"/>
      <c r="AJ984" s="2112"/>
      <c r="AK984" s="2113"/>
      <c r="AL984" s="2113"/>
      <c r="AM984" s="2113"/>
      <c r="AN984" s="2113"/>
      <c r="AO984" s="2113"/>
      <c r="AP984" s="2113"/>
      <c r="AQ984" s="2114"/>
      <c r="AR984" s="1581"/>
      <c r="AS984" s="1581"/>
      <c r="AT984" s="1581"/>
      <c r="AU984" s="1581"/>
      <c r="AV984" s="1581"/>
      <c r="AW984" s="1581"/>
      <c r="AX984" s="1581"/>
      <c r="AY984" s="158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4"/>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89"/>
      <c r="E985" s="2190"/>
      <c r="F985" s="2190"/>
      <c r="G985" s="2190"/>
      <c r="H985" s="2190"/>
      <c r="I985" s="2190"/>
      <c r="J985" s="2190"/>
      <c r="K985" s="2190"/>
      <c r="L985" s="2190"/>
      <c r="M985" s="2190"/>
      <c r="N985" s="2190"/>
      <c r="O985" s="2190"/>
      <c r="P985" s="2190"/>
      <c r="Q985" s="2190"/>
      <c r="R985" s="2190"/>
      <c r="S985" s="2190"/>
      <c r="T985" s="2190"/>
      <c r="U985" s="2190"/>
      <c r="V985" s="2190"/>
      <c r="W985" s="2190"/>
      <c r="X985" s="2190"/>
      <c r="Y985" s="2190"/>
      <c r="Z985" s="2190"/>
      <c r="AA985" s="2190"/>
      <c r="AB985" s="2190"/>
      <c r="AC985" s="2190"/>
      <c r="AD985" s="2190"/>
      <c r="AE985" s="2191"/>
      <c r="AF985" s="115"/>
      <c r="AG985" s="11"/>
      <c r="AH985" s="11"/>
      <c r="AI985" s="116"/>
      <c r="AJ985" s="2115"/>
      <c r="AK985" s="2116"/>
      <c r="AL985" s="2116"/>
      <c r="AM985" s="2116"/>
      <c r="AN985" s="2116"/>
      <c r="AO985" s="2116"/>
      <c r="AP985" s="2116"/>
      <c r="AQ985" s="2117"/>
      <c r="AR985" s="1581"/>
      <c r="AS985" s="1581"/>
      <c r="AT985" s="1581"/>
      <c r="AU985" s="1581"/>
      <c r="AV985" s="1581"/>
      <c r="AW985" s="1581"/>
      <c r="AX985" s="1581"/>
      <c r="AY985" s="158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4"/>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03" t="s">
        <v>2172</v>
      </c>
      <c r="E986" s="2104"/>
      <c r="F986" s="2104"/>
      <c r="G986" s="2104"/>
      <c r="H986" s="2104"/>
      <c r="I986" s="2104"/>
      <c r="J986" s="2104"/>
      <c r="K986" s="2104"/>
      <c r="L986" s="2104"/>
      <c r="M986" s="2104"/>
      <c r="N986" s="2104"/>
      <c r="O986" s="2104"/>
      <c r="P986" s="2104"/>
      <c r="Q986" s="2104"/>
      <c r="R986" s="2104"/>
      <c r="S986" s="2104"/>
      <c r="T986" s="2104"/>
      <c r="U986" s="2104"/>
      <c r="V986" s="2104"/>
      <c r="W986" s="2104"/>
      <c r="X986" s="2104"/>
      <c r="Y986" s="2104"/>
      <c r="Z986" s="2104"/>
      <c r="AA986" s="2104"/>
      <c r="AB986" s="2104"/>
      <c r="AC986" s="2104"/>
      <c r="AD986" s="2104"/>
      <c r="AE986" s="2105"/>
      <c r="AF986" s="124"/>
      <c r="AG986" s="2165" t="s">
        <v>706</v>
      </c>
      <c r="AH986" s="2166"/>
      <c r="AI986" s="125"/>
      <c r="AJ986" s="2109">
        <f>ROUND(IF(AG986="yes",AJ975*0.1,0),0)</f>
        <v>0</v>
      </c>
      <c r="AK986" s="2110"/>
      <c r="AL986" s="2110"/>
      <c r="AM986" s="2110"/>
      <c r="AN986" s="2110"/>
      <c r="AO986" s="2110"/>
      <c r="AP986" s="2110"/>
      <c r="AQ986" s="2111"/>
      <c r="AR986" s="1581"/>
      <c r="AS986" s="1581"/>
      <c r="AT986" s="1581"/>
      <c r="AU986" s="1581"/>
      <c r="AV986" s="1581"/>
      <c r="AW986" s="1581"/>
      <c r="AX986" s="1581"/>
      <c r="AY986" s="158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4"/>
      <c r="CS986" s="61"/>
      <c r="CT986" s="61"/>
      <c r="CU986" s="61"/>
      <c r="CV986" s="61"/>
      <c r="CW986" s="61"/>
      <c r="CX986" s="61"/>
      <c r="CY986" s="61"/>
      <c r="CZ986" s="61"/>
      <c r="DA986" s="61"/>
      <c r="DB986" s="61"/>
      <c r="DC986" s="61"/>
      <c r="DD986" s="61"/>
      <c r="DE986" s="61"/>
      <c r="DF986" s="61"/>
    </row>
    <row r="987" spans="1:110" ht="12.75" customHeight="1">
      <c r="A987" s="51"/>
      <c r="B987" s="110"/>
      <c r="C987" s="111"/>
      <c r="D987" s="2145" t="s">
        <v>1530</v>
      </c>
      <c r="E987" s="2146"/>
      <c r="F987" s="2146"/>
      <c r="G987" s="2146"/>
      <c r="H987" s="2146"/>
      <c r="I987" s="2146"/>
      <c r="J987" s="2146"/>
      <c r="K987" s="2146"/>
      <c r="L987" s="2146"/>
      <c r="M987" s="2146"/>
      <c r="N987" s="2146"/>
      <c r="O987" s="2146"/>
      <c r="P987" s="2146"/>
      <c r="Q987" s="2146"/>
      <c r="R987" s="2146"/>
      <c r="S987" s="2146"/>
      <c r="T987" s="2146"/>
      <c r="U987" s="2146"/>
      <c r="V987" s="2146"/>
      <c r="W987" s="2146"/>
      <c r="X987" s="2146"/>
      <c r="Y987" s="2146"/>
      <c r="Z987" s="2146"/>
      <c r="AA987" s="2146"/>
      <c r="AB987" s="2146"/>
      <c r="AC987" s="2146"/>
      <c r="AD987" s="2146"/>
      <c r="AE987" s="2147"/>
      <c r="AF987" s="110"/>
      <c r="AG987" s="25"/>
      <c r="AH987" s="25"/>
      <c r="AI987" s="121"/>
      <c r="AJ987" s="2112"/>
      <c r="AK987" s="2113"/>
      <c r="AL987" s="2113"/>
      <c r="AM987" s="2113"/>
      <c r="AN987" s="2113"/>
      <c r="AO987" s="2113"/>
      <c r="AP987" s="2113"/>
      <c r="AQ987" s="2114"/>
      <c r="AR987" s="1581"/>
      <c r="AS987" s="1581"/>
      <c r="AT987" s="1581"/>
      <c r="AU987" s="1581"/>
      <c r="AV987" s="1581"/>
      <c r="AW987" s="1581"/>
      <c r="AX987" s="1581"/>
      <c r="AY987" s="1581"/>
      <c r="AZ987" s="61"/>
      <c r="BA987" s="1610">
        <f>G753+O796</f>
        <v>246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4"/>
      <c r="CS987" s="61"/>
      <c r="CT987" s="61"/>
      <c r="CU987" s="61"/>
      <c r="CV987" s="61"/>
      <c r="CW987" s="61"/>
      <c r="CX987" s="61"/>
      <c r="CY987" s="61"/>
      <c r="CZ987" s="61"/>
      <c r="DA987" s="61"/>
      <c r="DB987" s="61"/>
      <c r="DC987" s="61"/>
      <c r="DD987" s="61"/>
      <c r="DE987" s="61"/>
      <c r="DF987" s="61"/>
    </row>
    <row r="988" spans="1:110" ht="12.75" customHeight="1">
      <c r="A988" s="51"/>
      <c r="B988" s="110"/>
      <c r="C988" s="111"/>
      <c r="D988" s="2145"/>
      <c r="E988" s="2146"/>
      <c r="F988" s="2146"/>
      <c r="G988" s="2146"/>
      <c r="H988" s="2146"/>
      <c r="I988" s="2146"/>
      <c r="J988" s="2146"/>
      <c r="K988" s="2146"/>
      <c r="L988" s="2146"/>
      <c r="M988" s="2146"/>
      <c r="N988" s="2146"/>
      <c r="O988" s="2146"/>
      <c r="P988" s="2146"/>
      <c r="Q988" s="2146"/>
      <c r="R988" s="2146"/>
      <c r="S988" s="2146"/>
      <c r="T988" s="2146"/>
      <c r="U988" s="2146"/>
      <c r="V988" s="2146"/>
      <c r="W988" s="2146"/>
      <c r="X988" s="2146"/>
      <c r="Y988" s="2146"/>
      <c r="Z988" s="2146"/>
      <c r="AA988" s="2146"/>
      <c r="AB988" s="2146"/>
      <c r="AC988" s="2146"/>
      <c r="AD988" s="2146"/>
      <c r="AE988" s="2147"/>
      <c r="AF988" s="110"/>
      <c r="AG988" s="112"/>
      <c r="AH988" s="112"/>
      <c r="AI988" s="121"/>
      <c r="AJ988" s="2112"/>
      <c r="AK988" s="2113"/>
      <c r="AL988" s="2113"/>
      <c r="AM988" s="2113"/>
      <c r="AN988" s="2113"/>
      <c r="AO988" s="2113"/>
      <c r="AP988" s="2113"/>
      <c r="AQ988" s="2114"/>
      <c r="AR988" s="1581"/>
      <c r="AS988" s="1581"/>
      <c r="AT988" s="1581"/>
      <c r="AU988" s="1581"/>
      <c r="AV988" s="1581"/>
      <c r="AW988" s="1581"/>
      <c r="AX988" s="1581"/>
      <c r="AY988" s="1581"/>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4"/>
      <c r="CS988" s="61"/>
      <c r="CT988" s="61"/>
      <c r="CU988" s="61"/>
      <c r="CV988" s="61"/>
      <c r="CW988" s="61"/>
      <c r="CX988" s="61"/>
      <c r="CY988" s="61"/>
      <c r="CZ988" s="61"/>
      <c r="DA988" s="61"/>
      <c r="DB988" s="61"/>
      <c r="DC988" s="61"/>
      <c r="DD988" s="61"/>
      <c r="DE988" s="61"/>
      <c r="DF988" s="61"/>
    </row>
    <row r="989" spans="1:110" ht="12.75" customHeight="1">
      <c r="A989" s="51"/>
      <c r="B989" s="123"/>
      <c r="C989" s="114"/>
      <c r="D989" s="2106"/>
      <c r="E989" s="2107"/>
      <c r="F989" s="2107"/>
      <c r="G989" s="2107"/>
      <c r="H989" s="2107"/>
      <c r="I989" s="2107"/>
      <c r="J989" s="2107"/>
      <c r="K989" s="2107"/>
      <c r="L989" s="2107"/>
      <c r="M989" s="2107"/>
      <c r="N989" s="2107"/>
      <c r="O989" s="2107"/>
      <c r="P989" s="2107"/>
      <c r="Q989" s="2107"/>
      <c r="R989" s="2107"/>
      <c r="S989" s="2107"/>
      <c r="T989" s="2107"/>
      <c r="U989" s="2107"/>
      <c r="V989" s="2107"/>
      <c r="W989" s="2107"/>
      <c r="X989" s="2107"/>
      <c r="Y989" s="2107"/>
      <c r="Z989" s="2107"/>
      <c r="AA989" s="2107"/>
      <c r="AB989" s="2107"/>
      <c r="AC989" s="2107"/>
      <c r="AD989" s="2107"/>
      <c r="AE989" s="2108"/>
      <c r="AF989" s="115"/>
      <c r="AG989" s="11"/>
      <c r="AH989" s="11"/>
      <c r="AI989" s="116"/>
      <c r="AJ989" s="2115"/>
      <c r="AK989" s="2116"/>
      <c r="AL989" s="2116"/>
      <c r="AM989" s="2116"/>
      <c r="AN989" s="2116"/>
      <c r="AO989" s="2116"/>
      <c r="AP989" s="2116"/>
      <c r="AQ989" s="2117"/>
      <c r="AR989" s="1581"/>
      <c r="AS989" s="1581"/>
      <c r="AT989" s="1581"/>
      <c r="AU989" s="1581"/>
      <c r="AV989" s="1581"/>
      <c r="AW989" s="1581"/>
      <c r="AX989" s="1581"/>
      <c r="AY989" s="1581"/>
      <c r="AZ989" s="61"/>
      <c r="BA989" s="1609">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4"/>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03" t="s">
        <v>1532</v>
      </c>
      <c r="E990" s="2104"/>
      <c r="F990" s="2104"/>
      <c r="G990" s="2104"/>
      <c r="H990" s="2104"/>
      <c r="I990" s="2104"/>
      <c r="J990" s="2104"/>
      <c r="K990" s="2104"/>
      <c r="L990" s="2104"/>
      <c r="M990" s="2104"/>
      <c r="N990" s="2104"/>
      <c r="O990" s="2104"/>
      <c r="P990" s="2104"/>
      <c r="Q990" s="2104"/>
      <c r="R990" s="2104"/>
      <c r="S990" s="2104"/>
      <c r="T990" s="2104"/>
      <c r="U990" s="2104"/>
      <c r="V990" s="2104"/>
      <c r="W990" s="2104"/>
      <c r="X990" s="2104"/>
      <c r="Y990" s="2104"/>
      <c r="Z990" s="2104"/>
      <c r="AA990" s="2104"/>
      <c r="AB990" s="2104"/>
      <c r="AC990" s="2104"/>
      <c r="AD990" s="2104"/>
      <c r="AE990" s="2105"/>
      <c r="AF990" s="117"/>
      <c r="AG990" s="2165" t="s">
        <v>706</v>
      </c>
      <c r="AH990" s="2166"/>
      <c r="AI990" s="125"/>
      <c r="AJ990" s="2109">
        <f>ROUND(IF(AG990="yes",AJ975*0.02,0),0)</f>
        <v>0</v>
      </c>
      <c r="AK990" s="2110"/>
      <c r="AL990" s="2110"/>
      <c r="AM990" s="2110"/>
      <c r="AN990" s="2110"/>
      <c r="AO990" s="2110"/>
      <c r="AP990" s="2110"/>
      <c r="AQ990" s="2111"/>
      <c r="AR990" s="1581"/>
      <c r="AS990" s="1581"/>
      <c r="AT990" s="1581"/>
      <c r="AU990" s="1581"/>
      <c r="AV990" s="1581"/>
      <c r="AW990" s="1581"/>
      <c r="AX990" s="1581"/>
      <c r="AY990" s="1581"/>
      <c r="AZ990" s="61"/>
      <c r="BA990" s="1609">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4"/>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6" t="s">
        <v>1533</v>
      </c>
      <c r="E991" s="2107"/>
      <c r="F991" s="2107"/>
      <c r="G991" s="2107"/>
      <c r="H991" s="2107"/>
      <c r="I991" s="2107"/>
      <c r="J991" s="2107"/>
      <c r="K991" s="2107"/>
      <c r="L991" s="2107"/>
      <c r="M991" s="2107"/>
      <c r="N991" s="2107"/>
      <c r="O991" s="2107"/>
      <c r="P991" s="2107"/>
      <c r="Q991" s="2107"/>
      <c r="R991" s="2107"/>
      <c r="S991" s="2107"/>
      <c r="T991" s="2107"/>
      <c r="U991" s="2107"/>
      <c r="V991" s="2107"/>
      <c r="W991" s="2107"/>
      <c r="X991" s="2107"/>
      <c r="Y991" s="2107"/>
      <c r="Z991" s="2107"/>
      <c r="AA991" s="2107"/>
      <c r="AB991" s="2107"/>
      <c r="AC991" s="2107"/>
      <c r="AD991" s="2107"/>
      <c r="AE991" s="2108"/>
      <c r="AF991" s="115"/>
      <c r="AG991" s="11"/>
      <c r="AH991" s="11"/>
      <c r="AI991" s="116"/>
      <c r="AJ991" s="2115"/>
      <c r="AK991" s="2116"/>
      <c r="AL991" s="2116"/>
      <c r="AM991" s="2116"/>
      <c r="AN991" s="2116"/>
      <c r="AO991" s="2116"/>
      <c r="AP991" s="2116"/>
      <c r="AQ991" s="2117"/>
      <c r="AR991" s="1581"/>
      <c r="AS991" s="1581"/>
      <c r="AT991" s="1581"/>
      <c r="AU991" s="1581"/>
      <c r="AV991" s="1581"/>
      <c r="AW991" s="1581"/>
      <c r="AX991" s="1581"/>
      <c r="AY991" s="1581"/>
      <c r="BB991" s="61"/>
      <c r="BC991" s="61"/>
      <c r="BD991" s="61"/>
      <c r="BE991" s="61"/>
      <c r="BF991" s="61"/>
      <c r="CR991" s="204"/>
    </row>
    <row r="992" spans="1:110" ht="12.75" customHeight="1">
      <c r="A992" s="51"/>
      <c r="B992" s="117"/>
      <c r="C992" s="118" t="s">
        <v>221</v>
      </c>
      <c r="D992" s="2103" t="s">
        <v>1534</v>
      </c>
      <c r="E992" s="2104"/>
      <c r="F992" s="2104"/>
      <c r="G992" s="2104"/>
      <c r="H992" s="2104"/>
      <c r="I992" s="2104"/>
      <c r="J992" s="2104"/>
      <c r="K992" s="2104"/>
      <c r="L992" s="2104"/>
      <c r="M992" s="2104"/>
      <c r="N992" s="2104"/>
      <c r="O992" s="2104"/>
      <c r="P992" s="2104"/>
      <c r="Q992" s="2104"/>
      <c r="R992" s="2104"/>
      <c r="S992" s="2104"/>
      <c r="T992" s="2104"/>
      <c r="U992" s="2104"/>
      <c r="V992" s="2104"/>
      <c r="W992" s="2104"/>
      <c r="X992" s="2104"/>
      <c r="Y992" s="2104"/>
      <c r="Z992" s="2104"/>
      <c r="AA992" s="2104"/>
      <c r="AB992" s="2104"/>
      <c r="AC992" s="2104"/>
      <c r="AD992" s="2104"/>
      <c r="AE992" s="2105"/>
      <c r="AF992" s="117"/>
      <c r="AG992" s="2165" t="s">
        <v>706</v>
      </c>
      <c r="AH992" s="2166"/>
      <c r="AI992" s="117"/>
      <c r="AJ992" s="2109">
        <f>ROUND(IF(AG992="yes",AJ975*0.02,0),0)</f>
        <v>0</v>
      </c>
      <c r="AK992" s="2110"/>
      <c r="AL992" s="2110"/>
      <c r="AM992" s="2110"/>
      <c r="AN992" s="2110"/>
      <c r="AO992" s="2110"/>
      <c r="AP992" s="2110"/>
      <c r="AQ992" s="2111"/>
      <c r="AR992" s="1581"/>
      <c r="AS992" s="1581"/>
      <c r="AT992" s="1581"/>
      <c r="AU992" s="1581"/>
      <c r="AV992" s="1581"/>
      <c r="AW992" s="1581"/>
      <c r="AX992" s="1581"/>
      <c r="AY992" s="1581"/>
      <c r="BB992" s="32"/>
      <c r="BC992" s="32"/>
      <c r="BD992" s="32"/>
      <c r="BE992" s="32"/>
      <c r="BF992" s="32"/>
    </row>
    <row r="993" spans="1:96" s="719" customFormat="1" ht="12.75" customHeight="1">
      <c r="A993" s="51"/>
      <c r="B993" s="110"/>
      <c r="C993" s="111"/>
      <c r="D993" s="2145" t="s">
        <v>1535</v>
      </c>
      <c r="E993" s="2146"/>
      <c r="F993" s="2146"/>
      <c r="G993" s="2146"/>
      <c r="H993" s="2146"/>
      <c r="I993" s="2146"/>
      <c r="J993" s="2146"/>
      <c r="K993" s="2146"/>
      <c r="L993" s="2146"/>
      <c r="M993" s="2146"/>
      <c r="N993" s="2146"/>
      <c r="O993" s="2146"/>
      <c r="P993" s="2146"/>
      <c r="Q993" s="2146"/>
      <c r="R993" s="2146"/>
      <c r="S993" s="2146"/>
      <c r="T993" s="2146"/>
      <c r="U993" s="2146"/>
      <c r="V993" s="2146"/>
      <c r="W993" s="2146"/>
      <c r="X993" s="2146"/>
      <c r="Y993" s="2146"/>
      <c r="Z993" s="2146"/>
      <c r="AA993" s="2146"/>
      <c r="AB993" s="2146"/>
      <c r="AC993" s="2146"/>
      <c r="AD993" s="2146"/>
      <c r="AE993" s="2147"/>
      <c r="AF993" s="110"/>
      <c r="AG993" s="25"/>
      <c r="AH993" s="25"/>
      <c r="AI993" s="112"/>
      <c r="AJ993" s="2112"/>
      <c r="AK993" s="2113"/>
      <c r="AL993" s="2113"/>
      <c r="AM993" s="2113"/>
      <c r="AN993" s="2113"/>
      <c r="AO993" s="2113"/>
      <c r="AP993" s="2113"/>
      <c r="AQ993" s="2114"/>
      <c r="AR993" s="1581"/>
      <c r="AS993" s="1581"/>
      <c r="AT993" s="1581"/>
      <c r="AU993" s="1581"/>
      <c r="AV993" s="1581"/>
      <c r="AW993" s="1581"/>
      <c r="AX993" s="1581"/>
      <c r="AY993" s="1581"/>
      <c r="BB993" s="902"/>
      <c r="BC993" s="902"/>
      <c r="BD993" s="902"/>
      <c r="BE993" s="902"/>
      <c r="BF993" s="902"/>
      <c r="CR993" s="25"/>
    </row>
    <row r="994" spans="1:96" ht="12.75" customHeight="1">
      <c r="A994" s="51"/>
      <c r="B994" s="113"/>
      <c r="C994" s="114"/>
      <c r="D994" s="2106"/>
      <c r="E994" s="2107"/>
      <c r="F994" s="2107"/>
      <c r="G994" s="2107"/>
      <c r="H994" s="2107"/>
      <c r="I994" s="2107"/>
      <c r="J994" s="2107"/>
      <c r="K994" s="2107"/>
      <c r="L994" s="2107"/>
      <c r="M994" s="2107"/>
      <c r="N994" s="2107"/>
      <c r="O994" s="2107"/>
      <c r="P994" s="2107"/>
      <c r="Q994" s="2107"/>
      <c r="R994" s="2107"/>
      <c r="S994" s="2107"/>
      <c r="T994" s="2107"/>
      <c r="U994" s="2107"/>
      <c r="V994" s="2107"/>
      <c r="W994" s="2107"/>
      <c r="X994" s="2107"/>
      <c r="Y994" s="2107"/>
      <c r="Z994" s="2107"/>
      <c r="AA994" s="2107"/>
      <c r="AB994" s="2107"/>
      <c r="AC994" s="2107"/>
      <c r="AD994" s="2107"/>
      <c r="AE994" s="2108"/>
      <c r="AF994" s="115"/>
      <c r="AG994" s="11"/>
      <c r="AH994" s="11"/>
      <c r="AI994" s="116"/>
      <c r="AJ994" s="2115"/>
      <c r="AK994" s="2116"/>
      <c r="AL994" s="2116"/>
      <c r="AM994" s="2116"/>
      <c r="AN994" s="2116"/>
      <c r="AO994" s="2116"/>
      <c r="AP994" s="2116"/>
      <c r="AQ994" s="2117"/>
      <c r="AR994" s="1581"/>
      <c r="AS994" s="1581"/>
      <c r="AT994" s="1581"/>
      <c r="AU994" s="1581"/>
      <c r="AV994" s="1581"/>
      <c r="AW994" s="1581"/>
      <c r="AX994" s="1581"/>
      <c r="AY994" s="1581"/>
    </row>
    <row r="995" spans="1:96" s="719" customFormat="1" ht="12.75" customHeight="1">
      <c r="A995" s="51"/>
      <c r="B995" s="117"/>
      <c r="C995" s="118" t="s">
        <v>224</v>
      </c>
      <c r="D995" s="2167" t="s">
        <v>1536</v>
      </c>
      <c r="E995" s="2168"/>
      <c r="F995" s="2168"/>
      <c r="G995" s="2168"/>
      <c r="H995" s="2168"/>
      <c r="I995" s="2168"/>
      <c r="J995" s="2168"/>
      <c r="K995" s="2168"/>
      <c r="L995" s="2168"/>
      <c r="M995" s="2168"/>
      <c r="N995" s="2168"/>
      <c r="O995" s="2168"/>
      <c r="P995" s="2168"/>
      <c r="Q995" s="2168"/>
      <c r="R995" s="2168"/>
      <c r="S995" s="2168"/>
      <c r="T995" s="2168"/>
      <c r="U995" s="2168"/>
      <c r="V995" s="2168"/>
      <c r="W995" s="2168"/>
      <c r="X995" s="2168"/>
      <c r="Y995" s="2168"/>
      <c r="Z995" s="2168"/>
      <c r="AA995" s="2168"/>
      <c r="AB995" s="2168"/>
      <c r="AC995" s="2168"/>
      <c r="AD995" s="2168"/>
      <c r="AE995" s="2169"/>
      <c r="AF995" s="117"/>
      <c r="AG995" s="2165" t="s">
        <v>706</v>
      </c>
      <c r="AH995" s="2166"/>
      <c r="AI995" s="125"/>
      <c r="AJ995" s="2109">
        <f>IF(AG995="yes",AJ975*BA995,0)</f>
        <v>0</v>
      </c>
      <c r="AK995" s="2110"/>
      <c r="AL995" s="2110"/>
      <c r="AM995" s="2110"/>
      <c r="AN995" s="2110"/>
      <c r="AO995" s="2110"/>
      <c r="AP995" s="2110"/>
      <c r="AQ995" s="2111"/>
      <c r="AR995" s="1581"/>
      <c r="AS995" s="1581"/>
      <c r="AT995" s="1581"/>
      <c r="AU995" s="1581"/>
      <c r="AV995" s="1581"/>
      <c r="AW995" s="1581"/>
      <c r="AX995" s="1581"/>
      <c r="AY995" s="1581"/>
      <c r="BA995" s="322">
        <f>IF(SUM(BA997:BA1005)&lt;=0.1,SUM(BA997:BA1005),0.1)</f>
        <v>0</v>
      </c>
      <c r="CR995" s="25"/>
    </row>
    <row r="996" spans="1:96" ht="12.75" customHeight="1">
      <c r="A996" s="51"/>
      <c r="B996" s="110"/>
      <c r="C996" s="111"/>
      <c r="D996" s="2145" t="s">
        <v>1537</v>
      </c>
      <c r="E996" s="2146"/>
      <c r="F996" s="2146"/>
      <c r="G996" s="2146"/>
      <c r="H996" s="2146"/>
      <c r="I996" s="2146"/>
      <c r="J996" s="2146"/>
      <c r="K996" s="2146"/>
      <c r="L996" s="2146"/>
      <c r="M996" s="2146"/>
      <c r="N996" s="2146"/>
      <c r="O996" s="2146"/>
      <c r="P996" s="2146"/>
      <c r="Q996" s="2146"/>
      <c r="R996" s="2146"/>
      <c r="S996" s="2146"/>
      <c r="T996" s="2146"/>
      <c r="U996" s="2146"/>
      <c r="V996" s="2146"/>
      <c r="W996" s="2146"/>
      <c r="X996" s="2146"/>
      <c r="Y996" s="2146"/>
      <c r="Z996" s="2146"/>
      <c r="AA996" s="2146"/>
      <c r="AB996" s="2146"/>
      <c r="AC996" s="2146"/>
      <c r="AD996" s="2146"/>
      <c r="AE996" s="2147"/>
      <c r="AF996" s="110"/>
      <c r="AG996" s="112"/>
      <c r="AH996" s="112"/>
      <c r="AI996" s="121"/>
      <c r="AJ996" s="2112"/>
      <c r="AK996" s="2113"/>
      <c r="AL996" s="2113"/>
      <c r="AM996" s="2113"/>
      <c r="AN996" s="2113"/>
      <c r="AO996" s="2113"/>
      <c r="AP996" s="2113"/>
      <c r="AQ996" s="2114"/>
      <c r="AR996" s="1581"/>
      <c r="AS996" s="1581"/>
      <c r="AT996" s="1581"/>
      <c r="AU996" s="1581"/>
      <c r="AV996" s="1581"/>
      <c r="AW996" s="1581"/>
      <c r="AX996" s="1581"/>
      <c r="AY996" s="1581"/>
    </row>
    <row r="997" spans="1:96" ht="12.75" customHeight="1">
      <c r="A997" s="51"/>
      <c r="B997" s="110"/>
      <c r="C997" s="111"/>
      <c r="D997" s="2145"/>
      <c r="E997" s="2146"/>
      <c r="F997" s="2146"/>
      <c r="G997" s="2146"/>
      <c r="H997" s="2146"/>
      <c r="I997" s="2146"/>
      <c r="J997" s="2146"/>
      <c r="K997" s="2146"/>
      <c r="L997" s="2146"/>
      <c r="M997" s="2146"/>
      <c r="N997" s="2146"/>
      <c r="O997" s="2146"/>
      <c r="P997" s="2146"/>
      <c r="Q997" s="2146"/>
      <c r="R997" s="2146"/>
      <c r="S997" s="2146"/>
      <c r="T997" s="2146"/>
      <c r="U997" s="2146"/>
      <c r="V997" s="2146"/>
      <c r="W997" s="2146"/>
      <c r="X997" s="2146"/>
      <c r="Y997" s="2146"/>
      <c r="Z997" s="2146"/>
      <c r="AA997" s="2146"/>
      <c r="AB997" s="2146"/>
      <c r="AC997" s="2146"/>
      <c r="AD997" s="2146"/>
      <c r="AE997" s="2147"/>
      <c r="AF997" s="110"/>
      <c r="AG997" s="112"/>
      <c r="AH997" s="112"/>
      <c r="AI997" s="121"/>
      <c r="AJ997" s="2112"/>
      <c r="AK997" s="2113"/>
      <c r="AL997" s="2113"/>
      <c r="AM997" s="2113"/>
      <c r="AN997" s="2113"/>
      <c r="AO997" s="2113"/>
      <c r="AP997" s="2113"/>
      <c r="AQ997" s="2114"/>
      <c r="AR997" s="1581"/>
      <c r="AS997" s="1581"/>
      <c r="AT997" s="1581"/>
      <c r="AU997" s="1581"/>
      <c r="AV997" s="1581"/>
      <c r="AW997" s="1581"/>
      <c r="AX997" s="1581"/>
      <c r="AY997" s="1581"/>
      <c r="BA997" s="320">
        <f>IF(A1044="Yes",0.05,0)</f>
        <v>0</v>
      </c>
    </row>
    <row r="998" spans="1:96" ht="15" customHeight="1">
      <c r="A998" s="51"/>
      <c r="B998" s="119"/>
      <c r="C998" s="120"/>
      <c r="D998" s="2106"/>
      <c r="E998" s="2107"/>
      <c r="F998" s="2107"/>
      <c r="G998" s="2107"/>
      <c r="H998" s="2107"/>
      <c r="I998" s="2107"/>
      <c r="J998" s="2107"/>
      <c r="K998" s="2107"/>
      <c r="L998" s="2107"/>
      <c r="M998" s="2107"/>
      <c r="N998" s="2107"/>
      <c r="O998" s="2107"/>
      <c r="P998" s="2107"/>
      <c r="Q998" s="2107"/>
      <c r="R998" s="2107"/>
      <c r="S998" s="2107"/>
      <c r="T998" s="2107"/>
      <c r="U998" s="2107"/>
      <c r="V998" s="2107"/>
      <c r="W998" s="2107"/>
      <c r="X998" s="2107"/>
      <c r="Y998" s="2107"/>
      <c r="Z998" s="2107"/>
      <c r="AA998" s="2107"/>
      <c r="AB998" s="2107"/>
      <c r="AC998" s="2107"/>
      <c r="AD998" s="2107"/>
      <c r="AE998" s="2108"/>
      <c r="AF998" s="115"/>
      <c r="AG998" s="11"/>
      <c r="AH998" s="11"/>
      <c r="AI998" s="116"/>
      <c r="AJ998" s="2115"/>
      <c r="AK998" s="2116"/>
      <c r="AL998" s="2116"/>
      <c r="AM998" s="2116"/>
      <c r="AN998" s="2116"/>
      <c r="AO998" s="2116"/>
      <c r="AP998" s="2116"/>
      <c r="AQ998" s="2117"/>
      <c r="AR998" s="1581"/>
      <c r="AS998" s="1581"/>
      <c r="AT998" s="1581"/>
      <c r="AU998" s="1581"/>
      <c r="AV998" s="1581"/>
      <c r="AW998" s="1581"/>
      <c r="AX998" s="1581"/>
      <c r="AY998" s="1581"/>
      <c r="BA998" s="320">
        <f>IF(A1050="Yes",0.02,0)</f>
        <v>0</v>
      </c>
    </row>
    <row r="999" spans="1:96" s="719" customFormat="1" ht="15" customHeight="1">
      <c r="A999" s="51"/>
      <c r="B999" s="117"/>
      <c r="C999" s="118" t="s">
        <v>229</v>
      </c>
      <c r="D999" s="2139" t="s">
        <v>1538</v>
      </c>
      <c r="E999" s="2140"/>
      <c r="F999" s="2140"/>
      <c r="G999" s="2140"/>
      <c r="H999" s="2140"/>
      <c r="I999" s="2140"/>
      <c r="J999" s="2140"/>
      <c r="K999" s="2140"/>
      <c r="L999" s="2140"/>
      <c r="M999" s="2140"/>
      <c r="N999" s="2140"/>
      <c r="O999" s="2140"/>
      <c r="P999" s="2140"/>
      <c r="Q999" s="2140"/>
      <c r="R999" s="2140"/>
      <c r="S999" s="2140"/>
      <c r="T999" s="2140"/>
      <c r="U999" s="2140"/>
      <c r="V999" s="2140"/>
      <c r="W999" s="2140"/>
      <c r="X999" s="2140"/>
      <c r="Y999" s="2140"/>
      <c r="Z999" s="2140"/>
      <c r="AA999" s="2140"/>
      <c r="AB999" s="2140"/>
      <c r="AC999" s="2140"/>
      <c r="AD999" s="2140"/>
      <c r="AE999" s="2141"/>
      <c r="AF999" s="117"/>
      <c r="AG999" s="2165" t="s">
        <v>706</v>
      </c>
      <c r="AH999" s="2166"/>
      <c r="AI999" s="125"/>
      <c r="AJ999" s="2118"/>
      <c r="AK999" s="2119"/>
      <c r="AL999" s="2119"/>
      <c r="AM999" s="2119"/>
      <c r="AN999" s="2119"/>
      <c r="AO999" s="2119"/>
      <c r="AP999" s="2119"/>
      <c r="AQ999" s="2120"/>
      <c r="AR999" s="1581"/>
      <c r="AS999" s="1581"/>
      <c r="AT999" s="1581"/>
      <c r="AU999" s="1581"/>
      <c r="AV999" s="1581"/>
      <c r="AW999" s="1581"/>
      <c r="AX999" s="1581"/>
      <c r="AY999" s="1581"/>
      <c r="BA999" s="320">
        <f>IF(A1056="Yes",0.04,0)</f>
        <v>0</v>
      </c>
      <c r="CR999" s="25"/>
    </row>
    <row r="1000" spans="1:96" ht="12.75">
      <c r="A1000" s="51"/>
      <c r="B1000" s="119"/>
      <c r="C1000" s="122"/>
      <c r="D1000" s="2142"/>
      <c r="E1000" s="2143"/>
      <c r="F1000" s="2143"/>
      <c r="G1000" s="2143"/>
      <c r="H1000" s="2143"/>
      <c r="I1000" s="2143"/>
      <c r="J1000" s="2143"/>
      <c r="K1000" s="2143"/>
      <c r="L1000" s="2143"/>
      <c r="M1000" s="2143"/>
      <c r="N1000" s="2143"/>
      <c r="O1000" s="2143"/>
      <c r="P1000" s="2143"/>
      <c r="Q1000" s="2143"/>
      <c r="R1000" s="2143"/>
      <c r="S1000" s="2143"/>
      <c r="T1000" s="2143"/>
      <c r="U1000" s="2143"/>
      <c r="V1000" s="2143"/>
      <c r="W1000" s="2143"/>
      <c r="X1000" s="2143"/>
      <c r="Y1000" s="2143"/>
      <c r="Z1000" s="2143"/>
      <c r="AA1000" s="2143"/>
      <c r="AB1000" s="2143"/>
      <c r="AC1000" s="2143"/>
      <c r="AD1000" s="2143"/>
      <c r="AE1000" s="2144"/>
      <c r="AF1000" s="2127">
        <f>IF(AG999="yes","Please Select Type and Enter Amount:",0)</f>
        <v>0</v>
      </c>
      <c r="AG1000" s="2128"/>
      <c r="AH1000" s="2128"/>
      <c r="AI1000" s="2129"/>
      <c r="AJ1000" s="2121"/>
      <c r="AK1000" s="2122"/>
      <c r="AL1000" s="2122"/>
      <c r="AM1000" s="2122"/>
      <c r="AN1000" s="2122"/>
      <c r="AO1000" s="2122"/>
      <c r="AP1000" s="2122"/>
      <c r="AQ1000" s="2123"/>
      <c r="AR1000" s="1581"/>
      <c r="AS1000" s="1581"/>
      <c r="AT1000" s="1581"/>
      <c r="AU1000" s="1581"/>
      <c r="AV1000" s="1581"/>
      <c r="AW1000" s="1581"/>
      <c r="AX1000" s="1581"/>
      <c r="AY1000" s="1581"/>
      <c r="BA1000" s="320">
        <f>IF(A1063="Yes",0.04,0)</f>
        <v>0</v>
      </c>
    </row>
    <row r="1001" spans="1:96" ht="12.75" customHeight="1">
      <c r="A1001" s="51"/>
      <c r="B1001" s="119"/>
      <c r="C1001" s="122"/>
      <c r="D1001" s="2145" t="s">
        <v>1539</v>
      </c>
      <c r="E1001" s="2146"/>
      <c r="F1001" s="2146"/>
      <c r="G1001" s="2146"/>
      <c r="H1001" s="2146"/>
      <c r="I1001" s="2146"/>
      <c r="J1001" s="2146"/>
      <c r="K1001" s="2146"/>
      <c r="L1001" s="2146"/>
      <c r="M1001" s="2146"/>
      <c r="N1001" s="2146"/>
      <c r="O1001" s="2146"/>
      <c r="P1001" s="2146"/>
      <c r="Q1001" s="2146"/>
      <c r="R1001" s="2146"/>
      <c r="S1001" s="2146"/>
      <c r="T1001" s="2146"/>
      <c r="U1001" s="2146"/>
      <c r="V1001" s="2146"/>
      <c r="W1001" s="2146"/>
      <c r="X1001" s="2146"/>
      <c r="Y1001" s="2146"/>
      <c r="Z1001" s="2146"/>
      <c r="AA1001" s="2146"/>
      <c r="AB1001" s="2146"/>
      <c r="AC1001" s="2146"/>
      <c r="AD1001" s="2146"/>
      <c r="AE1001" s="2147"/>
      <c r="AF1001" s="2127"/>
      <c r="AG1001" s="2128"/>
      <c r="AH1001" s="2128"/>
      <c r="AI1001" s="2129"/>
      <c r="AJ1001" s="2121"/>
      <c r="AK1001" s="2122"/>
      <c r="AL1001" s="2122"/>
      <c r="AM1001" s="2122"/>
      <c r="AN1001" s="2122"/>
      <c r="AO1001" s="2122"/>
      <c r="AP1001" s="2122"/>
      <c r="AQ1001" s="2123"/>
      <c r="AR1001" s="1581"/>
      <c r="AS1001" s="1581"/>
      <c r="AT1001" s="1581"/>
      <c r="AU1001" s="1581"/>
      <c r="AV1001" s="1581"/>
      <c r="AW1001" s="1581"/>
      <c r="AX1001" s="1581"/>
      <c r="AY1001" s="1581"/>
      <c r="BA1001" s="320">
        <f>IF(A1066="Yes",0.01,0)</f>
        <v>0</v>
      </c>
    </row>
    <row r="1002" spans="1:96" ht="12.75" customHeight="1">
      <c r="A1002" s="51"/>
      <c r="B1002" s="119"/>
      <c r="C1002" s="122"/>
      <c r="D1002" s="2145"/>
      <c r="E1002" s="2146"/>
      <c r="F1002" s="2146"/>
      <c r="G1002" s="2146"/>
      <c r="H1002" s="2146"/>
      <c r="I1002" s="2146"/>
      <c r="J1002" s="2146"/>
      <c r="K1002" s="2146"/>
      <c r="L1002" s="2146"/>
      <c r="M1002" s="2146"/>
      <c r="N1002" s="2146"/>
      <c r="O1002" s="2146"/>
      <c r="P1002" s="2146"/>
      <c r="Q1002" s="2146"/>
      <c r="R1002" s="2146"/>
      <c r="S1002" s="2146"/>
      <c r="T1002" s="2146"/>
      <c r="U1002" s="2146"/>
      <c r="V1002" s="2146"/>
      <c r="W1002" s="2146"/>
      <c r="X1002" s="2146"/>
      <c r="Y1002" s="2146"/>
      <c r="Z1002" s="2146"/>
      <c r="AA1002" s="2146"/>
      <c r="AB1002" s="2146"/>
      <c r="AC1002" s="2146"/>
      <c r="AD1002" s="2146"/>
      <c r="AE1002" s="2147"/>
      <c r="AF1002" s="2127"/>
      <c r="AG1002" s="2128"/>
      <c r="AH1002" s="2128"/>
      <c r="AI1002" s="2129"/>
      <c r="AJ1002" s="2121"/>
      <c r="AK1002" s="2122"/>
      <c r="AL1002" s="2122"/>
      <c r="AM1002" s="2122"/>
      <c r="AN1002" s="2122"/>
      <c r="AO1002" s="2122"/>
      <c r="AP1002" s="2122"/>
      <c r="AQ1002" s="2123"/>
      <c r="AR1002" s="1581"/>
      <c r="AS1002" s="1581"/>
      <c r="AT1002" s="1581"/>
      <c r="AU1002" s="1581"/>
      <c r="AV1002" s="1581"/>
      <c r="AW1002" s="1581"/>
      <c r="AX1002" s="1581"/>
      <c r="AY1002" s="1581"/>
      <c r="BA1002" s="320">
        <f>IF(A1071="Yes",0.01,0)</f>
        <v>0</v>
      </c>
    </row>
    <row r="1003" spans="1:96" s="719" customFormat="1" ht="12.75" customHeight="1">
      <c r="A1003" s="51"/>
      <c r="B1003" s="119"/>
      <c r="C1003" s="122"/>
      <c r="D1003" s="906" t="s">
        <v>369</v>
      </c>
      <c r="E1003" s="133"/>
      <c r="F1003" s="133"/>
      <c r="G1003" s="160"/>
      <c r="H1003" s="160"/>
      <c r="I1003" s="81"/>
      <c r="J1003" s="2148" t="s">
        <v>626</v>
      </c>
      <c r="K1003" s="2149"/>
      <c r="L1003" s="2149"/>
      <c r="M1003" s="2149"/>
      <c r="N1003" s="2149"/>
      <c r="O1003" s="2149"/>
      <c r="P1003" s="2149"/>
      <c r="Q1003" s="2149"/>
      <c r="R1003" s="2149"/>
      <c r="S1003" s="2149"/>
      <c r="T1003" s="2149"/>
      <c r="U1003" s="2149"/>
      <c r="V1003" s="2149"/>
      <c r="W1003" s="2149"/>
      <c r="X1003" s="2149"/>
      <c r="Y1003" s="2149"/>
      <c r="Z1003" s="2149"/>
      <c r="AA1003" s="2149"/>
      <c r="AB1003" s="2149"/>
      <c r="AC1003" s="2149"/>
      <c r="AD1003" s="2149"/>
      <c r="AE1003" s="2150"/>
      <c r="AF1003" s="2130"/>
      <c r="AG1003" s="2131"/>
      <c r="AH1003" s="2131"/>
      <c r="AI1003" s="2132"/>
      <c r="AJ1003" s="2124"/>
      <c r="AK1003" s="2125"/>
      <c r="AL1003" s="2125"/>
      <c r="AM1003" s="2125"/>
      <c r="AN1003" s="2125"/>
      <c r="AO1003" s="2125"/>
      <c r="AP1003" s="2125"/>
      <c r="AQ1003" s="2126"/>
      <c r="AR1003" s="1581"/>
      <c r="AS1003" s="1581"/>
      <c r="AT1003" s="1581"/>
      <c r="AU1003" s="1581"/>
      <c r="AV1003" s="1581"/>
      <c r="AW1003" s="1581"/>
      <c r="AX1003" s="1581"/>
      <c r="AY1003" s="1581"/>
      <c r="BA1003" s="320">
        <f>IF(A1074="Yes",0.01,0)</f>
        <v>0</v>
      </c>
      <c r="CR1003" s="25"/>
    </row>
    <row r="1004" spans="1:96" ht="12.75" customHeight="1">
      <c r="A1004" s="51"/>
      <c r="B1004" s="117"/>
      <c r="C1004" s="118" t="s">
        <v>235</v>
      </c>
      <c r="D1004" s="2103" t="s">
        <v>1540</v>
      </c>
      <c r="E1004" s="2104"/>
      <c r="F1004" s="2104"/>
      <c r="G1004" s="2104"/>
      <c r="H1004" s="2104"/>
      <c r="I1004" s="2104"/>
      <c r="J1004" s="2104"/>
      <c r="K1004" s="2104"/>
      <c r="L1004" s="2104"/>
      <c r="M1004" s="2104"/>
      <c r="N1004" s="2104"/>
      <c r="O1004" s="2104"/>
      <c r="P1004" s="2104"/>
      <c r="Q1004" s="2104"/>
      <c r="R1004" s="2104"/>
      <c r="S1004" s="2104"/>
      <c r="T1004" s="2104"/>
      <c r="U1004" s="2104"/>
      <c r="V1004" s="2104"/>
      <c r="W1004" s="2104"/>
      <c r="X1004" s="2104"/>
      <c r="Y1004" s="2104"/>
      <c r="Z1004" s="2104"/>
      <c r="AA1004" s="2104"/>
      <c r="AB1004" s="2104"/>
      <c r="AC1004" s="2104"/>
      <c r="AD1004" s="2104"/>
      <c r="AE1004" s="2105"/>
      <c r="AF1004" s="117"/>
      <c r="AG1004" s="2165" t="s">
        <v>578</v>
      </c>
      <c r="AH1004" s="2166"/>
      <c r="AI1004" s="125"/>
      <c r="AJ1004" s="2118">
        <f>'Sources and Uses Budget'!C85</f>
        <v>8838677</v>
      </c>
      <c r="AK1004" s="2119"/>
      <c r="AL1004" s="2119"/>
      <c r="AM1004" s="2119"/>
      <c r="AN1004" s="2119"/>
      <c r="AO1004" s="2119"/>
      <c r="AP1004" s="2119"/>
      <c r="AQ1004" s="2120"/>
      <c r="AR1004" s="1581"/>
      <c r="AS1004" s="1581"/>
      <c r="AT1004" s="1581"/>
      <c r="AU1004" s="1581"/>
      <c r="AV1004" s="1581"/>
      <c r="AW1004" s="1581"/>
      <c r="AX1004" s="1581"/>
      <c r="AY1004" s="1581"/>
      <c r="BA1004" s="320">
        <f>IF(A1078="Yes",0.02,0)</f>
        <v>0</v>
      </c>
    </row>
    <row r="1005" spans="1:96" ht="12.75" customHeight="1">
      <c r="A1005" s="51"/>
      <c r="B1005" s="110"/>
      <c r="C1005" s="111"/>
      <c r="D1005" s="2145" t="s">
        <v>2179</v>
      </c>
      <c r="E1005" s="2146"/>
      <c r="F1005" s="2146"/>
      <c r="G1005" s="2146"/>
      <c r="H1005" s="2146"/>
      <c r="I1005" s="2146"/>
      <c r="J1005" s="2146"/>
      <c r="K1005" s="2146"/>
      <c r="L1005" s="2146"/>
      <c r="M1005" s="2146"/>
      <c r="N1005" s="2146"/>
      <c r="O1005" s="2146"/>
      <c r="P1005" s="2146"/>
      <c r="Q1005" s="2146"/>
      <c r="R1005" s="2146"/>
      <c r="S1005" s="2146"/>
      <c r="T1005" s="2146"/>
      <c r="U1005" s="2146"/>
      <c r="V1005" s="2146"/>
      <c r="W1005" s="2146"/>
      <c r="X1005" s="2146"/>
      <c r="Y1005" s="2146"/>
      <c r="Z1005" s="2146"/>
      <c r="AA1005" s="2146"/>
      <c r="AB1005" s="2146"/>
      <c r="AC1005" s="2146"/>
      <c r="AD1005" s="2146"/>
      <c r="AE1005" s="2147"/>
      <c r="AF1005" s="2133" t="str">
        <f>IF(AG1004="yes","Please Enter Amount:",0)</f>
        <v>Please Enter Amount:</v>
      </c>
      <c r="AG1005" s="2134"/>
      <c r="AH1005" s="2134"/>
      <c r="AI1005" s="2135"/>
      <c r="AJ1005" s="2121"/>
      <c r="AK1005" s="2122"/>
      <c r="AL1005" s="2122"/>
      <c r="AM1005" s="2122"/>
      <c r="AN1005" s="2122"/>
      <c r="AO1005" s="2122"/>
      <c r="AP1005" s="2122"/>
      <c r="AQ1005" s="2123"/>
      <c r="AR1005" s="1581"/>
      <c r="AS1005" s="1581"/>
      <c r="AT1005" s="1581"/>
      <c r="AU1005" s="1581"/>
      <c r="AV1005" s="1581"/>
      <c r="AW1005" s="1581"/>
      <c r="AX1005" s="1581"/>
      <c r="AY1005" s="1581"/>
      <c r="BA1005" s="321">
        <f>IF(A1082="Yes",0.02,0)</f>
        <v>0</v>
      </c>
    </row>
    <row r="1006" spans="1:96" ht="12.75" customHeight="1">
      <c r="A1006" s="51"/>
      <c r="B1006" s="110"/>
      <c r="C1006" s="111"/>
      <c r="D1006" s="2145"/>
      <c r="E1006" s="2146"/>
      <c r="F1006" s="2146"/>
      <c r="G1006" s="2146"/>
      <c r="H1006" s="2146"/>
      <c r="I1006" s="2146"/>
      <c r="J1006" s="2146"/>
      <c r="K1006" s="2146"/>
      <c r="L1006" s="2146"/>
      <c r="M1006" s="2146"/>
      <c r="N1006" s="2146"/>
      <c r="O1006" s="2146"/>
      <c r="P1006" s="2146"/>
      <c r="Q1006" s="2146"/>
      <c r="R1006" s="2146"/>
      <c r="S1006" s="2146"/>
      <c r="T1006" s="2146"/>
      <c r="U1006" s="2146"/>
      <c r="V1006" s="2146"/>
      <c r="W1006" s="2146"/>
      <c r="X1006" s="2146"/>
      <c r="Y1006" s="2146"/>
      <c r="Z1006" s="2146"/>
      <c r="AA1006" s="2146"/>
      <c r="AB1006" s="2146"/>
      <c r="AC1006" s="2146"/>
      <c r="AD1006" s="2146"/>
      <c r="AE1006" s="2147"/>
      <c r="AF1006" s="2133"/>
      <c r="AG1006" s="2134"/>
      <c r="AH1006" s="2134"/>
      <c r="AI1006" s="2135"/>
      <c r="AJ1006" s="2121"/>
      <c r="AK1006" s="2122"/>
      <c r="AL1006" s="2122"/>
      <c r="AM1006" s="2122"/>
      <c r="AN1006" s="2122"/>
      <c r="AO1006" s="2122"/>
      <c r="AP1006" s="2122"/>
      <c r="AQ1006" s="2123"/>
      <c r="AR1006" s="1581"/>
      <c r="AS1006" s="1581"/>
      <c r="AT1006" s="1581"/>
      <c r="AU1006" s="1581"/>
      <c r="AV1006" s="1581"/>
      <c r="AW1006" s="1581"/>
      <c r="AX1006" s="1581"/>
      <c r="AY1006" s="1581"/>
    </row>
    <row r="1007" spans="1:96" ht="12.75" customHeight="1">
      <c r="A1007" s="51"/>
      <c r="B1007" s="123"/>
      <c r="C1007" s="122"/>
      <c r="D1007" s="2106"/>
      <c r="E1007" s="2107"/>
      <c r="F1007" s="2107"/>
      <c r="G1007" s="2107"/>
      <c r="H1007" s="2107"/>
      <c r="I1007" s="2107"/>
      <c r="J1007" s="2107"/>
      <c r="K1007" s="2107"/>
      <c r="L1007" s="2107"/>
      <c r="M1007" s="2107"/>
      <c r="N1007" s="2107"/>
      <c r="O1007" s="2107"/>
      <c r="P1007" s="2107"/>
      <c r="Q1007" s="2107"/>
      <c r="R1007" s="2107"/>
      <c r="S1007" s="2107"/>
      <c r="T1007" s="2107"/>
      <c r="U1007" s="2107"/>
      <c r="V1007" s="2107"/>
      <c r="W1007" s="2107"/>
      <c r="X1007" s="2107"/>
      <c r="Y1007" s="2107"/>
      <c r="Z1007" s="2107"/>
      <c r="AA1007" s="2107"/>
      <c r="AB1007" s="2107"/>
      <c r="AC1007" s="2107"/>
      <c r="AD1007" s="2107"/>
      <c r="AE1007" s="2108"/>
      <c r="AF1007" s="2136"/>
      <c r="AG1007" s="2137"/>
      <c r="AH1007" s="2137"/>
      <c r="AI1007" s="2138"/>
      <c r="AJ1007" s="2124"/>
      <c r="AK1007" s="2125"/>
      <c r="AL1007" s="2125"/>
      <c r="AM1007" s="2125"/>
      <c r="AN1007" s="2125"/>
      <c r="AO1007" s="2125"/>
      <c r="AP1007" s="2125"/>
      <c r="AQ1007" s="2126"/>
      <c r="AR1007" s="1581"/>
      <c r="AS1007" s="1581"/>
      <c r="AT1007" s="1581"/>
      <c r="AU1007" s="1581"/>
      <c r="AV1007" s="1581"/>
      <c r="AW1007" s="1581"/>
      <c r="AX1007" s="1581"/>
      <c r="AY1007" s="1581"/>
    </row>
    <row r="1008" spans="1:96" s="719" customFormat="1" ht="12.75" customHeight="1">
      <c r="A1008" s="51"/>
      <c r="B1008" s="117"/>
      <c r="C1008" s="118" t="s">
        <v>240</v>
      </c>
      <c r="D1008" s="2167" t="s">
        <v>1541</v>
      </c>
      <c r="E1008" s="2168"/>
      <c r="F1008" s="2168"/>
      <c r="G1008" s="2168"/>
      <c r="H1008" s="2168"/>
      <c r="I1008" s="2168"/>
      <c r="J1008" s="2168"/>
      <c r="K1008" s="2168"/>
      <c r="L1008" s="2168"/>
      <c r="M1008" s="2168"/>
      <c r="N1008" s="2168"/>
      <c r="O1008" s="2168"/>
      <c r="P1008" s="2168"/>
      <c r="Q1008" s="2168"/>
      <c r="R1008" s="2168"/>
      <c r="S1008" s="2168"/>
      <c r="T1008" s="2168"/>
      <c r="U1008" s="2168"/>
      <c r="V1008" s="2168"/>
      <c r="W1008" s="2168"/>
      <c r="X1008" s="2168"/>
      <c r="Y1008" s="2168"/>
      <c r="Z1008" s="2168"/>
      <c r="AA1008" s="2168"/>
      <c r="AB1008" s="2168"/>
      <c r="AC1008" s="2168"/>
      <c r="AD1008" s="2168"/>
      <c r="AE1008" s="2169"/>
      <c r="AF1008" s="117"/>
      <c r="AG1008" s="2165" t="s">
        <v>706</v>
      </c>
      <c r="AH1008" s="2166"/>
      <c r="AI1008" s="125"/>
      <c r="AJ1008" s="2109">
        <f>ROUND(IF(AG1008="yes",(AJ975*0.1),0),0)</f>
        <v>0</v>
      </c>
      <c r="AK1008" s="2110"/>
      <c r="AL1008" s="2110"/>
      <c r="AM1008" s="2110"/>
      <c r="AN1008" s="2110"/>
      <c r="AO1008" s="2110"/>
      <c r="AP1008" s="2110"/>
      <c r="AQ1008" s="2111"/>
      <c r="AR1008" s="1581"/>
      <c r="AS1008" s="1581"/>
      <c r="AT1008" s="1581"/>
      <c r="AU1008" s="1581"/>
      <c r="AV1008" s="1581"/>
      <c r="AW1008" s="1581"/>
      <c r="AX1008" s="1581"/>
      <c r="AY1008" s="1581"/>
      <c r="CR1008" s="25"/>
    </row>
    <row r="1009" spans="1:96" ht="12.75" customHeight="1">
      <c r="A1009" s="51"/>
      <c r="B1009" s="110"/>
      <c r="C1009" s="111"/>
      <c r="D1009" s="2145" t="s">
        <v>1542</v>
      </c>
      <c r="E1009" s="2146"/>
      <c r="F1009" s="2146"/>
      <c r="G1009" s="2146"/>
      <c r="H1009" s="2146"/>
      <c r="I1009" s="2146"/>
      <c r="J1009" s="2146"/>
      <c r="K1009" s="2146"/>
      <c r="L1009" s="2146"/>
      <c r="M1009" s="2146"/>
      <c r="N1009" s="2146"/>
      <c r="O1009" s="2146"/>
      <c r="P1009" s="2146"/>
      <c r="Q1009" s="2146"/>
      <c r="R1009" s="2146"/>
      <c r="S1009" s="2146"/>
      <c r="T1009" s="2146"/>
      <c r="U1009" s="2146"/>
      <c r="V1009" s="2146"/>
      <c r="W1009" s="2146"/>
      <c r="X1009" s="2146"/>
      <c r="Y1009" s="2146"/>
      <c r="Z1009" s="2146"/>
      <c r="AA1009" s="2146"/>
      <c r="AB1009" s="2146"/>
      <c r="AC1009" s="2146"/>
      <c r="AD1009" s="2146"/>
      <c r="AE1009" s="2147"/>
      <c r="AF1009" s="110"/>
      <c r="AG1009" s="112"/>
      <c r="AH1009" s="112"/>
      <c r="AI1009" s="121"/>
      <c r="AJ1009" s="2112"/>
      <c r="AK1009" s="2113"/>
      <c r="AL1009" s="2113"/>
      <c r="AM1009" s="2113"/>
      <c r="AN1009" s="2113"/>
      <c r="AO1009" s="2113"/>
      <c r="AP1009" s="2113"/>
      <c r="AQ1009" s="2114"/>
      <c r="AR1009" s="1581"/>
      <c r="AS1009" s="1581"/>
      <c r="AT1009" s="1581"/>
      <c r="AU1009" s="1581"/>
      <c r="AV1009" s="1581"/>
      <c r="AW1009" s="1581"/>
      <c r="AX1009" s="1581"/>
      <c r="AY1009" s="1581"/>
    </row>
    <row r="1010" spans="1:96" ht="12.75" customHeight="1">
      <c r="A1010" s="51"/>
      <c r="B1010" s="115"/>
      <c r="C1010" s="111"/>
      <c r="D1010" s="2106"/>
      <c r="E1010" s="2107"/>
      <c r="F1010" s="2107"/>
      <c r="G1010" s="2107"/>
      <c r="H1010" s="2107"/>
      <c r="I1010" s="2107"/>
      <c r="J1010" s="2107"/>
      <c r="K1010" s="2107"/>
      <c r="L1010" s="2107"/>
      <c r="M1010" s="2107"/>
      <c r="N1010" s="2107"/>
      <c r="O1010" s="2107"/>
      <c r="P1010" s="2107"/>
      <c r="Q1010" s="2107"/>
      <c r="R1010" s="2107"/>
      <c r="S1010" s="2107"/>
      <c r="T1010" s="2107"/>
      <c r="U1010" s="2107"/>
      <c r="V1010" s="2107"/>
      <c r="W1010" s="2107"/>
      <c r="X1010" s="2107"/>
      <c r="Y1010" s="2107"/>
      <c r="Z1010" s="2107"/>
      <c r="AA1010" s="2107"/>
      <c r="AB1010" s="2107"/>
      <c r="AC1010" s="2107"/>
      <c r="AD1010" s="2107"/>
      <c r="AE1010" s="2108"/>
      <c r="AF1010" s="110"/>
      <c r="AG1010" s="112"/>
      <c r="AH1010" s="112"/>
      <c r="AI1010" s="121"/>
      <c r="AJ1010" s="2115"/>
      <c r="AK1010" s="2116"/>
      <c r="AL1010" s="2116"/>
      <c r="AM1010" s="2116"/>
      <c r="AN1010" s="2116"/>
      <c r="AO1010" s="2116"/>
      <c r="AP1010" s="2116"/>
      <c r="AQ1010" s="2117"/>
      <c r="AR1010" s="1581"/>
      <c r="AS1010" s="1581"/>
      <c r="AT1010" s="1581"/>
      <c r="AU1010" s="1581"/>
      <c r="AV1010" s="1581"/>
      <c r="AW1010" s="1581"/>
      <c r="AX1010" s="1581"/>
      <c r="AY1010" s="1581"/>
    </row>
    <row r="1011" spans="1:96" s="719" customFormat="1" ht="12.75" customHeight="1">
      <c r="A1011" s="51"/>
      <c r="B1011" s="110"/>
      <c r="C1011" s="531" t="s">
        <v>725</v>
      </c>
      <c r="D1011" s="2103" t="s">
        <v>2175</v>
      </c>
      <c r="E1011" s="2104"/>
      <c r="F1011" s="2104"/>
      <c r="G1011" s="2104"/>
      <c r="H1011" s="2104"/>
      <c r="I1011" s="2104"/>
      <c r="J1011" s="2104"/>
      <c r="K1011" s="2104"/>
      <c r="L1011" s="2104"/>
      <c r="M1011" s="2104"/>
      <c r="N1011" s="2104"/>
      <c r="O1011" s="2104"/>
      <c r="P1011" s="2104"/>
      <c r="Q1011" s="2104"/>
      <c r="R1011" s="2104"/>
      <c r="S1011" s="2104"/>
      <c r="T1011" s="2104"/>
      <c r="U1011" s="2104"/>
      <c r="V1011" s="2104"/>
      <c r="W1011" s="2104"/>
      <c r="X1011" s="2104"/>
      <c r="Y1011" s="2104"/>
      <c r="Z1011" s="2104"/>
      <c r="AA1011" s="2104"/>
      <c r="AB1011" s="2104"/>
      <c r="AC1011" s="2104"/>
      <c r="AD1011" s="2104"/>
      <c r="AE1011" s="2105"/>
      <c r="AF1011" s="117"/>
      <c r="AG1011" s="2165" t="s">
        <v>706</v>
      </c>
      <c r="AH1011" s="2166"/>
      <c r="AI1011" s="125"/>
      <c r="AJ1011" s="2109">
        <f>ROUND(IF(AG1011="yes",(AJ975*0.15),0),0)</f>
        <v>0</v>
      </c>
      <c r="AK1011" s="2110"/>
      <c r="AL1011" s="2110"/>
      <c r="AM1011" s="2110"/>
      <c r="AN1011" s="2110"/>
      <c r="AO1011" s="2110"/>
      <c r="AP1011" s="2110"/>
      <c r="AQ1011" s="2111"/>
      <c r="AR1011" s="1581"/>
      <c r="AS1011" s="1581"/>
      <c r="AT1011" s="1581"/>
      <c r="AU1011" s="1581"/>
      <c r="AV1011" s="1581"/>
      <c r="AW1011" s="1581"/>
      <c r="AX1011" s="1581"/>
      <c r="AY1011" s="1581"/>
      <c r="CR1011" s="25"/>
    </row>
    <row r="1012" spans="1:96" s="719" customFormat="1" ht="12.75" customHeight="1">
      <c r="A1012" s="51"/>
      <c r="B1012" s="110"/>
      <c r="C1012" s="111"/>
      <c r="D1012" s="2174" t="s">
        <v>2176</v>
      </c>
      <c r="E1012" s="2175"/>
      <c r="F1012" s="2175"/>
      <c r="G1012" s="2175"/>
      <c r="H1012" s="2175"/>
      <c r="I1012" s="2175"/>
      <c r="J1012" s="2175"/>
      <c r="K1012" s="2175"/>
      <c r="L1012" s="2175"/>
      <c r="M1012" s="2175"/>
      <c r="N1012" s="2175"/>
      <c r="O1012" s="2175"/>
      <c r="P1012" s="2175"/>
      <c r="Q1012" s="2175"/>
      <c r="R1012" s="2175"/>
      <c r="S1012" s="2175"/>
      <c r="T1012" s="2175"/>
      <c r="U1012" s="2175"/>
      <c r="V1012" s="2175"/>
      <c r="W1012" s="2175"/>
      <c r="X1012" s="2175"/>
      <c r="Y1012" s="2175"/>
      <c r="Z1012" s="2175"/>
      <c r="AA1012" s="2175"/>
      <c r="AB1012" s="2175"/>
      <c r="AC1012" s="2175"/>
      <c r="AD1012" s="2175"/>
      <c r="AE1012" s="2176"/>
      <c r="AF1012" s="1611"/>
      <c r="AG1012" s="1612"/>
      <c r="AH1012" s="1612"/>
      <c r="AI1012" s="1613"/>
      <c r="AJ1012" s="2112"/>
      <c r="AK1012" s="2113"/>
      <c r="AL1012" s="2113"/>
      <c r="AM1012" s="2113"/>
      <c r="AN1012" s="2113"/>
      <c r="AO1012" s="2113"/>
      <c r="AP1012" s="2113"/>
      <c r="AQ1012" s="2114"/>
      <c r="AR1012" s="1581"/>
      <c r="AS1012" s="1581"/>
      <c r="AT1012" s="1581"/>
      <c r="AU1012" s="1581"/>
      <c r="AV1012" s="1581"/>
      <c r="AW1012" s="1581"/>
      <c r="AX1012" s="1581"/>
      <c r="AY1012" s="1581"/>
      <c r="CR1012" s="25"/>
    </row>
    <row r="1013" spans="1:96" s="719" customFormat="1" ht="12.75" customHeight="1">
      <c r="A1013" s="51"/>
      <c r="B1013" s="110"/>
      <c r="C1013" s="111"/>
      <c r="D1013" s="2174"/>
      <c r="E1013" s="2175"/>
      <c r="F1013" s="2175"/>
      <c r="G1013" s="2175"/>
      <c r="H1013" s="2175"/>
      <c r="I1013" s="2175"/>
      <c r="J1013" s="2175"/>
      <c r="K1013" s="2175"/>
      <c r="L1013" s="2175"/>
      <c r="M1013" s="2175"/>
      <c r="N1013" s="2175"/>
      <c r="O1013" s="2175"/>
      <c r="P1013" s="2175"/>
      <c r="Q1013" s="2175"/>
      <c r="R1013" s="2175"/>
      <c r="S1013" s="2175"/>
      <c r="T1013" s="2175"/>
      <c r="U1013" s="2175"/>
      <c r="V1013" s="2175"/>
      <c r="W1013" s="2175"/>
      <c r="X1013" s="2175"/>
      <c r="Y1013" s="2175"/>
      <c r="Z1013" s="2175"/>
      <c r="AA1013" s="2175"/>
      <c r="AB1013" s="2175"/>
      <c r="AC1013" s="2175"/>
      <c r="AD1013" s="2175"/>
      <c r="AE1013" s="2176"/>
      <c r="AF1013" s="1611"/>
      <c r="AG1013" s="1612"/>
      <c r="AH1013" s="1612"/>
      <c r="AI1013" s="1613"/>
      <c r="AJ1013" s="2112"/>
      <c r="AK1013" s="2113"/>
      <c r="AL1013" s="2113"/>
      <c r="AM1013" s="2113"/>
      <c r="AN1013" s="2113"/>
      <c r="AO1013" s="2113"/>
      <c r="AP1013" s="2113"/>
      <c r="AQ1013" s="2114"/>
      <c r="AR1013" s="1581"/>
      <c r="AS1013" s="1581"/>
      <c r="AT1013" s="1581"/>
      <c r="AU1013" s="1581"/>
      <c r="AV1013" s="1581"/>
      <c r="AW1013" s="1581"/>
      <c r="AX1013" s="1581"/>
      <c r="AY1013" s="1581"/>
      <c r="CR1013" s="25"/>
    </row>
    <row r="1014" spans="1:96" s="719" customFormat="1" ht="12.75" customHeight="1">
      <c r="A1014" s="51"/>
      <c r="B1014" s="110"/>
      <c r="C1014" s="111"/>
      <c r="D1014" s="2177"/>
      <c r="E1014" s="2178"/>
      <c r="F1014" s="2178"/>
      <c r="G1014" s="2178"/>
      <c r="H1014" s="2178"/>
      <c r="I1014" s="2178"/>
      <c r="J1014" s="2178"/>
      <c r="K1014" s="2178"/>
      <c r="L1014" s="2178"/>
      <c r="M1014" s="2178"/>
      <c r="N1014" s="2178"/>
      <c r="O1014" s="2178"/>
      <c r="P1014" s="2178"/>
      <c r="Q1014" s="2178"/>
      <c r="R1014" s="2178"/>
      <c r="S1014" s="2178"/>
      <c r="T1014" s="2178"/>
      <c r="U1014" s="2178"/>
      <c r="V1014" s="2178"/>
      <c r="W1014" s="2178"/>
      <c r="X1014" s="2178"/>
      <c r="Y1014" s="2178"/>
      <c r="Z1014" s="2178"/>
      <c r="AA1014" s="2178"/>
      <c r="AB1014" s="2178"/>
      <c r="AC1014" s="2178"/>
      <c r="AD1014" s="2178"/>
      <c r="AE1014" s="2179"/>
      <c r="AF1014" s="1614"/>
      <c r="AG1014" s="1615"/>
      <c r="AH1014" s="1615"/>
      <c r="AI1014" s="1616"/>
      <c r="AJ1014" s="2115"/>
      <c r="AK1014" s="2116"/>
      <c r="AL1014" s="2116"/>
      <c r="AM1014" s="2116"/>
      <c r="AN1014" s="2116"/>
      <c r="AO1014" s="2116"/>
      <c r="AP1014" s="2116"/>
      <c r="AQ1014" s="2117"/>
      <c r="AR1014" s="1581"/>
      <c r="AS1014" s="1581"/>
      <c r="AT1014" s="1581"/>
      <c r="AU1014" s="1581"/>
      <c r="AV1014" s="1581"/>
      <c r="AW1014" s="1581"/>
      <c r="AX1014" s="1581"/>
      <c r="AY1014" s="1581"/>
      <c r="CR1014" s="25"/>
    </row>
    <row r="1015" spans="1:96" s="719" customFormat="1" ht="12.75" customHeight="1">
      <c r="A1015" s="51"/>
      <c r="B1015" s="110"/>
      <c r="C1015" s="531" t="s">
        <v>725</v>
      </c>
      <c r="D1015" s="2167" t="s">
        <v>2177</v>
      </c>
      <c r="E1015" s="2168"/>
      <c r="F1015" s="2168"/>
      <c r="G1015" s="2168"/>
      <c r="H1015" s="2168"/>
      <c r="I1015" s="2168"/>
      <c r="J1015" s="2168"/>
      <c r="K1015" s="2168"/>
      <c r="L1015" s="2168"/>
      <c r="M1015" s="2168"/>
      <c r="N1015" s="2168"/>
      <c r="O1015" s="2168"/>
      <c r="P1015" s="2168"/>
      <c r="Q1015" s="2168"/>
      <c r="R1015" s="2168"/>
      <c r="S1015" s="2168"/>
      <c r="T1015" s="2168"/>
      <c r="U1015" s="2168"/>
      <c r="V1015" s="2168"/>
      <c r="W1015" s="2168"/>
      <c r="X1015" s="2168"/>
      <c r="Y1015" s="2168"/>
      <c r="Z1015" s="2168"/>
      <c r="AA1015" s="2168"/>
      <c r="AB1015" s="2168"/>
      <c r="AC1015" s="2168"/>
      <c r="AD1015" s="2168"/>
      <c r="AE1015" s="2169"/>
      <c r="AF1015" s="110"/>
      <c r="AG1015" s="2222" t="s">
        <v>706</v>
      </c>
      <c r="AH1015" s="2223"/>
      <c r="AI1015" s="121"/>
      <c r="AJ1015" s="2109">
        <f>ROUND(IF(AG1015="yes",(AJ975*0.1),0),0)</f>
        <v>0</v>
      </c>
      <c r="AK1015" s="2110"/>
      <c r="AL1015" s="2110"/>
      <c r="AM1015" s="2110"/>
      <c r="AN1015" s="2110"/>
      <c r="AO1015" s="2110"/>
      <c r="AP1015" s="2110"/>
      <c r="AQ1015" s="2111"/>
      <c r="AR1015" s="1581"/>
      <c r="AS1015" s="1581"/>
      <c r="AT1015" s="1581"/>
      <c r="AU1015" s="1581"/>
      <c r="AV1015" s="1581"/>
      <c r="AW1015" s="1581"/>
      <c r="AX1015" s="1581"/>
      <c r="AY1015" s="1581"/>
      <c r="CR1015" s="25"/>
    </row>
    <row r="1016" spans="1:96" s="719" customFormat="1" ht="12.75" customHeight="1">
      <c r="A1016" s="51"/>
      <c r="B1016" s="110"/>
      <c r="C1016" s="111"/>
      <c r="D1016" s="2174" t="s">
        <v>2178</v>
      </c>
      <c r="E1016" s="2175"/>
      <c r="F1016" s="2175"/>
      <c r="G1016" s="2175"/>
      <c r="H1016" s="2175"/>
      <c r="I1016" s="2175"/>
      <c r="J1016" s="2175"/>
      <c r="K1016" s="2175"/>
      <c r="L1016" s="2175"/>
      <c r="M1016" s="2175"/>
      <c r="N1016" s="2175"/>
      <c r="O1016" s="2175"/>
      <c r="P1016" s="2175"/>
      <c r="Q1016" s="2175"/>
      <c r="R1016" s="2175"/>
      <c r="S1016" s="2175"/>
      <c r="T1016" s="2175"/>
      <c r="U1016" s="2175"/>
      <c r="V1016" s="2175"/>
      <c r="W1016" s="2175"/>
      <c r="X1016" s="2175"/>
      <c r="Y1016" s="2175"/>
      <c r="Z1016" s="2175"/>
      <c r="AA1016" s="2175"/>
      <c r="AB1016" s="2175"/>
      <c r="AC1016" s="2175"/>
      <c r="AD1016" s="2175"/>
      <c r="AE1016" s="2176"/>
      <c r="AF1016" s="110"/>
      <c r="AG1016" s="112"/>
      <c r="AH1016" s="112"/>
      <c r="AI1016" s="121"/>
      <c r="AJ1016" s="2112"/>
      <c r="AK1016" s="2113"/>
      <c r="AL1016" s="2113"/>
      <c r="AM1016" s="2113"/>
      <c r="AN1016" s="2113"/>
      <c r="AO1016" s="2113"/>
      <c r="AP1016" s="2113"/>
      <c r="AQ1016" s="2114"/>
      <c r="AR1016" s="1581"/>
      <c r="AS1016" s="1581"/>
      <c r="AT1016" s="1581"/>
      <c r="AU1016" s="1581"/>
      <c r="AV1016" s="1581"/>
      <c r="AW1016" s="1581"/>
      <c r="AX1016" s="1581"/>
      <c r="AY1016" s="1581"/>
      <c r="CR1016" s="25"/>
    </row>
    <row r="1017" spans="1:96" s="719" customFormat="1" ht="12.75" customHeight="1">
      <c r="A1017" s="51"/>
      <c r="B1017" s="110"/>
      <c r="C1017" s="111"/>
      <c r="D1017" s="2174"/>
      <c r="E1017" s="2175"/>
      <c r="F1017" s="2175"/>
      <c r="G1017" s="2175"/>
      <c r="H1017" s="2175"/>
      <c r="I1017" s="2175"/>
      <c r="J1017" s="2175"/>
      <c r="K1017" s="2175"/>
      <c r="L1017" s="2175"/>
      <c r="M1017" s="2175"/>
      <c r="N1017" s="2175"/>
      <c r="O1017" s="2175"/>
      <c r="P1017" s="2175"/>
      <c r="Q1017" s="2175"/>
      <c r="R1017" s="2175"/>
      <c r="S1017" s="2175"/>
      <c r="T1017" s="2175"/>
      <c r="U1017" s="2175"/>
      <c r="V1017" s="2175"/>
      <c r="W1017" s="2175"/>
      <c r="X1017" s="2175"/>
      <c r="Y1017" s="2175"/>
      <c r="Z1017" s="2175"/>
      <c r="AA1017" s="2175"/>
      <c r="AB1017" s="2175"/>
      <c r="AC1017" s="2175"/>
      <c r="AD1017" s="2175"/>
      <c r="AE1017" s="2176"/>
      <c r="AF1017" s="110"/>
      <c r="AG1017" s="112"/>
      <c r="AH1017" s="112"/>
      <c r="AI1017" s="121"/>
      <c r="AJ1017" s="2112"/>
      <c r="AK1017" s="2113"/>
      <c r="AL1017" s="2113"/>
      <c r="AM1017" s="2113"/>
      <c r="AN1017" s="2113"/>
      <c r="AO1017" s="2113"/>
      <c r="AP1017" s="2113"/>
      <c r="AQ1017" s="2114"/>
      <c r="AR1017" s="1581"/>
      <c r="AS1017" s="1581"/>
      <c r="AT1017" s="1581"/>
      <c r="AU1017" s="1581"/>
      <c r="AV1017" s="1581"/>
      <c r="AW1017" s="1581"/>
      <c r="AX1017" s="1581"/>
      <c r="AY1017" s="1581"/>
      <c r="CR1017" s="25"/>
    </row>
    <row r="1018" spans="1:96" s="719" customFormat="1" ht="12.75" customHeight="1">
      <c r="A1018" s="51"/>
      <c r="B1018" s="110"/>
      <c r="C1018" s="111"/>
      <c r="D1018" s="2174"/>
      <c r="E1018" s="2175"/>
      <c r="F1018" s="2175"/>
      <c r="G1018" s="2175"/>
      <c r="H1018" s="2175"/>
      <c r="I1018" s="2175"/>
      <c r="J1018" s="2175"/>
      <c r="K1018" s="2175"/>
      <c r="L1018" s="2175"/>
      <c r="M1018" s="2175"/>
      <c r="N1018" s="2175"/>
      <c r="O1018" s="2175"/>
      <c r="P1018" s="2175"/>
      <c r="Q1018" s="2175"/>
      <c r="R1018" s="2175"/>
      <c r="S1018" s="2175"/>
      <c r="T1018" s="2175"/>
      <c r="U1018" s="2175"/>
      <c r="V1018" s="2175"/>
      <c r="W1018" s="2175"/>
      <c r="X1018" s="2175"/>
      <c r="Y1018" s="2175"/>
      <c r="Z1018" s="2175"/>
      <c r="AA1018" s="2175"/>
      <c r="AB1018" s="2175"/>
      <c r="AC1018" s="2175"/>
      <c r="AD1018" s="2175"/>
      <c r="AE1018" s="2176"/>
      <c r="AF1018" s="110"/>
      <c r="AG1018" s="112"/>
      <c r="AH1018" s="112"/>
      <c r="AI1018" s="121"/>
      <c r="AJ1018" s="2112"/>
      <c r="AK1018" s="2113"/>
      <c r="AL1018" s="2113"/>
      <c r="AM1018" s="2113"/>
      <c r="AN1018" s="2113"/>
      <c r="AO1018" s="2113"/>
      <c r="AP1018" s="2113"/>
      <c r="AQ1018" s="2114"/>
      <c r="AR1018" s="1581"/>
      <c r="AS1018" s="1581"/>
      <c r="AT1018" s="1581"/>
      <c r="AU1018" s="1581"/>
      <c r="AV1018" s="1581"/>
      <c r="AW1018" s="1581"/>
      <c r="AX1018" s="1581"/>
      <c r="AY1018" s="1581"/>
      <c r="CR1018" s="25"/>
    </row>
    <row r="1019" spans="1:96" s="719" customFormat="1" ht="12.75" customHeight="1">
      <c r="A1019" s="51"/>
      <c r="B1019" s="110"/>
      <c r="C1019" s="111"/>
      <c r="D1019" s="2177"/>
      <c r="E1019" s="2178"/>
      <c r="F1019" s="2178"/>
      <c r="G1019" s="2178"/>
      <c r="H1019" s="2178"/>
      <c r="I1019" s="2178"/>
      <c r="J1019" s="2178"/>
      <c r="K1019" s="2178"/>
      <c r="L1019" s="2178"/>
      <c r="M1019" s="2178"/>
      <c r="N1019" s="2178"/>
      <c r="O1019" s="2178"/>
      <c r="P1019" s="2178"/>
      <c r="Q1019" s="2178"/>
      <c r="R1019" s="2178"/>
      <c r="S1019" s="2178"/>
      <c r="T1019" s="2178"/>
      <c r="U1019" s="2178"/>
      <c r="V1019" s="2178"/>
      <c r="W1019" s="2178"/>
      <c r="X1019" s="2178"/>
      <c r="Y1019" s="2178"/>
      <c r="Z1019" s="2178"/>
      <c r="AA1019" s="2178"/>
      <c r="AB1019" s="2178"/>
      <c r="AC1019" s="2178"/>
      <c r="AD1019" s="2178"/>
      <c r="AE1019" s="2179"/>
      <c r="AF1019" s="110"/>
      <c r="AG1019" s="112"/>
      <c r="AH1019" s="112"/>
      <c r="AI1019" s="121"/>
      <c r="AJ1019" s="2112"/>
      <c r="AK1019" s="2113"/>
      <c r="AL1019" s="2113"/>
      <c r="AM1019" s="2113"/>
      <c r="AN1019" s="2113"/>
      <c r="AO1019" s="2113"/>
      <c r="AP1019" s="2113"/>
      <c r="AQ1019" s="2114"/>
      <c r="AR1019" s="1581"/>
      <c r="AS1019" s="1581"/>
      <c r="AT1019" s="1581"/>
      <c r="AU1019" s="1581"/>
      <c r="AV1019" s="1581"/>
      <c r="AW1019" s="1581"/>
      <c r="AX1019" s="1581"/>
      <c r="AY1019" s="1581"/>
      <c r="CR1019" s="25"/>
    </row>
    <row r="1020" spans="1:96" s="719" customFormat="1" ht="12.75" customHeight="1">
      <c r="A1020" s="51"/>
      <c r="B1020" s="117"/>
      <c r="C1020" s="198" t="s">
        <v>1117</v>
      </c>
      <c r="D1020" s="2103" t="s">
        <v>1543</v>
      </c>
      <c r="E1020" s="2104"/>
      <c r="F1020" s="2104"/>
      <c r="G1020" s="2104"/>
      <c r="H1020" s="2104"/>
      <c r="I1020" s="2104"/>
      <c r="J1020" s="2104"/>
      <c r="K1020" s="2104"/>
      <c r="L1020" s="2104"/>
      <c r="M1020" s="2104"/>
      <c r="N1020" s="2104"/>
      <c r="O1020" s="2104"/>
      <c r="P1020" s="2104"/>
      <c r="Q1020" s="2104"/>
      <c r="R1020" s="2104"/>
      <c r="S1020" s="2104"/>
      <c r="T1020" s="2104"/>
      <c r="U1020" s="2104"/>
      <c r="V1020" s="2104"/>
      <c r="W1020" s="2104"/>
      <c r="X1020" s="2104"/>
      <c r="Y1020" s="2104"/>
      <c r="Z1020" s="2104"/>
      <c r="AA1020" s="2104"/>
      <c r="AB1020" s="2104"/>
      <c r="AC1020" s="2104"/>
      <c r="AD1020" s="2104"/>
      <c r="AE1020" s="2105"/>
      <c r="AF1020" s="117"/>
      <c r="AG1020" s="2165" t="s">
        <v>706</v>
      </c>
      <c r="AH1020" s="2166"/>
      <c r="AI1020" s="125"/>
      <c r="AJ1020" s="2109">
        <f>ROUND(IF(AG1020="yes",(AJ975*0.1),0),0)</f>
        <v>0</v>
      </c>
      <c r="AK1020" s="2110"/>
      <c r="AL1020" s="2110"/>
      <c r="AM1020" s="2110"/>
      <c r="AN1020" s="2110"/>
      <c r="AO1020" s="2110"/>
      <c r="AP1020" s="2110"/>
      <c r="AQ1020" s="2111"/>
      <c r="AR1020" s="1581"/>
      <c r="AS1020" s="1581"/>
      <c r="AT1020" s="1581"/>
      <c r="AU1020" s="1581"/>
      <c r="AV1020" s="1581"/>
      <c r="AW1020" s="1581"/>
      <c r="AX1020" s="1581"/>
      <c r="AY1020" s="1581"/>
      <c r="CR1020" s="25"/>
    </row>
    <row r="1021" spans="1:96" ht="12.75" customHeight="1">
      <c r="A1021" s="51"/>
      <c r="B1021" s="110"/>
      <c r="C1021" s="111"/>
      <c r="D1021" s="2145" t="s">
        <v>1544</v>
      </c>
      <c r="E1021" s="2146"/>
      <c r="F1021" s="2146"/>
      <c r="G1021" s="2146"/>
      <c r="H1021" s="2146"/>
      <c r="I1021" s="2146"/>
      <c r="J1021" s="2146"/>
      <c r="K1021" s="2146"/>
      <c r="L1021" s="2146"/>
      <c r="M1021" s="2146"/>
      <c r="N1021" s="2146"/>
      <c r="O1021" s="2146"/>
      <c r="P1021" s="2146"/>
      <c r="Q1021" s="2146"/>
      <c r="R1021" s="2146"/>
      <c r="S1021" s="2146"/>
      <c r="T1021" s="2146"/>
      <c r="U1021" s="2146"/>
      <c r="V1021" s="2146"/>
      <c r="W1021" s="2146"/>
      <c r="X1021" s="2146"/>
      <c r="Y1021" s="2146"/>
      <c r="Z1021" s="2146"/>
      <c r="AA1021" s="2146"/>
      <c r="AB1021" s="2146"/>
      <c r="AC1021" s="2146"/>
      <c r="AD1021" s="2146"/>
      <c r="AE1021" s="2147"/>
      <c r="AF1021" s="110"/>
      <c r="AG1021" s="112"/>
      <c r="AH1021" s="112"/>
      <c r="AI1021" s="121"/>
      <c r="AJ1021" s="2112"/>
      <c r="AK1021" s="2113"/>
      <c r="AL1021" s="2113"/>
      <c r="AM1021" s="2113"/>
      <c r="AN1021" s="2113"/>
      <c r="AO1021" s="2113"/>
      <c r="AP1021" s="2113"/>
      <c r="AQ1021" s="2114"/>
      <c r="AR1021" s="1581"/>
      <c r="AS1021" s="1581"/>
      <c r="AT1021" s="1581"/>
      <c r="AU1021" s="1581"/>
      <c r="AV1021" s="1581"/>
      <c r="AW1021" s="1581"/>
      <c r="AX1021" s="1581"/>
      <c r="AY1021" s="1581"/>
    </row>
    <row r="1022" spans="1:96" ht="12.75" customHeight="1">
      <c r="A1022" s="51"/>
      <c r="B1022" s="110"/>
      <c r="C1022" s="111"/>
      <c r="D1022" s="2145"/>
      <c r="E1022" s="2146"/>
      <c r="F1022" s="2146"/>
      <c r="G1022" s="2146"/>
      <c r="H1022" s="2146"/>
      <c r="I1022" s="2146"/>
      <c r="J1022" s="2146"/>
      <c r="K1022" s="2146"/>
      <c r="L1022" s="2146"/>
      <c r="M1022" s="2146"/>
      <c r="N1022" s="2146"/>
      <c r="O1022" s="2146"/>
      <c r="P1022" s="2146"/>
      <c r="Q1022" s="2146"/>
      <c r="R1022" s="2146"/>
      <c r="S1022" s="2146"/>
      <c r="T1022" s="2146"/>
      <c r="U1022" s="2146"/>
      <c r="V1022" s="2146"/>
      <c r="W1022" s="2146"/>
      <c r="X1022" s="2146"/>
      <c r="Y1022" s="2146"/>
      <c r="Z1022" s="2146"/>
      <c r="AA1022" s="2146"/>
      <c r="AB1022" s="2146"/>
      <c r="AC1022" s="2146"/>
      <c r="AD1022" s="2146"/>
      <c r="AE1022" s="2147"/>
      <c r="AF1022" s="110"/>
      <c r="AG1022" s="112"/>
      <c r="AH1022" s="112"/>
      <c r="AI1022" s="121"/>
      <c r="AJ1022" s="2112"/>
      <c r="AK1022" s="2113"/>
      <c r="AL1022" s="2113"/>
      <c r="AM1022" s="2113"/>
      <c r="AN1022" s="2113"/>
      <c r="AO1022" s="2113"/>
      <c r="AP1022" s="2113"/>
      <c r="AQ1022" s="2114"/>
      <c r="AR1022" s="1581"/>
      <c r="AS1022" s="1581"/>
      <c r="AT1022" s="1581"/>
      <c r="AU1022" s="1581"/>
      <c r="AV1022" s="1581"/>
      <c r="AW1022" s="1581"/>
      <c r="AX1022" s="1581"/>
      <c r="AY1022" s="1581"/>
    </row>
    <row r="1023" spans="1:96" s="682" customFormat="1" ht="12.75" customHeight="1">
      <c r="A1023" s="51"/>
      <c r="B1023" s="110"/>
      <c r="C1023" s="111"/>
      <c r="D1023" s="2106"/>
      <c r="E1023" s="2107"/>
      <c r="F1023" s="2107"/>
      <c r="G1023" s="2107"/>
      <c r="H1023" s="2107"/>
      <c r="I1023" s="2107"/>
      <c r="J1023" s="2107"/>
      <c r="K1023" s="2107"/>
      <c r="L1023" s="2107"/>
      <c r="M1023" s="2107"/>
      <c r="N1023" s="2107"/>
      <c r="O1023" s="2107"/>
      <c r="P1023" s="2107"/>
      <c r="Q1023" s="2107"/>
      <c r="R1023" s="2107"/>
      <c r="S1023" s="2107"/>
      <c r="T1023" s="2107"/>
      <c r="U1023" s="2107"/>
      <c r="V1023" s="2107"/>
      <c r="W1023" s="2107"/>
      <c r="X1023" s="2107"/>
      <c r="Y1023" s="2107"/>
      <c r="Z1023" s="2107"/>
      <c r="AA1023" s="2107"/>
      <c r="AB1023" s="2107"/>
      <c r="AC1023" s="2107"/>
      <c r="AD1023" s="2107"/>
      <c r="AE1023" s="2108"/>
      <c r="AF1023" s="110"/>
      <c r="AG1023" s="112"/>
      <c r="AH1023" s="112"/>
      <c r="AI1023" s="121"/>
      <c r="AJ1023" s="2115"/>
      <c r="AK1023" s="2116"/>
      <c r="AL1023" s="2116"/>
      <c r="AM1023" s="2116"/>
      <c r="AN1023" s="2116"/>
      <c r="AO1023" s="2116"/>
      <c r="AP1023" s="2116"/>
      <c r="AQ1023" s="2117"/>
      <c r="AR1023" s="1581"/>
      <c r="AS1023" s="1581"/>
      <c r="AT1023" s="1581"/>
      <c r="AU1023" s="1581"/>
      <c r="AV1023" s="1581"/>
      <c r="AW1023" s="1581"/>
      <c r="AX1023" s="1581"/>
      <c r="AY1023" s="1581"/>
      <c r="CR1023" s="25"/>
    </row>
    <row r="1024" spans="1:96" ht="12.75" customHeight="1">
      <c r="A1024" s="51"/>
      <c r="B1024" s="117"/>
      <c r="C1024" s="198" t="s">
        <v>2173</v>
      </c>
      <c r="D1024" s="2167" t="s">
        <v>2394</v>
      </c>
      <c r="E1024" s="2168"/>
      <c r="F1024" s="2168"/>
      <c r="G1024" s="2168"/>
      <c r="H1024" s="2168"/>
      <c r="I1024" s="2168"/>
      <c r="J1024" s="2168"/>
      <c r="K1024" s="2168"/>
      <c r="L1024" s="2168"/>
      <c r="M1024" s="2168"/>
      <c r="N1024" s="2168"/>
      <c r="O1024" s="2168"/>
      <c r="P1024" s="2168"/>
      <c r="Q1024" s="2168"/>
      <c r="R1024" s="2168"/>
      <c r="S1024" s="2168"/>
      <c r="T1024" s="2168"/>
      <c r="U1024" s="2168"/>
      <c r="V1024" s="2168"/>
      <c r="W1024" s="2168"/>
      <c r="X1024" s="2168"/>
      <c r="Y1024" s="2168"/>
      <c r="Z1024" s="2168"/>
      <c r="AA1024" s="2168"/>
      <c r="AB1024" s="2168"/>
      <c r="AC1024" s="2168"/>
      <c r="AD1024" s="2168"/>
      <c r="AE1024" s="2169"/>
      <c r="AF1024" s="117"/>
      <c r="AG1024" s="2220" t="str">
        <f>IF(X1027&gt;0,"Yes","No")</f>
        <v>Yes</v>
      </c>
      <c r="AH1024" s="2221"/>
      <c r="AI1024" s="125"/>
      <c r="AJ1024" s="2224">
        <f>IF((X1027=0),0,BA989*AJ975)</f>
        <v>15585804</v>
      </c>
      <c r="AK1024" s="2225"/>
      <c r="AL1024" s="2225"/>
      <c r="AM1024" s="2225"/>
      <c r="AN1024" s="2225"/>
      <c r="AO1024" s="2225"/>
      <c r="AP1024" s="2225"/>
      <c r="AQ1024" s="2226"/>
      <c r="AR1024" s="1581"/>
      <c r="AS1024" s="1581"/>
      <c r="AT1024" s="1581"/>
      <c r="AU1024" s="1581"/>
      <c r="AV1024" s="1581"/>
      <c r="AW1024" s="1581"/>
      <c r="AX1024" s="1581"/>
      <c r="AY1024" s="1581"/>
    </row>
    <row r="1025" spans="1:96" ht="12.75" customHeight="1">
      <c r="A1025" s="51"/>
      <c r="B1025" s="110"/>
      <c r="C1025" s="702"/>
      <c r="D1025" s="2145" t="s">
        <v>1546</v>
      </c>
      <c r="E1025" s="2146"/>
      <c r="F1025" s="2146"/>
      <c r="G1025" s="2146"/>
      <c r="H1025" s="2146"/>
      <c r="I1025" s="2146"/>
      <c r="J1025" s="2146"/>
      <c r="K1025" s="2146"/>
      <c r="L1025" s="2146"/>
      <c r="M1025" s="2146"/>
      <c r="N1025" s="2146"/>
      <c r="O1025" s="2146"/>
      <c r="P1025" s="2146"/>
      <c r="Q1025" s="2146"/>
      <c r="R1025" s="2146"/>
      <c r="S1025" s="2146"/>
      <c r="T1025" s="2146"/>
      <c r="U1025" s="2146"/>
      <c r="V1025" s="2146"/>
      <c r="W1025" s="2146"/>
      <c r="X1025" s="2146"/>
      <c r="Y1025" s="2146"/>
      <c r="Z1025" s="2146"/>
      <c r="AA1025" s="2146"/>
      <c r="AB1025" s="2146"/>
      <c r="AC1025" s="2146"/>
      <c r="AD1025" s="2146"/>
      <c r="AE1025" s="2147"/>
      <c r="AF1025" s="110"/>
      <c r="AG1025" s="703"/>
      <c r="AH1025" s="703"/>
      <c r="AI1025" s="121"/>
      <c r="AJ1025" s="2227"/>
      <c r="AK1025" s="2228"/>
      <c r="AL1025" s="2228"/>
      <c r="AM1025" s="2228"/>
      <c r="AN1025" s="2228"/>
      <c r="AO1025" s="2228"/>
      <c r="AP1025" s="2228"/>
      <c r="AQ1025" s="2229"/>
      <c r="AR1025" s="1581"/>
      <c r="AS1025" s="1581"/>
      <c r="AT1025" s="1581"/>
      <c r="AU1025" s="1581"/>
      <c r="AV1025" s="1581"/>
      <c r="AW1025" s="1581"/>
      <c r="AX1025" s="1581"/>
      <c r="AY1025" s="1581"/>
    </row>
    <row r="1026" spans="1:96" ht="12.75" customHeight="1">
      <c r="A1026" s="51"/>
      <c r="B1026" s="110"/>
      <c r="C1026" s="702"/>
      <c r="D1026" s="2145"/>
      <c r="E1026" s="2146"/>
      <c r="F1026" s="2146"/>
      <c r="G1026" s="2146"/>
      <c r="H1026" s="2146"/>
      <c r="I1026" s="2146"/>
      <c r="J1026" s="2146"/>
      <c r="K1026" s="2146"/>
      <c r="L1026" s="2146"/>
      <c r="M1026" s="2146"/>
      <c r="N1026" s="2146"/>
      <c r="O1026" s="2146"/>
      <c r="P1026" s="2146"/>
      <c r="Q1026" s="2146"/>
      <c r="R1026" s="2146"/>
      <c r="S1026" s="2146"/>
      <c r="T1026" s="2146"/>
      <c r="U1026" s="2146"/>
      <c r="V1026" s="2146"/>
      <c r="W1026" s="2146"/>
      <c r="X1026" s="2146"/>
      <c r="Y1026" s="2146"/>
      <c r="Z1026" s="2146"/>
      <c r="AA1026" s="2146"/>
      <c r="AB1026" s="2146"/>
      <c r="AC1026" s="2146"/>
      <c r="AD1026" s="2146"/>
      <c r="AE1026" s="2147"/>
      <c r="AF1026" s="110"/>
      <c r="AG1026" s="703"/>
      <c r="AH1026" s="703"/>
      <c r="AI1026" s="121"/>
      <c r="AJ1026" s="2227"/>
      <c r="AK1026" s="2228"/>
      <c r="AL1026" s="2228"/>
      <c r="AM1026" s="2228"/>
      <c r="AN1026" s="2228"/>
      <c r="AO1026" s="2228"/>
      <c r="AP1026" s="2228"/>
      <c r="AQ1026" s="2229"/>
      <c r="AR1026" s="1581"/>
      <c r="AS1026" s="1581"/>
      <c r="AT1026" s="1581"/>
      <c r="AU1026" s="1581"/>
      <c r="AV1026" s="1581"/>
      <c r="AW1026" s="1581"/>
      <c r="AX1026" s="1581"/>
      <c r="AY1026" s="1581"/>
    </row>
    <row r="1027" spans="1:96" s="719" customFormat="1" ht="12.75" customHeight="1">
      <c r="A1027" s="51"/>
      <c r="B1027" s="115"/>
      <c r="C1027" s="116"/>
      <c r="D1027" s="199" t="s">
        <v>1051</v>
      </c>
      <c r="E1027" s="200"/>
      <c r="F1027" s="200"/>
      <c r="G1027" s="200"/>
      <c r="H1027" s="200"/>
      <c r="I1027" s="2218">
        <f>BA987</f>
        <v>246</v>
      </c>
      <c r="J1027" s="2219"/>
      <c r="K1027" s="11"/>
      <c r="L1027" s="200"/>
      <c r="M1027" s="200"/>
      <c r="N1027" s="200"/>
      <c r="O1027" s="200"/>
      <c r="P1027" s="200"/>
      <c r="Q1027" s="200"/>
      <c r="R1027" s="200"/>
      <c r="S1027" s="200"/>
      <c r="T1027" s="200"/>
      <c r="U1027" s="200"/>
      <c r="V1027" s="201" t="s">
        <v>1052</v>
      </c>
      <c r="W1027" s="80"/>
      <c r="X1027" s="2216">
        <f>BG635</f>
        <v>25</v>
      </c>
      <c r="Y1027" s="2217"/>
      <c r="Z1027" s="80"/>
      <c r="AA1027" s="80"/>
      <c r="AB1027" s="80"/>
      <c r="AC1027" s="80"/>
      <c r="AD1027" s="80"/>
      <c r="AE1027" s="81"/>
      <c r="AF1027" s="1620"/>
      <c r="AG1027" s="1621"/>
      <c r="AH1027" s="1621"/>
      <c r="AI1027" s="1622"/>
      <c r="AJ1027" s="2230"/>
      <c r="AK1027" s="2231"/>
      <c r="AL1027" s="2231"/>
      <c r="AM1027" s="2231"/>
      <c r="AN1027" s="2231"/>
      <c r="AO1027" s="2231"/>
      <c r="AP1027" s="2231"/>
      <c r="AQ1027" s="2232"/>
      <c r="AR1027" s="1581"/>
      <c r="AS1027" s="1581"/>
      <c r="AT1027" s="1581"/>
      <c r="AU1027" s="1581"/>
      <c r="AV1027" s="1581"/>
      <c r="AW1027" s="1581"/>
      <c r="AX1027" s="1581"/>
      <c r="AY1027" s="1581"/>
      <c r="CR1027" s="25"/>
    </row>
    <row r="1028" spans="1:96" ht="12.75" customHeight="1">
      <c r="A1028" s="51"/>
      <c r="B1028" s="117"/>
      <c r="C1028" s="198" t="s">
        <v>2174</v>
      </c>
      <c r="D1028" s="2103" t="s">
        <v>2395</v>
      </c>
      <c r="E1028" s="2104"/>
      <c r="F1028" s="2104"/>
      <c r="G1028" s="2104"/>
      <c r="H1028" s="2104"/>
      <c r="I1028" s="2104"/>
      <c r="J1028" s="2104"/>
      <c r="K1028" s="2104"/>
      <c r="L1028" s="2104"/>
      <c r="M1028" s="2104"/>
      <c r="N1028" s="2104"/>
      <c r="O1028" s="2104"/>
      <c r="P1028" s="2104"/>
      <c r="Q1028" s="2104"/>
      <c r="R1028" s="2104"/>
      <c r="S1028" s="2104"/>
      <c r="T1028" s="2104"/>
      <c r="U1028" s="2104"/>
      <c r="V1028" s="2104"/>
      <c r="W1028" s="2104"/>
      <c r="X1028" s="2104"/>
      <c r="Y1028" s="2104"/>
      <c r="Z1028" s="2104"/>
      <c r="AA1028" s="2104"/>
      <c r="AB1028" s="2104"/>
      <c r="AC1028" s="2104"/>
      <c r="AD1028" s="2104"/>
      <c r="AE1028" s="2105"/>
      <c r="AF1028" s="110"/>
      <c r="AG1028" s="2220" t="str">
        <f>IF(X1031&gt;0,"Yes","No")</f>
        <v>Yes</v>
      </c>
      <c r="AH1028" s="2221"/>
      <c r="AI1028" s="121"/>
      <c r="AJ1028" s="2224">
        <f>IF((X1031=0),0,(2*BA990)*AJ975)</f>
        <v>31171608</v>
      </c>
      <c r="AK1028" s="2225"/>
      <c r="AL1028" s="2225"/>
      <c r="AM1028" s="2225"/>
      <c r="AN1028" s="2225"/>
      <c r="AO1028" s="2225"/>
      <c r="AP1028" s="2225"/>
      <c r="AQ1028" s="2226"/>
      <c r="AR1028" s="1581"/>
      <c r="AS1028" s="1581"/>
      <c r="AT1028" s="1581"/>
      <c r="AU1028" s="1581"/>
      <c r="AV1028" s="1581"/>
      <c r="AW1028" s="1581"/>
      <c r="AX1028" s="1581"/>
      <c r="AY1028" s="1581"/>
    </row>
    <row r="1029" spans="1:96" ht="12.75" customHeight="1">
      <c r="A1029" s="51"/>
      <c r="B1029" s="110"/>
      <c r="C1029" s="702"/>
      <c r="D1029" s="2145" t="s">
        <v>1545</v>
      </c>
      <c r="E1029" s="2146"/>
      <c r="F1029" s="2146"/>
      <c r="G1029" s="2146"/>
      <c r="H1029" s="2146"/>
      <c r="I1029" s="2146"/>
      <c r="J1029" s="2146"/>
      <c r="K1029" s="2146"/>
      <c r="L1029" s="2146"/>
      <c r="M1029" s="2146"/>
      <c r="N1029" s="2146"/>
      <c r="O1029" s="2146"/>
      <c r="P1029" s="2146"/>
      <c r="Q1029" s="2146"/>
      <c r="R1029" s="2146"/>
      <c r="S1029" s="2146"/>
      <c r="T1029" s="2146"/>
      <c r="U1029" s="2146"/>
      <c r="V1029" s="2146"/>
      <c r="W1029" s="2146"/>
      <c r="X1029" s="2146"/>
      <c r="Y1029" s="2146"/>
      <c r="Z1029" s="2146"/>
      <c r="AA1029" s="2146"/>
      <c r="AB1029" s="2146"/>
      <c r="AC1029" s="2146"/>
      <c r="AD1029" s="2146"/>
      <c r="AE1029" s="2147"/>
      <c r="AF1029" s="110"/>
      <c r="AG1029" s="703"/>
      <c r="AH1029" s="703"/>
      <c r="AI1029" s="121"/>
      <c r="AJ1029" s="2227"/>
      <c r="AK1029" s="2228"/>
      <c r="AL1029" s="2228"/>
      <c r="AM1029" s="2228"/>
      <c r="AN1029" s="2228"/>
      <c r="AO1029" s="2228"/>
      <c r="AP1029" s="2228"/>
      <c r="AQ1029" s="2229"/>
      <c r="AR1029" s="1581"/>
      <c r="AS1029" s="1581"/>
      <c r="AT1029" s="1581"/>
      <c r="AU1029" s="1581"/>
      <c r="AV1029" s="1581"/>
      <c r="AW1029" s="1581"/>
      <c r="AX1029" s="1581"/>
      <c r="AY1029" s="1581"/>
    </row>
    <row r="1030" spans="1:96" ht="12.75" customHeight="1">
      <c r="A1030" s="51"/>
      <c r="B1030" s="110"/>
      <c r="C1030" s="121"/>
      <c r="D1030" s="2145"/>
      <c r="E1030" s="2146"/>
      <c r="F1030" s="2146"/>
      <c r="G1030" s="2146"/>
      <c r="H1030" s="2146"/>
      <c r="I1030" s="2146"/>
      <c r="J1030" s="2146"/>
      <c r="K1030" s="2146"/>
      <c r="L1030" s="2146"/>
      <c r="M1030" s="2146"/>
      <c r="N1030" s="2146"/>
      <c r="O1030" s="2146"/>
      <c r="P1030" s="2146"/>
      <c r="Q1030" s="2146"/>
      <c r="R1030" s="2146"/>
      <c r="S1030" s="2146"/>
      <c r="T1030" s="2146"/>
      <c r="U1030" s="2146"/>
      <c r="V1030" s="2146"/>
      <c r="W1030" s="2146"/>
      <c r="X1030" s="2146"/>
      <c r="Y1030" s="2146"/>
      <c r="Z1030" s="2146"/>
      <c r="AA1030" s="2146"/>
      <c r="AB1030" s="2146"/>
      <c r="AC1030" s="2146"/>
      <c r="AD1030" s="2146"/>
      <c r="AE1030" s="2147"/>
      <c r="AF1030" s="1617"/>
      <c r="AG1030" s="1618"/>
      <c r="AH1030" s="1618"/>
      <c r="AI1030" s="1619"/>
      <c r="AJ1030" s="2227"/>
      <c r="AK1030" s="2228"/>
      <c r="AL1030" s="2228"/>
      <c r="AM1030" s="2228"/>
      <c r="AN1030" s="2228"/>
      <c r="AO1030" s="2228"/>
      <c r="AP1030" s="2228"/>
      <c r="AQ1030" s="2229"/>
      <c r="AR1030" s="1581"/>
      <c r="AS1030" s="1581"/>
      <c r="AT1030" s="1581"/>
      <c r="AU1030" s="1581"/>
      <c r="AV1030" s="1581"/>
      <c r="AW1030" s="1581"/>
      <c r="AX1030" s="1581"/>
      <c r="AY1030" s="1581"/>
    </row>
    <row r="1031" spans="1:96" s="719" customFormat="1" ht="12.75" customHeight="1">
      <c r="A1031" s="51"/>
      <c r="B1031" s="115"/>
      <c r="C1031" s="116"/>
      <c r="D1031" s="199" t="s">
        <v>1051</v>
      </c>
      <c r="E1031" s="200"/>
      <c r="F1031" s="200"/>
      <c r="G1031" s="200"/>
      <c r="H1031" s="200"/>
      <c r="I1031" s="2218">
        <f>BA987</f>
        <v>246</v>
      </c>
      <c r="J1031" s="2219"/>
      <c r="K1031" s="51"/>
      <c r="L1031" s="200"/>
      <c r="M1031" s="200"/>
      <c r="N1031" s="200"/>
      <c r="O1031" s="200"/>
      <c r="P1031" s="200"/>
      <c r="Q1031" s="200"/>
      <c r="R1031" s="200"/>
      <c r="S1031" s="200"/>
      <c r="T1031" s="200"/>
      <c r="U1031" s="200"/>
      <c r="V1031" s="201" t="s">
        <v>1053</v>
      </c>
      <c r="X1031" s="2216">
        <f>BK635</f>
        <v>25</v>
      </c>
      <c r="Y1031" s="2217"/>
      <c r="AF1031" s="1620"/>
      <c r="AG1031" s="1621"/>
      <c r="AH1031" s="1621"/>
      <c r="AI1031" s="1622"/>
      <c r="AJ1031" s="2230"/>
      <c r="AK1031" s="2231"/>
      <c r="AL1031" s="2231"/>
      <c r="AM1031" s="2231"/>
      <c r="AN1031" s="2231"/>
      <c r="AO1031" s="2231"/>
      <c r="AP1031" s="2231"/>
      <c r="AQ1031" s="2232"/>
      <c r="AR1031" s="1581"/>
      <c r="AS1031" s="1581"/>
      <c r="AT1031" s="1581"/>
      <c r="AU1031" s="1581"/>
      <c r="AV1031" s="1581"/>
      <c r="AW1031" s="1581"/>
      <c r="AX1031" s="1581"/>
      <c r="AY1031" s="1581"/>
      <c r="CR1031" s="25"/>
    </row>
    <row r="1032" spans="1:96" ht="12.75" customHeight="1">
      <c r="A1032" s="51"/>
      <c r="B1032" s="158"/>
      <c r="C1032" s="159"/>
      <c r="D1032" s="2214" t="s">
        <v>546</v>
      </c>
      <c r="E1032" s="2214"/>
      <c r="F1032" s="2214"/>
      <c r="G1032" s="2214"/>
      <c r="H1032" s="2214"/>
      <c r="I1032" s="2214"/>
      <c r="J1032" s="2214"/>
      <c r="K1032" s="2214"/>
      <c r="L1032" s="2214"/>
      <c r="M1032" s="2214"/>
      <c r="N1032" s="2214"/>
      <c r="O1032" s="2214"/>
      <c r="P1032" s="2214"/>
      <c r="Q1032" s="2214"/>
      <c r="R1032" s="2214"/>
      <c r="S1032" s="2214"/>
      <c r="T1032" s="2214"/>
      <c r="U1032" s="2214"/>
      <c r="V1032" s="2214"/>
      <c r="W1032" s="2214"/>
      <c r="X1032" s="2214"/>
      <c r="Y1032" s="2214"/>
      <c r="Z1032" s="2214"/>
      <c r="AA1032" s="2214"/>
      <c r="AB1032" s="2214"/>
      <c r="AC1032" s="2214"/>
      <c r="AD1032" s="2214"/>
      <c r="AE1032" s="2214"/>
      <c r="AF1032" s="2214"/>
      <c r="AG1032" s="2214"/>
      <c r="AH1032" s="2214"/>
      <c r="AI1032" s="2215"/>
      <c r="AJ1032" s="2233">
        <f>SUM(AJ975:AQ1031)</f>
        <v>211454129</v>
      </c>
      <c r="AK1032" s="2234"/>
      <c r="AL1032" s="2234"/>
      <c r="AM1032" s="2234"/>
      <c r="AN1032" s="2234"/>
      <c r="AO1032" s="2234"/>
      <c r="AP1032" s="2234"/>
      <c r="AQ1032" s="2235"/>
      <c r="AR1032" s="1581"/>
      <c r="AS1032" s="1581"/>
      <c r="AT1032" s="1581"/>
      <c r="AU1032" s="1581"/>
      <c r="AV1032" s="1581"/>
      <c r="AW1032" s="1581"/>
      <c r="AX1032" s="1581"/>
      <c r="AY1032" s="1581"/>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1"/>
      <c r="AN1033" s="1581"/>
      <c r="AO1033" s="1581"/>
      <c r="AP1033" s="1581"/>
      <c r="AQ1033" s="1581"/>
      <c r="AR1033" s="1581"/>
      <c r="AS1033" s="1581"/>
      <c r="AT1033" s="1581"/>
      <c r="AU1033" s="1581"/>
      <c r="AV1033" s="1581"/>
      <c r="AW1033" s="1581"/>
      <c r="AX1033" s="1581"/>
      <c r="AY1033" s="1581"/>
    </row>
    <row r="1034" spans="1:96" ht="12.75" customHeight="1">
      <c r="A1034" s="51"/>
      <c r="B1034" s="2540" t="s">
        <v>1932</v>
      </c>
      <c r="C1034" s="2540"/>
      <c r="D1034" s="2540"/>
      <c r="E1034" s="2540"/>
      <c r="F1034" s="2540"/>
      <c r="G1034" s="2540"/>
      <c r="H1034" s="2540"/>
      <c r="I1034" s="2540"/>
      <c r="J1034" s="2540"/>
      <c r="K1034" s="2540"/>
      <c r="L1034" s="2540"/>
      <c r="M1034" s="2540"/>
      <c r="N1034" s="2540"/>
      <c r="O1034" s="2540"/>
      <c r="P1034" s="2540"/>
      <c r="Q1034" s="2540"/>
      <c r="R1034" s="2540"/>
      <c r="S1034" s="2540"/>
      <c r="T1034" s="2540"/>
      <c r="U1034" s="2540"/>
      <c r="V1034" s="2540"/>
      <c r="W1034" s="2540"/>
      <c r="X1034" s="2540"/>
      <c r="Y1034" s="2540"/>
      <c r="Z1034" s="343"/>
      <c r="AA1034" s="343"/>
      <c r="AB1034" s="343"/>
      <c r="AC1034" s="343"/>
      <c r="AL1034" s="105"/>
      <c r="AM1034" s="1581"/>
      <c r="AN1034" s="1581"/>
      <c r="AO1034" s="1581"/>
      <c r="AP1034" s="1581"/>
      <c r="AQ1034" s="1581"/>
      <c r="AR1034" s="1581"/>
      <c r="AS1034" s="1581"/>
      <c r="AT1034" s="1581"/>
      <c r="AU1034" s="1581"/>
      <c r="AV1034" s="1581"/>
      <c r="AW1034" s="1581"/>
      <c r="AX1034" s="1581"/>
      <c r="AY1034" s="1581"/>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1"/>
      <c r="Y1035" s="2341"/>
      <c r="Z1035" s="2341"/>
      <c r="AA1035" s="2341"/>
      <c r="AB1035" s="2341"/>
      <c r="AC1035" s="2341"/>
      <c r="AD1035" s="2535">
        <f>R971</f>
        <v>612000</v>
      </c>
      <c r="AE1035" s="2461"/>
      <c r="AF1035" s="2461"/>
      <c r="AG1035" s="2461"/>
      <c r="AH1035" s="2461"/>
      <c r="AI1035" s="2461"/>
      <c r="AJ1035" s="2461"/>
      <c r="AK1035" s="2461"/>
      <c r="AL1035" s="105"/>
      <c r="AM1035" s="1581"/>
      <c r="AN1035" s="1581"/>
      <c r="AO1035" s="1581"/>
      <c r="AP1035" s="1581"/>
      <c r="AQ1035" s="1581"/>
      <c r="AR1035" s="1581"/>
      <c r="AS1035" s="1581"/>
      <c r="AT1035" s="1581"/>
      <c r="AU1035" s="1581"/>
      <c r="AV1035" s="1581"/>
      <c r="AW1035" s="1581"/>
      <c r="AX1035" s="1581"/>
      <c r="AY1035" s="1581"/>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2"/>
      <c r="Y1036" s="2342"/>
      <c r="Z1036" s="2342"/>
      <c r="AA1036" s="2342"/>
      <c r="AB1036" s="2342"/>
      <c r="AC1036" s="2342"/>
      <c r="AD1036" s="2113">
        <f>MEDIAN((BR809:BR866))</f>
        <v>364800</v>
      </c>
      <c r="AE1036" s="2113"/>
      <c r="AF1036" s="2113"/>
      <c r="AG1036" s="2113"/>
      <c r="AH1036" s="2113"/>
      <c r="AI1036" s="2113"/>
      <c r="AJ1036" s="2113"/>
      <c r="AK1036" s="2113"/>
      <c r="AL1036" s="105"/>
      <c r="AM1036" s="1581"/>
      <c r="AN1036" s="1581"/>
      <c r="AO1036" s="1581"/>
      <c r="AP1036" s="1581"/>
      <c r="AQ1036" s="1581"/>
      <c r="AR1036" s="1581"/>
      <c r="AS1036" s="1581"/>
      <c r="AT1036" s="1581"/>
      <c r="AU1036" s="1581"/>
      <c r="AV1036" s="1581"/>
      <c r="AW1036" s="1581"/>
      <c r="AX1036" s="1581"/>
      <c r="AY1036" s="1581"/>
    </row>
    <row r="1037" spans="1:96" ht="12.75" customHeight="1">
      <c r="A1037" s="51"/>
      <c r="B1037" s="2536" t="s">
        <v>1934</v>
      </c>
      <c r="C1037" s="2536"/>
      <c r="D1037" s="2536"/>
      <c r="E1037" s="2536"/>
      <c r="F1037" s="2536"/>
      <c r="G1037" s="2536"/>
      <c r="H1037" s="2536"/>
      <c r="I1037" s="2536"/>
      <c r="J1037" s="2536"/>
      <c r="K1037" s="2536"/>
      <c r="L1037" s="2536"/>
      <c r="M1037" s="2536"/>
      <c r="N1037" s="2536"/>
      <c r="O1037" s="2536"/>
      <c r="P1037" s="2536"/>
      <c r="Q1037" s="2536"/>
      <c r="R1037" s="2536"/>
      <c r="S1037" s="2536"/>
      <c r="T1037" s="2536"/>
      <c r="U1037" s="2536"/>
      <c r="V1037" s="2536"/>
      <c r="W1037" s="2536"/>
      <c r="X1037" s="2536"/>
      <c r="Y1037" s="2536"/>
      <c r="Z1037" s="1416"/>
      <c r="AA1037" s="1416"/>
      <c r="AB1037" s="1416"/>
      <c r="AC1037" s="1416"/>
      <c r="AD1037" s="2532">
        <f>IF(((AD1035-AD1036)/AD1036)&gt;0.3,0.3,((AD1035-AD1036)/AD1036))</f>
        <v>0.3</v>
      </c>
      <c r="AE1037" s="2533"/>
      <c r="AF1037" s="2533"/>
      <c r="AG1037" s="2533"/>
      <c r="AH1037" s="2533"/>
      <c r="AI1037" s="2533"/>
      <c r="AJ1037" s="2533"/>
      <c r="AK1037" s="2534"/>
      <c r="AL1037" s="105"/>
      <c r="AM1037" s="1581"/>
      <c r="AN1037" s="1581"/>
      <c r="AO1037" s="1581"/>
      <c r="AP1037" s="1581"/>
      <c r="AQ1037" s="1581"/>
      <c r="AR1037" s="1581"/>
      <c r="AS1037" s="1581"/>
      <c r="AT1037" s="1581"/>
      <c r="AU1037" s="1581"/>
      <c r="AV1037" s="1581"/>
      <c r="AW1037" s="1581"/>
      <c r="AX1037" s="1581"/>
      <c r="AY1037" s="1581"/>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1"/>
      <c r="AN1038" s="1581"/>
      <c r="AO1038" s="1581"/>
      <c r="AP1038" s="1581"/>
      <c r="AQ1038" s="1581"/>
      <c r="AR1038" s="1581"/>
      <c r="AS1038" s="1581"/>
      <c r="AT1038" s="1581"/>
      <c r="AU1038" s="1581"/>
      <c r="AV1038" s="1581"/>
      <c r="AW1038" s="1581"/>
      <c r="AX1038" s="1581"/>
      <c r="AY1038" s="1581"/>
    </row>
    <row r="1039" spans="1:96" ht="12.6" customHeight="1">
      <c r="A1039" s="128"/>
      <c r="B1039" s="2339">
        <f>IF(ISNA(IF((AJ999&gt;(AJ975*0.15)),"(f) cannot be greater than 15% of unadjusted eligible basis.",0)),"",(IF((AJ999&gt;(AJ975*0.15)),"(f) cannot be greater than 15% of unadjusted eligible basis.",0)))</f>
        <v>0</v>
      </c>
      <c r="C1039" s="2339"/>
      <c r="D1039" s="2339"/>
      <c r="E1039" s="2339"/>
      <c r="F1039" s="2339"/>
      <c r="G1039" s="2339"/>
      <c r="H1039" s="2339"/>
      <c r="I1039" s="2339"/>
      <c r="J1039" s="2339"/>
      <c r="K1039" s="2339"/>
      <c r="L1039" s="2339"/>
      <c r="M1039" s="2339"/>
      <c r="N1039" s="2339"/>
      <c r="O1039" s="2339"/>
      <c r="P1039" s="2339"/>
      <c r="Q1039" s="2339"/>
      <c r="R1039" s="2339"/>
      <c r="S1039" s="2339"/>
      <c r="T1039" s="2339"/>
      <c r="U1039" s="2339"/>
      <c r="V1039" s="2339"/>
      <c r="W1039" s="2339"/>
      <c r="X1039" s="2339"/>
      <c r="Y1039" s="2339"/>
      <c r="Z1039" s="2339"/>
      <c r="AA1039" s="2339"/>
      <c r="AB1039" s="2339"/>
      <c r="AC1039" s="2339"/>
      <c r="AD1039" s="2339"/>
      <c r="AE1039" s="2339"/>
      <c r="AF1039" s="2339"/>
      <c r="AG1039" s="2339"/>
      <c r="AH1039" s="2339"/>
      <c r="AI1039" s="2339"/>
      <c r="AJ1039" s="2339"/>
      <c r="AK1039" s="2339"/>
      <c r="AL1039" s="105"/>
      <c r="AM1039" s="1581"/>
      <c r="AN1039" s="1581"/>
      <c r="AO1039" s="1581"/>
      <c r="AP1039" s="1581"/>
      <c r="AQ1039" s="1581"/>
      <c r="AR1039" s="1581"/>
      <c r="AS1039" s="1581"/>
      <c r="AT1039" s="1581"/>
      <c r="AU1039" s="1581"/>
      <c r="AV1039" s="1581"/>
      <c r="AW1039" s="1581"/>
      <c r="AX1039" s="1581"/>
      <c r="AY1039" s="1581"/>
    </row>
    <row r="1040" spans="1:96" ht="12.6" customHeight="1" thickBot="1">
      <c r="A1040" s="2366" t="s">
        <v>852</v>
      </c>
      <c r="B1040" s="2366"/>
      <c r="C1040" s="2366"/>
      <c r="D1040" s="2366"/>
      <c r="E1040" s="2366"/>
      <c r="F1040" s="2366"/>
      <c r="G1040" s="2366"/>
      <c r="H1040" s="2366"/>
      <c r="I1040" s="2366"/>
      <c r="J1040" s="2366"/>
      <c r="K1040" s="2366"/>
      <c r="L1040" s="2366"/>
      <c r="M1040" s="2366"/>
      <c r="N1040" s="2366"/>
      <c r="O1040" s="2366"/>
      <c r="P1040" s="2366"/>
      <c r="Q1040" s="2366"/>
      <c r="R1040" s="2366"/>
      <c r="S1040" s="2366"/>
      <c r="T1040" s="2366"/>
      <c r="U1040" s="2366"/>
      <c r="V1040" s="2366"/>
      <c r="W1040" s="2366"/>
      <c r="X1040" s="2366"/>
      <c r="Y1040" s="2366"/>
      <c r="Z1040" s="2366"/>
      <c r="AA1040" s="2366"/>
      <c r="AB1040" s="2366"/>
      <c r="AC1040" s="2366"/>
      <c r="AD1040" s="2366"/>
      <c r="AE1040" s="2366"/>
      <c r="AF1040" s="2366"/>
      <c r="AG1040" s="2366"/>
      <c r="AH1040" s="2366"/>
      <c r="AI1040" s="2366"/>
      <c r="AJ1040" s="2366"/>
      <c r="AK1040" s="2366"/>
      <c r="AL1040" s="236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28" t="s">
        <v>626</v>
      </c>
      <c r="B1044" s="2028"/>
      <c r="C1044" s="13">
        <v>1</v>
      </c>
      <c r="D1044" s="1901" t="s">
        <v>1223</v>
      </c>
      <c r="E1044" s="1901"/>
      <c r="F1044" s="1901"/>
      <c r="G1044" s="1901"/>
      <c r="H1044" s="1901"/>
      <c r="I1044" s="1901"/>
      <c r="J1044" s="1901"/>
      <c r="K1044" s="1901"/>
      <c r="L1044" s="1901"/>
      <c r="M1044" s="1901"/>
      <c r="N1044" s="1901"/>
      <c r="O1044" s="1901"/>
      <c r="P1044" s="1901"/>
      <c r="Q1044" s="1901"/>
      <c r="R1044" s="1901"/>
      <c r="S1044" s="1901"/>
      <c r="T1044" s="1901"/>
      <c r="U1044" s="1901"/>
      <c r="V1044" s="1901"/>
      <c r="W1044" s="1901"/>
      <c r="X1044" s="1901"/>
      <c r="Y1044" s="1901"/>
      <c r="Z1044" s="1901"/>
      <c r="AA1044" s="1901"/>
      <c r="AB1044" s="1901"/>
      <c r="AC1044" s="1901"/>
      <c r="AD1044" s="1901"/>
      <c r="AE1044" s="1901"/>
      <c r="AF1044" s="1901"/>
      <c r="AG1044" s="1901"/>
      <c r="AH1044" s="1901"/>
      <c r="AI1044" s="1901"/>
      <c r="AJ1044" s="1901"/>
      <c r="AK1044" s="1901"/>
      <c r="AL1044" s="131"/>
      <c r="AM1044" s="1582"/>
      <c r="AN1044" s="1582"/>
      <c r="AO1044" s="1582"/>
      <c r="AP1044" s="1582"/>
      <c r="AQ1044" s="1582"/>
      <c r="AR1044" s="1582"/>
      <c r="AS1044" s="1582"/>
      <c r="AT1044" s="1582"/>
      <c r="AU1044" s="1582"/>
      <c r="AV1044" s="1582"/>
      <c r="AW1044" s="1582"/>
      <c r="AX1044" s="1582"/>
      <c r="AY1044" s="1582"/>
    </row>
    <row r="1045" spans="1:51" ht="12.6" customHeight="1">
      <c r="A1045" s="235"/>
      <c r="B1045" s="235"/>
      <c r="C1045" s="13"/>
      <c r="D1045" s="1901"/>
      <c r="E1045" s="1901"/>
      <c r="F1045" s="1901"/>
      <c r="G1045" s="1901"/>
      <c r="H1045" s="1901"/>
      <c r="I1045" s="1901"/>
      <c r="J1045" s="1901"/>
      <c r="K1045" s="1901"/>
      <c r="L1045" s="1901"/>
      <c r="M1045" s="1901"/>
      <c r="N1045" s="1901"/>
      <c r="O1045" s="1901"/>
      <c r="P1045" s="1901"/>
      <c r="Q1045" s="1901"/>
      <c r="R1045" s="1901"/>
      <c r="S1045" s="1901"/>
      <c r="T1045" s="1901"/>
      <c r="U1045" s="1901"/>
      <c r="V1045" s="1901"/>
      <c r="W1045" s="1901"/>
      <c r="X1045" s="1901"/>
      <c r="Y1045" s="1901"/>
      <c r="Z1045" s="1901"/>
      <c r="AA1045" s="1901"/>
      <c r="AB1045" s="1901"/>
      <c r="AC1045" s="1901"/>
      <c r="AD1045" s="1901"/>
      <c r="AE1045" s="1901"/>
      <c r="AF1045" s="1901"/>
      <c r="AG1045" s="1901"/>
      <c r="AH1045" s="1901"/>
      <c r="AI1045" s="1901"/>
      <c r="AJ1045" s="1901"/>
      <c r="AK1045" s="1901"/>
      <c r="AL1045" s="131"/>
      <c r="AM1045" s="1582"/>
      <c r="AN1045" s="1582"/>
      <c r="AO1045" s="1582"/>
      <c r="AP1045" s="1582"/>
      <c r="AQ1045" s="1582"/>
      <c r="AR1045" s="1582"/>
      <c r="AS1045" s="1582"/>
      <c r="AT1045" s="1582"/>
      <c r="AU1045" s="1582"/>
      <c r="AV1045" s="1582"/>
      <c r="AW1045" s="1582"/>
      <c r="AX1045" s="1582"/>
      <c r="AY1045" s="1582"/>
    </row>
    <row r="1046" spans="1:51" ht="12.6" customHeight="1">
      <c r="A1046" s="235"/>
      <c r="B1046" s="235"/>
      <c r="C1046" s="13"/>
      <c r="D1046" s="1901"/>
      <c r="E1046" s="1901"/>
      <c r="F1046" s="1901"/>
      <c r="G1046" s="1901"/>
      <c r="H1046" s="1901"/>
      <c r="I1046" s="1901"/>
      <c r="J1046" s="1901"/>
      <c r="K1046" s="1901"/>
      <c r="L1046" s="1901"/>
      <c r="M1046" s="1901"/>
      <c r="N1046" s="1901"/>
      <c r="O1046" s="1901"/>
      <c r="P1046" s="1901"/>
      <c r="Q1046" s="1901"/>
      <c r="R1046" s="1901"/>
      <c r="S1046" s="1901"/>
      <c r="T1046" s="1901"/>
      <c r="U1046" s="1901"/>
      <c r="V1046" s="1901"/>
      <c r="W1046" s="1901"/>
      <c r="X1046" s="1901"/>
      <c r="Y1046" s="1901"/>
      <c r="Z1046" s="1901"/>
      <c r="AA1046" s="1901"/>
      <c r="AB1046" s="1901"/>
      <c r="AC1046" s="1901"/>
      <c r="AD1046" s="1901"/>
      <c r="AE1046" s="1901"/>
      <c r="AF1046" s="1901"/>
      <c r="AG1046" s="1901"/>
      <c r="AH1046" s="1901"/>
      <c r="AI1046" s="1901"/>
      <c r="AJ1046" s="1901"/>
      <c r="AK1046" s="1901"/>
      <c r="AL1046" s="105"/>
      <c r="AM1046" s="1581"/>
      <c r="AN1046" s="1581"/>
      <c r="AO1046" s="1581"/>
      <c r="AP1046" s="1581"/>
      <c r="AQ1046" s="1581"/>
      <c r="AR1046" s="1581"/>
      <c r="AS1046" s="1581"/>
      <c r="AT1046" s="1581"/>
      <c r="AU1046" s="1581"/>
      <c r="AV1046" s="1581"/>
      <c r="AW1046" s="1581"/>
      <c r="AX1046" s="1581"/>
      <c r="AY1046" s="1581"/>
    </row>
    <row r="1047" spans="1:51" ht="12.6" customHeight="1">
      <c r="A1047" s="235"/>
      <c r="B1047" s="235"/>
      <c r="C1047" s="13"/>
      <c r="D1047" s="1901"/>
      <c r="E1047" s="1901"/>
      <c r="F1047" s="1901"/>
      <c r="G1047" s="1901"/>
      <c r="H1047" s="1901"/>
      <c r="I1047" s="1901"/>
      <c r="J1047" s="1901"/>
      <c r="K1047" s="1901"/>
      <c r="L1047" s="1901"/>
      <c r="M1047" s="1901"/>
      <c r="N1047" s="1901"/>
      <c r="O1047" s="1901"/>
      <c r="P1047" s="1901"/>
      <c r="Q1047" s="1901"/>
      <c r="R1047" s="1901"/>
      <c r="S1047" s="1901"/>
      <c r="T1047" s="1901"/>
      <c r="U1047" s="1901"/>
      <c r="V1047" s="1901"/>
      <c r="W1047" s="1901"/>
      <c r="X1047" s="1901"/>
      <c r="Y1047" s="1901"/>
      <c r="Z1047" s="1901"/>
      <c r="AA1047" s="1901"/>
      <c r="AB1047" s="1901"/>
      <c r="AC1047" s="1901"/>
      <c r="AD1047" s="1901"/>
      <c r="AE1047" s="1901"/>
      <c r="AF1047" s="1901"/>
      <c r="AG1047" s="1901"/>
      <c r="AH1047" s="1901"/>
      <c r="AI1047" s="1901"/>
      <c r="AJ1047" s="1901"/>
      <c r="AK1047" s="1901"/>
      <c r="AL1047" s="105"/>
      <c r="AM1047" s="1581"/>
      <c r="AN1047" s="1581"/>
      <c r="AO1047" s="1581"/>
      <c r="AP1047" s="1581"/>
      <c r="AQ1047" s="1581"/>
      <c r="AR1047" s="1581"/>
      <c r="AS1047" s="1581"/>
      <c r="AT1047" s="1581"/>
      <c r="AU1047" s="1581"/>
      <c r="AV1047" s="1581"/>
      <c r="AW1047" s="1581"/>
      <c r="AX1047" s="1581"/>
      <c r="AY1047" s="1581"/>
    </row>
    <row r="1048" spans="1:51" ht="12.6" customHeight="1">
      <c r="A1048" s="235"/>
      <c r="B1048" s="235"/>
      <c r="C1048" s="13"/>
      <c r="D1048" s="1901"/>
      <c r="E1048" s="1901"/>
      <c r="F1048" s="1901"/>
      <c r="G1048" s="1901"/>
      <c r="H1048" s="1901"/>
      <c r="I1048" s="1901"/>
      <c r="J1048" s="1901"/>
      <c r="K1048" s="1901"/>
      <c r="L1048" s="1901"/>
      <c r="M1048" s="1901"/>
      <c r="N1048" s="1901"/>
      <c r="O1048" s="1901"/>
      <c r="P1048" s="1901"/>
      <c r="Q1048" s="1901"/>
      <c r="R1048" s="1901"/>
      <c r="S1048" s="1901"/>
      <c r="T1048" s="1901"/>
      <c r="U1048" s="1901"/>
      <c r="V1048" s="1901"/>
      <c r="W1048" s="1901"/>
      <c r="X1048" s="1901"/>
      <c r="Y1048" s="1901"/>
      <c r="Z1048" s="1901"/>
      <c r="AA1048" s="1901"/>
      <c r="AB1048" s="1901"/>
      <c r="AC1048" s="1901"/>
      <c r="AD1048" s="1901"/>
      <c r="AE1048" s="1901"/>
      <c r="AF1048" s="1901"/>
      <c r="AG1048" s="1901"/>
      <c r="AH1048" s="1901"/>
      <c r="AI1048" s="1901"/>
      <c r="AJ1048" s="1901"/>
      <c r="AK1048" s="1901"/>
      <c r="AL1048" s="105"/>
      <c r="AM1048" s="1581"/>
      <c r="AN1048" s="1581"/>
      <c r="AO1048" s="1581"/>
      <c r="AP1048" s="1581"/>
      <c r="AQ1048" s="1581"/>
      <c r="AR1048" s="1581"/>
      <c r="AS1048" s="1581"/>
      <c r="AT1048" s="1581"/>
      <c r="AU1048" s="1581"/>
      <c r="AV1048" s="1581"/>
      <c r="AW1048" s="1581"/>
      <c r="AX1048" s="1581"/>
      <c r="AY1048" s="1581"/>
    </row>
    <row r="1049" spans="1:51" ht="12.6" customHeight="1">
      <c r="A1049" s="37"/>
      <c r="B1049" s="66"/>
      <c r="C1049" s="13"/>
      <c r="D1049" s="1901"/>
      <c r="E1049" s="1901"/>
      <c r="F1049" s="1901"/>
      <c r="G1049" s="1901"/>
      <c r="H1049" s="1901"/>
      <c r="I1049" s="1901"/>
      <c r="J1049" s="1901"/>
      <c r="K1049" s="1901"/>
      <c r="L1049" s="1901"/>
      <c r="M1049" s="1901"/>
      <c r="N1049" s="1901"/>
      <c r="O1049" s="1901"/>
      <c r="P1049" s="1901"/>
      <c r="Q1049" s="1901"/>
      <c r="R1049" s="1901"/>
      <c r="S1049" s="1901"/>
      <c r="T1049" s="1901"/>
      <c r="U1049" s="1901"/>
      <c r="V1049" s="1901"/>
      <c r="W1049" s="1901"/>
      <c r="X1049" s="1901"/>
      <c r="Y1049" s="1901"/>
      <c r="Z1049" s="1901"/>
      <c r="AA1049" s="1901"/>
      <c r="AB1049" s="1901"/>
      <c r="AC1049" s="1901"/>
      <c r="AD1049" s="1901"/>
      <c r="AE1049" s="1901"/>
      <c r="AF1049" s="1901"/>
      <c r="AG1049" s="1901"/>
      <c r="AH1049" s="1901"/>
      <c r="AI1049" s="1901"/>
      <c r="AJ1049" s="1901"/>
      <c r="AK1049" s="1901"/>
      <c r="AL1049" s="105"/>
      <c r="AM1049" s="1581"/>
      <c r="AN1049" s="1581"/>
      <c r="AO1049" s="1581"/>
      <c r="AP1049" s="1581"/>
      <c r="AQ1049" s="1581"/>
      <c r="AR1049" s="1581"/>
      <c r="AS1049" s="1581"/>
      <c r="AT1049" s="1581"/>
      <c r="AU1049" s="1581"/>
      <c r="AV1049" s="1581"/>
      <c r="AW1049" s="1581"/>
      <c r="AX1049" s="1581"/>
      <c r="AY1049" s="1581"/>
    </row>
    <row r="1050" spans="1:51" ht="12.6" customHeight="1">
      <c r="A1050" s="2028" t="s">
        <v>626</v>
      </c>
      <c r="B1050" s="2028"/>
      <c r="C1050" s="13">
        <v>2</v>
      </c>
      <c r="D1050" s="1901" t="s">
        <v>1222</v>
      </c>
      <c r="E1050" s="1901"/>
      <c r="F1050" s="1901"/>
      <c r="G1050" s="1901"/>
      <c r="H1050" s="1901"/>
      <c r="I1050" s="1901"/>
      <c r="J1050" s="1901"/>
      <c r="K1050" s="1901"/>
      <c r="L1050" s="1901"/>
      <c r="M1050" s="1901"/>
      <c r="N1050" s="1901"/>
      <c r="O1050" s="1901"/>
      <c r="P1050" s="1901"/>
      <c r="Q1050" s="1901"/>
      <c r="R1050" s="1901"/>
      <c r="S1050" s="1901"/>
      <c r="T1050" s="1901"/>
      <c r="U1050" s="1901"/>
      <c r="V1050" s="1901"/>
      <c r="W1050" s="1901"/>
      <c r="X1050" s="1901"/>
      <c r="Y1050" s="1901"/>
      <c r="Z1050" s="1901"/>
      <c r="AA1050" s="1901"/>
      <c r="AB1050" s="1901"/>
      <c r="AC1050" s="1901"/>
      <c r="AD1050" s="1901"/>
      <c r="AE1050" s="1901"/>
      <c r="AF1050" s="1901"/>
      <c r="AG1050" s="1901"/>
      <c r="AH1050" s="1901"/>
      <c r="AI1050" s="1901"/>
      <c r="AJ1050" s="1901"/>
      <c r="AK1050" s="1901"/>
      <c r="AL1050" s="105"/>
      <c r="AM1050" s="1581"/>
      <c r="AN1050" s="1581"/>
      <c r="AO1050" s="1581"/>
      <c r="AP1050" s="1581"/>
      <c r="AQ1050" s="1581"/>
      <c r="AR1050" s="1581"/>
      <c r="AS1050" s="1581"/>
      <c r="AT1050" s="1581"/>
      <c r="AU1050" s="1581"/>
      <c r="AV1050" s="1581"/>
      <c r="AW1050" s="1581"/>
      <c r="AX1050" s="1581"/>
      <c r="AY1050" s="1581"/>
    </row>
    <row r="1051" spans="1:51" ht="12.6" customHeight="1">
      <c r="A1051" s="235"/>
      <c r="B1051" s="235"/>
      <c r="C1051" s="13"/>
      <c r="D1051" s="1901"/>
      <c r="E1051" s="1901"/>
      <c r="F1051" s="1901"/>
      <c r="G1051" s="1901"/>
      <c r="H1051" s="1901"/>
      <c r="I1051" s="1901"/>
      <c r="J1051" s="1901"/>
      <c r="K1051" s="1901"/>
      <c r="L1051" s="1901"/>
      <c r="M1051" s="1901"/>
      <c r="N1051" s="1901"/>
      <c r="O1051" s="1901"/>
      <c r="P1051" s="1901"/>
      <c r="Q1051" s="1901"/>
      <c r="R1051" s="1901"/>
      <c r="S1051" s="1901"/>
      <c r="T1051" s="1901"/>
      <c r="U1051" s="1901"/>
      <c r="V1051" s="1901"/>
      <c r="W1051" s="1901"/>
      <c r="X1051" s="1901"/>
      <c r="Y1051" s="1901"/>
      <c r="Z1051" s="1901"/>
      <c r="AA1051" s="1901"/>
      <c r="AB1051" s="1901"/>
      <c r="AC1051" s="1901"/>
      <c r="AD1051" s="1901"/>
      <c r="AE1051" s="1901"/>
      <c r="AF1051" s="1901"/>
      <c r="AG1051" s="1901"/>
      <c r="AH1051" s="1901"/>
      <c r="AI1051" s="1901"/>
      <c r="AJ1051" s="1901"/>
      <c r="AK1051" s="1901"/>
      <c r="AL1051" s="105"/>
      <c r="AM1051" s="1581"/>
      <c r="AN1051" s="1581"/>
      <c r="AO1051" s="1581"/>
      <c r="AP1051" s="1581"/>
      <c r="AQ1051" s="1581"/>
      <c r="AR1051" s="1581"/>
      <c r="AS1051" s="1581"/>
      <c r="AT1051" s="1581"/>
      <c r="AU1051" s="1581"/>
      <c r="AV1051" s="1581"/>
      <c r="AW1051" s="1581"/>
      <c r="AX1051" s="1581"/>
      <c r="AY1051" s="1581"/>
    </row>
    <row r="1052" spans="1:51" ht="12.6" customHeight="1">
      <c r="A1052" s="235"/>
      <c r="B1052" s="235"/>
      <c r="C1052" s="13"/>
      <c r="D1052" s="1901"/>
      <c r="E1052" s="1901"/>
      <c r="F1052" s="1901"/>
      <c r="G1052" s="1901"/>
      <c r="H1052" s="1901"/>
      <c r="I1052" s="1901"/>
      <c r="J1052" s="1901"/>
      <c r="K1052" s="1901"/>
      <c r="L1052" s="1901"/>
      <c r="M1052" s="1901"/>
      <c r="N1052" s="1901"/>
      <c r="O1052" s="1901"/>
      <c r="P1052" s="1901"/>
      <c r="Q1052" s="1901"/>
      <c r="R1052" s="1901"/>
      <c r="S1052" s="1901"/>
      <c r="T1052" s="1901"/>
      <c r="U1052" s="1901"/>
      <c r="V1052" s="1901"/>
      <c r="W1052" s="1901"/>
      <c r="X1052" s="1901"/>
      <c r="Y1052" s="1901"/>
      <c r="Z1052" s="1901"/>
      <c r="AA1052" s="1901"/>
      <c r="AB1052" s="1901"/>
      <c r="AC1052" s="1901"/>
      <c r="AD1052" s="1901"/>
      <c r="AE1052" s="1901"/>
      <c r="AF1052" s="1901"/>
      <c r="AG1052" s="1901"/>
      <c r="AH1052" s="1901"/>
      <c r="AI1052" s="1901"/>
      <c r="AJ1052" s="1901"/>
      <c r="AK1052" s="1901"/>
      <c r="AL1052" s="105"/>
      <c r="AM1052" s="1581"/>
      <c r="AN1052" s="1581"/>
      <c r="AO1052" s="1581"/>
      <c r="AP1052" s="1581"/>
      <c r="AQ1052" s="1581"/>
      <c r="AR1052" s="1581"/>
      <c r="AS1052" s="1581"/>
      <c r="AT1052" s="1581"/>
      <c r="AU1052" s="1581"/>
      <c r="AV1052" s="1581"/>
      <c r="AW1052" s="1581"/>
      <c r="AX1052" s="1581"/>
      <c r="AY1052" s="1581"/>
    </row>
    <row r="1053" spans="1:51" ht="12.6" customHeight="1">
      <c r="A1053" s="235"/>
      <c r="B1053" s="235"/>
      <c r="C1053" s="13"/>
      <c r="D1053" s="1901"/>
      <c r="E1053" s="1901"/>
      <c r="F1053" s="1901"/>
      <c r="G1053" s="1901"/>
      <c r="H1053" s="1901"/>
      <c r="I1053" s="1901"/>
      <c r="J1053" s="1901"/>
      <c r="K1053" s="1901"/>
      <c r="L1053" s="1901"/>
      <c r="M1053" s="1901"/>
      <c r="N1053" s="1901"/>
      <c r="O1053" s="1901"/>
      <c r="P1053" s="1901"/>
      <c r="Q1053" s="1901"/>
      <c r="R1053" s="1901"/>
      <c r="S1053" s="1901"/>
      <c r="T1053" s="1901"/>
      <c r="U1053" s="1901"/>
      <c r="V1053" s="1901"/>
      <c r="W1053" s="1901"/>
      <c r="X1053" s="1901"/>
      <c r="Y1053" s="1901"/>
      <c r="Z1053" s="1901"/>
      <c r="AA1053" s="1901"/>
      <c r="AB1053" s="1901"/>
      <c r="AC1053" s="1901"/>
      <c r="AD1053" s="1901"/>
      <c r="AE1053" s="1901"/>
      <c r="AF1053" s="1901"/>
      <c r="AG1053" s="1901"/>
      <c r="AH1053" s="1901"/>
      <c r="AI1053" s="1901"/>
      <c r="AJ1053" s="1901"/>
      <c r="AK1053" s="1901"/>
      <c r="AL1053" s="105"/>
      <c r="AM1053" s="1581"/>
      <c r="AN1053" s="1581"/>
      <c r="AO1053" s="1581"/>
      <c r="AP1053" s="1581"/>
      <c r="AQ1053" s="1581"/>
      <c r="AR1053" s="1581"/>
      <c r="AS1053" s="1581"/>
      <c r="AT1053" s="1581"/>
      <c r="AU1053" s="1581"/>
      <c r="AV1053" s="1581"/>
      <c r="AW1053" s="1581"/>
      <c r="AX1053" s="1581"/>
      <c r="AY1053" s="1581"/>
    </row>
    <row r="1054" spans="1:51" ht="12.6" customHeight="1">
      <c r="A1054" s="235"/>
      <c r="B1054" s="235"/>
      <c r="C1054" s="13"/>
      <c r="D1054" s="1901"/>
      <c r="E1054" s="1901"/>
      <c r="F1054" s="1901"/>
      <c r="G1054" s="1901"/>
      <c r="H1054" s="1901"/>
      <c r="I1054" s="1901"/>
      <c r="J1054" s="1901"/>
      <c r="K1054" s="1901"/>
      <c r="L1054" s="1901"/>
      <c r="M1054" s="1901"/>
      <c r="N1054" s="1901"/>
      <c r="O1054" s="1901"/>
      <c r="P1054" s="1901"/>
      <c r="Q1054" s="1901"/>
      <c r="R1054" s="1901"/>
      <c r="S1054" s="1901"/>
      <c r="T1054" s="1901"/>
      <c r="U1054" s="1901"/>
      <c r="V1054" s="1901"/>
      <c r="W1054" s="1901"/>
      <c r="X1054" s="1901"/>
      <c r="Y1054" s="1901"/>
      <c r="Z1054" s="1901"/>
      <c r="AA1054" s="1901"/>
      <c r="AB1054" s="1901"/>
      <c r="AC1054" s="1901"/>
      <c r="AD1054" s="1901"/>
      <c r="AE1054" s="1901"/>
      <c r="AF1054" s="1901"/>
      <c r="AG1054" s="1901"/>
      <c r="AH1054" s="1901"/>
      <c r="AI1054" s="1901"/>
      <c r="AJ1054" s="1901"/>
      <c r="AK1054" s="1901"/>
      <c r="AL1054" s="105"/>
      <c r="AM1054" s="1581"/>
      <c r="AN1054" s="1581"/>
      <c r="AO1054" s="1581"/>
      <c r="AP1054" s="1581"/>
      <c r="AQ1054" s="1581"/>
      <c r="AR1054" s="1581"/>
      <c r="AS1054" s="1581"/>
      <c r="AT1054" s="1581"/>
      <c r="AU1054" s="1581"/>
      <c r="AV1054" s="1581"/>
      <c r="AW1054" s="1581"/>
      <c r="AX1054" s="1581"/>
      <c r="AY1054" s="1581"/>
    </row>
    <row r="1055" spans="1:51" ht="12.6" customHeight="1">
      <c r="A1055" s="235"/>
      <c r="B1055" s="235"/>
      <c r="C1055" s="13"/>
      <c r="D1055" s="1901"/>
      <c r="E1055" s="1901"/>
      <c r="F1055" s="1901"/>
      <c r="G1055" s="1901"/>
      <c r="H1055" s="1901"/>
      <c r="I1055" s="1901"/>
      <c r="J1055" s="1901"/>
      <c r="K1055" s="1901"/>
      <c r="L1055" s="1901"/>
      <c r="M1055" s="1901"/>
      <c r="N1055" s="1901"/>
      <c r="O1055" s="1901"/>
      <c r="P1055" s="1901"/>
      <c r="Q1055" s="1901"/>
      <c r="R1055" s="1901"/>
      <c r="S1055" s="1901"/>
      <c r="T1055" s="1901"/>
      <c r="U1055" s="1901"/>
      <c r="V1055" s="1901"/>
      <c r="W1055" s="1901"/>
      <c r="X1055" s="1901"/>
      <c r="Y1055" s="1901"/>
      <c r="Z1055" s="1901"/>
      <c r="AA1055" s="1901"/>
      <c r="AB1055" s="1901"/>
      <c r="AC1055" s="1901"/>
      <c r="AD1055" s="1901"/>
      <c r="AE1055" s="1901"/>
      <c r="AF1055" s="1901"/>
      <c r="AG1055" s="1901"/>
      <c r="AH1055" s="1901"/>
      <c r="AI1055" s="1901"/>
      <c r="AJ1055" s="1901"/>
      <c r="AK1055" s="1901"/>
    </row>
    <row r="1056" spans="1:51" ht="12.6" customHeight="1">
      <c r="A1056" s="2028" t="s">
        <v>626</v>
      </c>
      <c r="B1056" s="2028"/>
      <c r="C1056" s="13">
        <v>3</v>
      </c>
      <c r="D1056" s="1901" t="s">
        <v>1528</v>
      </c>
      <c r="E1056" s="1901"/>
      <c r="F1056" s="1901"/>
      <c r="G1056" s="1901"/>
      <c r="H1056" s="1901"/>
      <c r="I1056" s="1901"/>
      <c r="J1056" s="1901"/>
      <c r="K1056" s="1901"/>
      <c r="L1056" s="1901"/>
      <c r="M1056" s="1901"/>
      <c r="N1056" s="1901"/>
      <c r="O1056" s="1901"/>
      <c r="P1056" s="1901"/>
      <c r="Q1056" s="1901"/>
      <c r="R1056" s="1901"/>
      <c r="S1056" s="1901"/>
      <c r="T1056" s="1901"/>
      <c r="U1056" s="1901"/>
      <c r="V1056" s="1901"/>
      <c r="W1056" s="1901"/>
      <c r="X1056" s="1901"/>
      <c r="Y1056" s="1901"/>
      <c r="Z1056" s="1901"/>
      <c r="AA1056" s="1901"/>
      <c r="AB1056" s="1901"/>
      <c r="AC1056" s="1901"/>
      <c r="AD1056" s="1901"/>
      <c r="AE1056" s="1901"/>
      <c r="AF1056" s="1901"/>
      <c r="AG1056" s="1901"/>
      <c r="AH1056" s="1901"/>
      <c r="AI1056" s="1901"/>
      <c r="AJ1056" s="1901"/>
      <c r="AK1056" s="1901"/>
    </row>
    <row r="1057" spans="1:96" ht="12.6" customHeight="1">
      <c r="A1057" s="130"/>
      <c r="B1057" s="130"/>
      <c r="C1057" s="13"/>
      <c r="D1057" s="1901"/>
      <c r="E1057" s="1901"/>
      <c r="F1057" s="1901"/>
      <c r="G1057" s="1901"/>
      <c r="H1057" s="1901"/>
      <c r="I1057" s="1901"/>
      <c r="J1057" s="1901"/>
      <c r="K1057" s="1901"/>
      <c r="L1057" s="1901"/>
      <c r="M1057" s="1901"/>
      <c r="N1057" s="1901"/>
      <c r="O1057" s="1901"/>
      <c r="P1057" s="1901"/>
      <c r="Q1057" s="1901"/>
      <c r="R1057" s="1901"/>
      <c r="S1057" s="1901"/>
      <c r="T1057" s="1901"/>
      <c r="U1057" s="1901"/>
      <c r="V1057" s="1901"/>
      <c r="W1057" s="1901"/>
      <c r="X1057" s="1901"/>
      <c r="Y1057" s="1901"/>
      <c r="Z1057" s="1901"/>
      <c r="AA1057" s="1901"/>
      <c r="AB1057" s="1901"/>
      <c r="AC1057" s="1901"/>
      <c r="AD1057" s="1901"/>
      <c r="AE1057" s="1901"/>
      <c r="AF1057" s="1901"/>
      <c r="AG1057" s="1901"/>
      <c r="AH1057" s="1901"/>
      <c r="AI1057" s="1901"/>
      <c r="AJ1057" s="1901"/>
      <c r="AK1057" s="1901"/>
      <c r="AL1057" s="719"/>
    </row>
    <row r="1058" spans="1:96" ht="12.6" customHeight="1">
      <c r="A1058" s="130"/>
      <c r="B1058" s="130"/>
      <c r="C1058" s="13"/>
      <c r="D1058" s="1901"/>
      <c r="E1058" s="1901"/>
      <c r="F1058" s="1901"/>
      <c r="G1058" s="1901"/>
      <c r="H1058" s="1901"/>
      <c r="I1058" s="1901"/>
      <c r="J1058" s="1901"/>
      <c r="K1058" s="1901"/>
      <c r="L1058" s="1901"/>
      <c r="M1058" s="1901"/>
      <c r="N1058" s="1901"/>
      <c r="O1058" s="1901"/>
      <c r="P1058" s="1901"/>
      <c r="Q1058" s="1901"/>
      <c r="R1058" s="1901"/>
      <c r="S1058" s="1901"/>
      <c r="T1058" s="1901"/>
      <c r="U1058" s="1901"/>
      <c r="V1058" s="1901"/>
      <c r="W1058" s="1901"/>
      <c r="X1058" s="1901"/>
      <c r="Y1058" s="1901"/>
      <c r="Z1058" s="1901"/>
      <c r="AA1058" s="1901"/>
      <c r="AB1058" s="1901"/>
      <c r="AC1058" s="1901"/>
      <c r="AD1058" s="1901"/>
      <c r="AE1058" s="1901"/>
      <c r="AF1058" s="1901"/>
      <c r="AG1058" s="1901"/>
      <c r="AH1058" s="1901"/>
      <c r="AI1058" s="1901"/>
      <c r="AJ1058" s="1901"/>
      <c r="AK1058" s="1901"/>
    </row>
    <row r="1059" spans="1:96" s="719" customFormat="1" ht="12.6" customHeight="1">
      <c r="A1059" s="62"/>
      <c r="B1059" s="66"/>
      <c r="C1059" s="13"/>
      <c r="D1059" s="1901"/>
      <c r="E1059" s="1901"/>
      <c r="F1059" s="1901"/>
      <c r="G1059" s="1901"/>
      <c r="H1059" s="1901"/>
      <c r="I1059" s="1901"/>
      <c r="J1059" s="1901"/>
      <c r="K1059" s="1901"/>
      <c r="L1059" s="1901"/>
      <c r="M1059" s="1901"/>
      <c r="N1059" s="1901"/>
      <c r="O1059" s="1901"/>
      <c r="P1059" s="1901"/>
      <c r="Q1059" s="1901"/>
      <c r="R1059" s="1901"/>
      <c r="S1059" s="1901"/>
      <c r="T1059" s="1901"/>
      <c r="U1059" s="1901"/>
      <c r="V1059" s="1901"/>
      <c r="W1059" s="1901"/>
      <c r="X1059" s="1901"/>
      <c r="Y1059" s="1901"/>
      <c r="Z1059" s="1901"/>
      <c r="AA1059" s="1901"/>
      <c r="AB1059" s="1901"/>
      <c r="AC1059" s="1901"/>
      <c r="AD1059" s="1901"/>
      <c r="AE1059" s="1901"/>
      <c r="AF1059" s="1901"/>
      <c r="AG1059" s="1901"/>
      <c r="AH1059" s="1901"/>
      <c r="AI1059" s="1901"/>
      <c r="AJ1059" s="1901"/>
      <c r="AK1059" s="1901"/>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01"/>
      <c r="E1060" s="1901"/>
      <c r="F1060" s="1901"/>
      <c r="G1060" s="1901"/>
      <c r="H1060" s="1901"/>
      <c r="I1060" s="1901"/>
      <c r="J1060" s="1901"/>
      <c r="K1060" s="1901"/>
      <c r="L1060" s="1901"/>
      <c r="M1060" s="1901"/>
      <c r="N1060" s="1901"/>
      <c r="O1060" s="1901"/>
      <c r="P1060" s="1901"/>
      <c r="Q1060" s="1901"/>
      <c r="R1060" s="1901"/>
      <c r="S1060" s="1901"/>
      <c r="T1060" s="1901"/>
      <c r="U1060" s="1901"/>
      <c r="V1060" s="1901"/>
      <c r="W1060" s="1901"/>
      <c r="X1060" s="1901"/>
      <c r="Y1060" s="1901"/>
      <c r="Z1060" s="1901"/>
      <c r="AA1060" s="1901"/>
      <c r="AB1060" s="1901"/>
      <c r="AC1060" s="1901"/>
      <c r="AD1060" s="1901"/>
      <c r="AE1060" s="1901"/>
      <c r="AF1060" s="1901"/>
      <c r="AG1060" s="1901"/>
      <c r="AH1060" s="1901"/>
      <c r="AI1060" s="1901"/>
      <c r="AJ1060" s="1901"/>
      <c r="AK1060" s="1901"/>
    </row>
    <row r="1061" spans="1:96" ht="12.6" customHeight="1">
      <c r="A1061" s="62"/>
      <c r="B1061" s="66"/>
      <c r="C1061" s="13"/>
      <c r="D1061" s="1901"/>
      <c r="E1061" s="1901"/>
      <c r="F1061" s="1901"/>
      <c r="G1061" s="1901"/>
      <c r="H1061" s="1901"/>
      <c r="I1061" s="1901"/>
      <c r="J1061" s="1901"/>
      <c r="K1061" s="1901"/>
      <c r="L1061" s="1901"/>
      <c r="M1061" s="1901"/>
      <c r="N1061" s="1901"/>
      <c r="O1061" s="1901"/>
      <c r="P1061" s="1901"/>
      <c r="Q1061" s="1901"/>
      <c r="R1061" s="1901"/>
      <c r="S1061" s="1901"/>
      <c r="T1061" s="1901"/>
      <c r="U1061" s="1901"/>
      <c r="V1061" s="1901"/>
      <c r="W1061" s="1901"/>
      <c r="X1061" s="1901"/>
      <c r="Y1061" s="1901"/>
      <c r="Z1061" s="1901"/>
      <c r="AA1061" s="1901"/>
      <c r="AB1061" s="1901"/>
      <c r="AC1061" s="1901"/>
      <c r="AD1061" s="1901"/>
      <c r="AE1061" s="1901"/>
      <c r="AF1061" s="1901"/>
      <c r="AG1061" s="1901"/>
      <c r="AH1061" s="1901"/>
      <c r="AI1061" s="1901"/>
      <c r="AJ1061" s="1901"/>
      <c r="AK1061" s="1901"/>
    </row>
    <row r="1062" spans="1:96" ht="12.6" customHeight="1">
      <c r="A1062" s="62"/>
      <c r="B1062" s="66"/>
      <c r="C1062" s="13"/>
      <c r="D1062" s="1901"/>
      <c r="E1062" s="1901"/>
      <c r="F1062" s="1901"/>
      <c r="G1062" s="1901"/>
      <c r="H1062" s="1901"/>
      <c r="I1062" s="1901"/>
      <c r="J1062" s="1901"/>
      <c r="K1062" s="1901"/>
      <c r="L1062" s="1901"/>
      <c r="M1062" s="1901"/>
      <c r="N1062" s="1901"/>
      <c r="O1062" s="1901"/>
      <c r="P1062" s="1901"/>
      <c r="Q1062" s="1901"/>
      <c r="R1062" s="1901"/>
      <c r="S1062" s="1901"/>
      <c r="T1062" s="1901"/>
      <c r="U1062" s="1901"/>
      <c r="V1062" s="1901"/>
      <c r="W1062" s="1901"/>
      <c r="X1062" s="1901"/>
      <c r="Y1062" s="1901"/>
      <c r="Z1062" s="1901"/>
      <c r="AA1062" s="1901"/>
      <c r="AB1062" s="1901"/>
      <c r="AC1062" s="1901"/>
      <c r="AD1062" s="1901"/>
      <c r="AE1062" s="1901"/>
      <c r="AF1062" s="1901"/>
      <c r="AG1062" s="1901"/>
      <c r="AH1062" s="1901"/>
      <c r="AI1062" s="1901"/>
      <c r="AJ1062" s="1901"/>
      <c r="AK1062" s="1901"/>
    </row>
    <row r="1063" spans="1:96" ht="12.6" customHeight="1">
      <c r="A1063" s="2028" t="s">
        <v>626</v>
      </c>
      <c r="B1063" s="2028"/>
      <c r="C1063" s="13">
        <v>4</v>
      </c>
      <c r="D1063" s="1901" t="s">
        <v>1208</v>
      </c>
      <c r="E1063" s="1901"/>
      <c r="F1063" s="1901"/>
      <c r="G1063" s="1901"/>
      <c r="H1063" s="1901"/>
      <c r="I1063" s="1901"/>
      <c r="J1063" s="1901"/>
      <c r="K1063" s="1901"/>
      <c r="L1063" s="1901"/>
      <c r="M1063" s="1901"/>
      <c r="N1063" s="1901"/>
      <c r="O1063" s="1901"/>
      <c r="P1063" s="1901"/>
      <c r="Q1063" s="1901"/>
      <c r="R1063" s="1901"/>
      <c r="S1063" s="1901"/>
      <c r="T1063" s="1901"/>
      <c r="U1063" s="1901"/>
      <c r="V1063" s="1901"/>
      <c r="W1063" s="1901"/>
      <c r="X1063" s="1901"/>
      <c r="Y1063" s="1901"/>
      <c r="Z1063" s="1901"/>
      <c r="AA1063" s="1901"/>
      <c r="AB1063" s="1901"/>
      <c r="AC1063" s="1901"/>
      <c r="AD1063" s="1901"/>
      <c r="AE1063" s="1901"/>
      <c r="AF1063" s="1901"/>
      <c r="AG1063" s="1901"/>
      <c r="AH1063" s="1901"/>
      <c r="AI1063" s="1901"/>
      <c r="AJ1063" s="1901"/>
      <c r="AK1063" s="1901"/>
    </row>
    <row r="1064" spans="1:96" ht="12.6" customHeight="1">
      <c r="A1064" s="235"/>
      <c r="B1064" s="235"/>
      <c r="C1064" s="13"/>
      <c r="D1064" s="1901"/>
      <c r="E1064" s="1901"/>
      <c r="F1064" s="1901"/>
      <c r="G1064" s="1901"/>
      <c r="H1064" s="1901"/>
      <c r="I1064" s="1901"/>
      <c r="J1064" s="1901"/>
      <c r="K1064" s="1901"/>
      <c r="L1064" s="1901"/>
      <c r="M1064" s="1901"/>
      <c r="N1064" s="1901"/>
      <c r="O1064" s="1901"/>
      <c r="P1064" s="1901"/>
      <c r="Q1064" s="1901"/>
      <c r="R1064" s="1901"/>
      <c r="S1064" s="1901"/>
      <c r="T1064" s="1901"/>
      <c r="U1064" s="1901"/>
      <c r="V1064" s="1901"/>
      <c r="W1064" s="1901"/>
      <c r="X1064" s="1901"/>
      <c r="Y1064" s="1901"/>
      <c r="Z1064" s="1901"/>
      <c r="AA1064" s="1901"/>
      <c r="AB1064" s="1901"/>
      <c r="AC1064" s="1901"/>
      <c r="AD1064" s="1901"/>
      <c r="AE1064" s="1901"/>
      <c r="AF1064" s="1901"/>
      <c r="AG1064" s="1901"/>
      <c r="AH1064" s="1901"/>
      <c r="AI1064" s="1901"/>
      <c r="AJ1064" s="1901"/>
      <c r="AK1064" s="1901"/>
    </row>
    <row r="1065" spans="1:96" ht="12.6" customHeight="1">
      <c r="A1065" s="62"/>
      <c r="B1065" s="66"/>
      <c r="C1065" s="13"/>
      <c r="D1065" s="1901"/>
      <c r="E1065" s="1901"/>
      <c r="F1065" s="1901"/>
      <c r="G1065" s="1901"/>
      <c r="H1065" s="1901"/>
      <c r="I1065" s="1901"/>
      <c r="J1065" s="1901"/>
      <c r="K1065" s="1901"/>
      <c r="L1065" s="1901"/>
      <c r="M1065" s="1901"/>
      <c r="N1065" s="1901"/>
      <c r="O1065" s="1901"/>
      <c r="P1065" s="1901"/>
      <c r="Q1065" s="1901"/>
      <c r="R1065" s="1901"/>
      <c r="S1065" s="1901"/>
      <c r="T1065" s="1901"/>
      <c r="U1065" s="1901"/>
      <c r="V1065" s="1901"/>
      <c r="W1065" s="1901"/>
      <c r="X1065" s="1901"/>
      <c r="Y1065" s="1901"/>
      <c r="Z1065" s="1901"/>
      <c r="AA1065" s="1901"/>
      <c r="AB1065" s="1901"/>
      <c r="AC1065" s="1901"/>
      <c r="AD1065" s="1901"/>
      <c r="AE1065" s="1901"/>
      <c r="AF1065" s="1901"/>
      <c r="AG1065" s="1901"/>
      <c r="AH1065" s="1901"/>
      <c r="AI1065" s="1901"/>
      <c r="AJ1065" s="1901"/>
      <c r="AK1065" s="1901"/>
    </row>
    <row r="1066" spans="1:96" s="682" customFormat="1" ht="12.6" customHeight="1">
      <c r="A1066" s="2028" t="s">
        <v>626</v>
      </c>
      <c r="B1066" s="2028"/>
      <c r="C1066" s="13">
        <v>5</v>
      </c>
      <c r="D1066" s="1901" t="s">
        <v>1417</v>
      </c>
      <c r="E1066" s="1901"/>
      <c r="F1066" s="1901"/>
      <c r="G1066" s="1901"/>
      <c r="H1066" s="1901"/>
      <c r="I1066" s="1901"/>
      <c r="J1066" s="1901"/>
      <c r="K1066" s="1901"/>
      <c r="L1066" s="1901"/>
      <c r="M1066" s="1901"/>
      <c r="N1066" s="1901"/>
      <c r="O1066" s="1901"/>
      <c r="P1066" s="1901"/>
      <c r="Q1066" s="1901"/>
      <c r="R1066" s="1901"/>
      <c r="S1066" s="1901"/>
      <c r="T1066" s="1901"/>
      <c r="U1066" s="1901"/>
      <c r="V1066" s="1901"/>
      <c r="W1066" s="1901"/>
      <c r="X1066" s="1901"/>
      <c r="Y1066" s="1901"/>
      <c r="Z1066" s="1901"/>
      <c r="AA1066" s="1901"/>
      <c r="AB1066" s="1901"/>
      <c r="AC1066" s="1901"/>
      <c r="AD1066" s="1901"/>
      <c r="AE1066" s="1901"/>
      <c r="AF1066" s="1901"/>
      <c r="AG1066" s="1901"/>
      <c r="AH1066" s="1901"/>
      <c r="AI1066" s="1901"/>
      <c r="AJ1066" s="1901"/>
      <c r="AK1066" s="1901"/>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01"/>
      <c r="E1067" s="1901"/>
      <c r="F1067" s="1901"/>
      <c r="G1067" s="1901"/>
      <c r="H1067" s="1901"/>
      <c r="I1067" s="1901"/>
      <c r="J1067" s="1901"/>
      <c r="K1067" s="1901"/>
      <c r="L1067" s="1901"/>
      <c r="M1067" s="1901"/>
      <c r="N1067" s="1901"/>
      <c r="O1067" s="1901"/>
      <c r="P1067" s="1901"/>
      <c r="Q1067" s="1901"/>
      <c r="R1067" s="1901"/>
      <c r="S1067" s="1901"/>
      <c r="T1067" s="1901"/>
      <c r="U1067" s="1901"/>
      <c r="V1067" s="1901"/>
      <c r="W1067" s="1901"/>
      <c r="X1067" s="1901"/>
      <c r="Y1067" s="1901"/>
      <c r="Z1067" s="1901"/>
      <c r="AA1067" s="1901"/>
      <c r="AB1067" s="1901"/>
      <c r="AC1067" s="1901"/>
      <c r="AD1067" s="1901"/>
      <c r="AE1067" s="1901"/>
      <c r="AF1067" s="1901"/>
      <c r="AG1067" s="1901"/>
      <c r="AH1067" s="1901"/>
      <c r="AI1067" s="1901"/>
      <c r="AJ1067" s="1901"/>
      <c r="AK1067" s="1901"/>
    </row>
    <row r="1068" spans="1:96" ht="12.6" customHeight="1">
      <c r="A1068" s="235"/>
      <c r="B1068" s="235"/>
      <c r="C1068" s="13"/>
      <c r="D1068" s="1901"/>
      <c r="E1068" s="1901"/>
      <c r="F1068" s="1901"/>
      <c r="G1068" s="1901"/>
      <c r="H1068" s="1901"/>
      <c r="I1068" s="1901"/>
      <c r="J1068" s="1901"/>
      <c r="K1068" s="1901"/>
      <c r="L1068" s="1901"/>
      <c r="M1068" s="1901"/>
      <c r="N1068" s="1901"/>
      <c r="O1068" s="1901"/>
      <c r="P1068" s="1901"/>
      <c r="Q1068" s="1901"/>
      <c r="R1068" s="1901"/>
      <c r="S1068" s="1901"/>
      <c r="T1068" s="1901"/>
      <c r="U1068" s="1901"/>
      <c r="V1068" s="1901"/>
      <c r="W1068" s="1901"/>
      <c r="X1068" s="1901"/>
      <c r="Y1068" s="1901"/>
      <c r="Z1068" s="1901"/>
      <c r="AA1068" s="1901"/>
      <c r="AB1068" s="1901"/>
      <c r="AC1068" s="1901"/>
      <c r="AD1068" s="1901"/>
      <c r="AE1068" s="1901"/>
      <c r="AF1068" s="1901"/>
      <c r="AG1068" s="1901"/>
      <c r="AH1068" s="1901"/>
      <c r="AI1068" s="1901"/>
      <c r="AJ1068" s="1901"/>
      <c r="AK1068" s="1901"/>
    </row>
    <row r="1069" spans="1:96" ht="12.6" customHeight="1">
      <c r="A1069" s="235"/>
      <c r="B1069" s="235"/>
      <c r="C1069" s="13"/>
      <c r="D1069" s="1901"/>
      <c r="E1069" s="1901"/>
      <c r="F1069" s="1901"/>
      <c r="G1069" s="1901"/>
      <c r="H1069" s="1901"/>
      <c r="I1069" s="1901"/>
      <c r="J1069" s="1901"/>
      <c r="K1069" s="1901"/>
      <c r="L1069" s="1901"/>
      <c r="M1069" s="1901"/>
      <c r="N1069" s="1901"/>
      <c r="O1069" s="1901"/>
      <c r="P1069" s="1901"/>
      <c r="Q1069" s="1901"/>
      <c r="R1069" s="1901"/>
      <c r="S1069" s="1901"/>
      <c r="T1069" s="1901"/>
      <c r="U1069" s="1901"/>
      <c r="V1069" s="1901"/>
      <c r="W1069" s="1901"/>
      <c r="X1069" s="1901"/>
      <c r="Y1069" s="1901"/>
      <c r="Z1069" s="1901"/>
      <c r="AA1069" s="1901"/>
      <c r="AB1069" s="1901"/>
      <c r="AC1069" s="1901"/>
      <c r="AD1069" s="1901"/>
      <c r="AE1069" s="1901"/>
      <c r="AF1069" s="1901"/>
      <c r="AG1069" s="1901"/>
      <c r="AH1069" s="1901"/>
      <c r="AI1069" s="1901"/>
      <c r="AJ1069" s="1901"/>
      <c r="AK1069" s="1901"/>
      <c r="AL1069" s="682"/>
    </row>
    <row r="1070" spans="1:96" ht="12.6" customHeight="1">
      <c r="A1070" s="62"/>
      <c r="B1070" s="66"/>
      <c r="C1070" s="13"/>
      <c r="D1070" s="1901"/>
      <c r="E1070" s="1901"/>
      <c r="F1070" s="1901"/>
      <c r="G1070" s="1901"/>
      <c r="H1070" s="1901"/>
      <c r="I1070" s="1901"/>
      <c r="J1070" s="1901"/>
      <c r="K1070" s="1901"/>
      <c r="L1070" s="1901"/>
      <c r="M1070" s="1901"/>
      <c r="N1070" s="1901"/>
      <c r="O1070" s="1901"/>
      <c r="P1070" s="1901"/>
      <c r="Q1070" s="1901"/>
      <c r="R1070" s="1901"/>
      <c r="S1070" s="1901"/>
      <c r="T1070" s="1901"/>
      <c r="U1070" s="1901"/>
      <c r="V1070" s="1901"/>
      <c r="W1070" s="1901"/>
      <c r="X1070" s="1901"/>
      <c r="Y1070" s="1901"/>
      <c r="Z1070" s="1901"/>
      <c r="AA1070" s="1901"/>
      <c r="AB1070" s="1901"/>
      <c r="AC1070" s="1901"/>
      <c r="AD1070" s="1901"/>
      <c r="AE1070" s="1901"/>
      <c r="AF1070" s="1901"/>
      <c r="AG1070" s="1901"/>
      <c r="AH1070" s="1901"/>
      <c r="AI1070" s="1901"/>
      <c r="AJ1070" s="1901"/>
      <c r="AK1070" s="1901"/>
    </row>
    <row r="1071" spans="1:96" ht="12.6" customHeight="1">
      <c r="A1071" s="2028" t="s">
        <v>626</v>
      </c>
      <c r="B1071" s="2028"/>
      <c r="C1071" s="13">
        <v>6</v>
      </c>
      <c r="D1071" s="1901" t="s">
        <v>1209</v>
      </c>
      <c r="E1071" s="1901"/>
      <c r="F1071" s="1901"/>
      <c r="G1071" s="1901"/>
      <c r="H1071" s="1901"/>
      <c r="I1071" s="1901"/>
      <c r="J1071" s="1901"/>
      <c r="K1071" s="1901"/>
      <c r="L1071" s="1901"/>
      <c r="M1071" s="1901"/>
      <c r="N1071" s="1901"/>
      <c r="O1071" s="1901"/>
      <c r="P1071" s="1901"/>
      <c r="Q1071" s="1901"/>
      <c r="R1071" s="1901"/>
      <c r="S1071" s="1901"/>
      <c r="T1071" s="1901"/>
      <c r="U1071" s="1901"/>
      <c r="V1071" s="1901"/>
      <c r="W1071" s="1901"/>
      <c r="X1071" s="1901"/>
      <c r="Y1071" s="1901"/>
      <c r="Z1071" s="1901"/>
      <c r="AA1071" s="1901"/>
      <c r="AB1071" s="1901"/>
      <c r="AC1071" s="1901"/>
      <c r="AD1071" s="1901"/>
      <c r="AE1071" s="1901"/>
      <c r="AF1071" s="1901"/>
      <c r="AG1071" s="1901"/>
      <c r="AH1071" s="1901"/>
      <c r="AI1071" s="1901"/>
      <c r="AJ1071" s="1901"/>
      <c r="AK1071" s="1901"/>
    </row>
    <row r="1072" spans="1:96" ht="12.6" customHeight="1">
      <c r="A1072" s="62"/>
      <c r="B1072" s="317"/>
      <c r="C1072" s="13"/>
      <c r="D1072" s="1901"/>
      <c r="E1072" s="1901"/>
      <c r="F1072" s="1901"/>
      <c r="G1072" s="1901"/>
      <c r="H1072" s="1901"/>
      <c r="I1072" s="1901"/>
      <c r="J1072" s="1901"/>
      <c r="K1072" s="1901"/>
      <c r="L1072" s="1901"/>
      <c r="M1072" s="1901"/>
      <c r="N1072" s="1901"/>
      <c r="O1072" s="1901"/>
      <c r="P1072" s="1901"/>
      <c r="Q1072" s="1901"/>
      <c r="R1072" s="1901"/>
      <c r="S1072" s="1901"/>
      <c r="T1072" s="1901"/>
      <c r="U1072" s="1901"/>
      <c r="V1072" s="1901"/>
      <c r="W1072" s="1901"/>
      <c r="X1072" s="1901"/>
      <c r="Y1072" s="1901"/>
      <c r="Z1072" s="1901"/>
      <c r="AA1072" s="1901"/>
      <c r="AB1072" s="1901"/>
      <c r="AC1072" s="1901"/>
      <c r="AD1072" s="1901"/>
      <c r="AE1072" s="1901"/>
      <c r="AF1072" s="1901"/>
      <c r="AG1072" s="1901"/>
      <c r="AH1072" s="1901"/>
      <c r="AI1072" s="1901"/>
      <c r="AJ1072" s="1901"/>
      <c r="AK1072" s="1901"/>
    </row>
    <row r="1073" spans="1:96" ht="12.6" customHeight="1">
      <c r="A1073" s="62"/>
      <c r="B1073" s="66"/>
      <c r="C1073" s="13"/>
      <c r="D1073" s="1901"/>
      <c r="E1073" s="1901"/>
      <c r="F1073" s="1901"/>
      <c r="G1073" s="1901"/>
      <c r="H1073" s="1901"/>
      <c r="I1073" s="1901"/>
      <c r="J1073" s="1901"/>
      <c r="K1073" s="1901"/>
      <c r="L1073" s="1901"/>
      <c r="M1073" s="1901"/>
      <c r="N1073" s="1901"/>
      <c r="O1073" s="1901"/>
      <c r="P1073" s="1901"/>
      <c r="Q1073" s="1901"/>
      <c r="R1073" s="1901"/>
      <c r="S1073" s="1901"/>
      <c r="T1073" s="1901"/>
      <c r="U1073" s="1901"/>
      <c r="V1073" s="1901"/>
      <c r="W1073" s="1901"/>
      <c r="X1073" s="1901"/>
      <c r="Y1073" s="1901"/>
      <c r="Z1073" s="1901"/>
      <c r="AA1073" s="1901"/>
      <c r="AB1073" s="1901"/>
      <c r="AC1073" s="1901"/>
      <c r="AD1073" s="1901"/>
      <c r="AE1073" s="1901"/>
      <c r="AF1073" s="1901"/>
      <c r="AG1073" s="1901"/>
      <c r="AH1073" s="1901"/>
      <c r="AI1073" s="1901"/>
      <c r="AJ1073" s="1901"/>
      <c r="AK1073" s="1901"/>
    </row>
    <row r="1074" spans="1:96" ht="12.6" customHeight="1">
      <c r="A1074" s="2028" t="s">
        <v>626</v>
      </c>
      <c r="B1074" s="2028"/>
      <c r="C1074" s="318">
        <v>7</v>
      </c>
      <c r="D1074" s="1901" t="s">
        <v>1211</v>
      </c>
      <c r="E1074" s="1901"/>
      <c r="F1074" s="1901"/>
      <c r="G1074" s="1901"/>
      <c r="H1074" s="1901"/>
      <c r="I1074" s="1901"/>
      <c r="J1074" s="1901"/>
      <c r="K1074" s="1901"/>
      <c r="L1074" s="1901"/>
      <c r="M1074" s="1901"/>
      <c r="N1074" s="1901"/>
      <c r="O1074" s="1901"/>
      <c r="P1074" s="1901"/>
      <c r="Q1074" s="1901"/>
      <c r="R1074" s="1901"/>
      <c r="S1074" s="1901"/>
      <c r="T1074" s="1901"/>
      <c r="U1074" s="1901"/>
      <c r="V1074" s="1901"/>
      <c r="W1074" s="1901"/>
      <c r="X1074" s="1901"/>
      <c r="Y1074" s="1901"/>
      <c r="Z1074" s="1901"/>
      <c r="AA1074" s="1901"/>
      <c r="AB1074" s="1901"/>
      <c r="AC1074" s="1901"/>
      <c r="AD1074" s="1901"/>
      <c r="AE1074" s="1901"/>
      <c r="AF1074" s="1901"/>
      <c r="AG1074" s="1901"/>
      <c r="AH1074" s="1901"/>
      <c r="AI1074" s="1901"/>
      <c r="AJ1074" s="1901"/>
      <c r="AK1074" s="1901"/>
      <c r="AL1074" s="32"/>
      <c r="AM1074" s="1509"/>
      <c r="AN1074" s="1509"/>
      <c r="AO1074" s="1509"/>
      <c r="AP1074" s="1509"/>
      <c r="AQ1074" s="1509"/>
      <c r="AR1074" s="1509"/>
      <c r="AS1074" s="1509"/>
      <c r="AT1074" s="1509"/>
      <c r="AU1074" s="1509"/>
      <c r="AV1074" s="1509"/>
      <c r="AW1074" s="1509"/>
      <c r="AX1074" s="1509"/>
      <c r="AY1074" s="1509"/>
    </row>
    <row r="1075" spans="1:96" ht="12.6" customHeight="1">
      <c r="A1075" s="235"/>
      <c r="B1075" s="235"/>
      <c r="C1075" s="319"/>
      <c r="D1075" s="1901"/>
      <c r="E1075" s="1901"/>
      <c r="F1075" s="1901"/>
      <c r="G1075" s="1901"/>
      <c r="H1075" s="1901"/>
      <c r="I1075" s="1901"/>
      <c r="J1075" s="1901"/>
      <c r="K1075" s="1901"/>
      <c r="L1075" s="1901"/>
      <c r="M1075" s="1901"/>
      <c r="N1075" s="1901"/>
      <c r="O1075" s="1901"/>
      <c r="P1075" s="1901"/>
      <c r="Q1075" s="1901"/>
      <c r="R1075" s="1901"/>
      <c r="S1075" s="1901"/>
      <c r="T1075" s="1901"/>
      <c r="U1075" s="1901"/>
      <c r="V1075" s="1901"/>
      <c r="W1075" s="1901"/>
      <c r="X1075" s="1901"/>
      <c r="Y1075" s="1901"/>
      <c r="Z1075" s="1901"/>
      <c r="AA1075" s="1901"/>
      <c r="AB1075" s="1901"/>
      <c r="AC1075" s="1901"/>
      <c r="AD1075" s="1901"/>
      <c r="AE1075" s="1901"/>
      <c r="AF1075" s="1901"/>
      <c r="AG1075" s="1901"/>
      <c r="AH1075" s="1901"/>
      <c r="AI1075" s="1901"/>
      <c r="AJ1075" s="1901"/>
      <c r="AK1075" s="1901"/>
    </row>
    <row r="1076" spans="1:96" ht="12.6" customHeight="1">
      <c r="A1076" s="235"/>
      <c r="B1076" s="235"/>
      <c r="C1076" s="319"/>
      <c r="D1076" s="1901"/>
      <c r="E1076" s="1901"/>
      <c r="F1076" s="1901"/>
      <c r="G1076" s="1901"/>
      <c r="H1076" s="1901"/>
      <c r="I1076" s="1901"/>
      <c r="J1076" s="1901"/>
      <c r="K1076" s="1901"/>
      <c r="L1076" s="1901"/>
      <c r="M1076" s="1901"/>
      <c r="N1076" s="1901"/>
      <c r="O1076" s="1901"/>
      <c r="P1076" s="1901"/>
      <c r="Q1076" s="1901"/>
      <c r="R1076" s="1901"/>
      <c r="S1076" s="1901"/>
      <c r="T1076" s="1901"/>
      <c r="U1076" s="1901"/>
      <c r="V1076" s="1901"/>
      <c r="W1076" s="1901"/>
      <c r="X1076" s="1901"/>
      <c r="Y1076" s="1901"/>
      <c r="Z1076" s="1901"/>
      <c r="AA1076" s="1901"/>
      <c r="AB1076" s="1901"/>
      <c r="AC1076" s="1901"/>
      <c r="AD1076" s="1901"/>
      <c r="AE1076" s="1901"/>
      <c r="AF1076" s="1901"/>
      <c r="AG1076" s="1901"/>
      <c r="AH1076" s="1901"/>
      <c r="AI1076" s="1901"/>
      <c r="AJ1076" s="1901"/>
      <c r="AK1076" s="1901"/>
    </row>
    <row r="1077" spans="1:96" s="682" customFormat="1" ht="12.6" customHeight="1">
      <c r="A1077" s="62"/>
      <c r="B1077" s="66"/>
      <c r="C1077" s="318"/>
      <c r="D1077" s="1901"/>
      <c r="E1077" s="1901"/>
      <c r="F1077" s="1901"/>
      <c r="G1077" s="1901"/>
      <c r="H1077" s="1901"/>
      <c r="I1077" s="1901"/>
      <c r="J1077" s="1901"/>
      <c r="K1077" s="1901"/>
      <c r="L1077" s="1901"/>
      <c r="M1077" s="1901"/>
      <c r="N1077" s="1901"/>
      <c r="O1077" s="1901"/>
      <c r="P1077" s="1901"/>
      <c r="Q1077" s="1901"/>
      <c r="R1077" s="1901"/>
      <c r="S1077" s="1901"/>
      <c r="T1077" s="1901"/>
      <c r="U1077" s="1901"/>
      <c r="V1077" s="1901"/>
      <c r="W1077" s="1901"/>
      <c r="X1077" s="1901"/>
      <c r="Y1077" s="1901"/>
      <c r="Z1077" s="1901"/>
      <c r="AA1077" s="1901"/>
      <c r="AB1077" s="1901"/>
      <c r="AC1077" s="1901"/>
      <c r="AD1077" s="1901"/>
      <c r="AE1077" s="1901"/>
      <c r="AF1077" s="1901"/>
      <c r="AG1077" s="1901"/>
      <c r="AH1077" s="1901"/>
      <c r="AI1077" s="1901"/>
      <c r="AJ1077" s="1901"/>
      <c r="AK1077" s="1901"/>
      <c r="AL1077" s="12"/>
      <c r="AM1077" s="39"/>
      <c r="AN1077" s="39"/>
      <c r="AO1077" s="39"/>
      <c r="AP1077" s="39"/>
      <c r="AQ1077" s="39"/>
      <c r="AR1077" s="39"/>
      <c r="AS1077" s="39"/>
      <c r="AT1077" s="39"/>
      <c r="AU1077" s="39"/>
      <c r="AV1077" s="39"/>
      <c r="AW1077" s="39"/>
      <c r="AX1077" s="39"/>
      <c r="AY1077" s="39"/>
      <c r="CR1077" s="25"/>
    </row>
    <row r="1078" spans="1:96" ht="12.6" customHeight="1">
      <c r="A1078" s="2028" t="s">
        <v>626</v>
      </c>
      <c r="B1078" s="2028"/>
      <c r="C1078" s="318">
        <v>8</v>
      </c>
      <c r="D1078" s="2340" t="s">
        <v>2169</v>
      </c>
      <c r="E1078" s="2340"/>
      <c r="F1078" s="2340"/>
      <c r="G1078" s="2340"/>
      <c r="H1078" s="2340"/>
      <c r="I1078" s="2340"/>
      <c r="J1078" s="2340"/>
      <c r="K1078" s="2340"/>
      <c r="L1078" s="2340"/>
      <c r="M1078" s="2340"/>
      <c r="N1078" s="2340"/>
      <c r="O1078" s="2340"/>
      <c r="P1078" s="2340"/>
      <c r="Q1078" s="2340"/>
      <c r="R1078" s="2340"/>
      <c r="S1078" s="2340"/>
      <c r="T1078" s="2340"/>
      <c r="U1078" s="2340"/>
      <c r="V1078" s="2340"/>
      <c r="W1078" s="2340"/>
      <c r="X1078" s="2340"/>
      <c r="Y1078" s="2340"/>
      <c r="Z1078" s="2340"/>
      <c r="AA1078" s="2340"/>
      <c r="AB1078" s="2340"/>
      <c r="AC1078" s="2340"/>
      <c r="AD1078" s="2340"/>
      <c r="AE1078" s="2340"/>
      <c r="AF1078" s="2340"/>
      <c r="AG1078" s="2340"/>
      <c r="AH1078" s="2340"/>
      <c r="AI1078" s="2340"/>
      <c r="AJ1078" s="2340"/>
      <c r="AK1078" s="2340"/>
    </row>
    <row r="1079" spans="1:96" ht="12.6" customHeight="1">
      <c r="A1079" s="235"/>
      <c r="B1079" s="235"/>
      <c r="C1079" s="318"/>
      <c r="D1079" s="2340"/>
      <c r="E1079" s="2340"/>
      <c r="F1079" s="2340"/>
      <c r="G1079" s="2340"/>
      <c r="H1079" s="2340"/>
      <c r="I1079" s="2340"/>
      <c r="J1079" s="2340"/>
      <c r="K1079" s="2340"/>
      <c r="L1079" s="2340"/>
      <c r="M1079" s="2340"/>
      <c r="N1079" s="2340"/>
      <c r="O1079" s="2340"/>
      <c r="P1079" s="2340"/>
      <c r="Q1079" s="2340"/>
      <c r="R1079" s="2340"/>
      <c r="S1079" s="2340"/>
      <c r="T1079" s="2340"/>
      <c r="U1079" s="2340"/>
      <c r="V1079" s="2340"/>
      <c r="W1079" s="2340"/>
      <c r="X1079" s="2340"/>
      <c r="Y1079" s="2340"/>
      <c r="Z1079" s="2340"/>
      <c r="AA1079" s="2340"/>
      <c r="AB1079" s="2340"/>
      <c r="AC1079" s="2340"/>
      <c r="AD1079" s="2340"/>
      <c r="AE1079" s="2340"/>
      <c r="AF1079" s="2340"/>
      <c r="AG1079" s="2340"/>
      <c r="AH1079" s="2340"/>
      <c r="AI1079" s="2340"/>
      <c r="AJ1079" s="2340"/>
      <c r="AK1079" s="2340"/>
    </row>
    <row r="1080" spans="1:96" ht="12.6" customHeight="1">
      <c r="A1080" s="235"/>
      <c r="B1080" s="235"/>
      <c r="C1080" s="318"/>
      <c r="D1080" s="2340"/>
      <c r="E1080" s="2340"/>
      <c r="F1080" s="2340"/>
      <c r="G1080" s="2340"/>
      <c r="H1080" s="2340"/>
      <c r="I1080" s="2340"/>
      <c r="J1080" s="2340"/>
      <c r="K1080" s="2340"/>
      <c r="L1080" s="2340"/>
      <c r="M1080" s="2340"/>
      <c r="N1080" s="2340"/>
      <c r="O1080" s="2340"/>
      <c r="P1080" s="2340"/>
      <c r="Q1080" s="2340"/>
      <c r="R1080" s="2340"/>
      <c r="S1080" s="2340"/>
      <c r="T1080" s="2340"/>
      <c r="U1080" s="2340"/>
      <c r="V1080" s="2340"/>
      <c r="W1080" s="2340"/>
      <c r="X1080" s="2340"/>
      <c r="Y1080" s="2340"/>
      <c r="Z1080" s="2340"/>
      <c r="AA1080" s="2340"/>
      <c r="AB1080" s="2340"/>
      <c r="AC1080" s="2340"/>
      <c r="AD1080" s="2340"/>
      <c r="AE1080" s="2340"/>
      <c r="AF1080" s="2340"/>
      <c r="AG1080" s="2340"/>
      <c r="AH1080" s="2340"/>
      <c r="AI1080" s="2340"/>
      <c r="AJ1080" s="2340"/>
      <c r="AK1080" s="2340"/>
      <c r="AL1080" s="682"/>
    </row>
    <row r="1081" spans="1:96" ht="12" customHeight="1">
      <c r="A1081" s="62"/>
      <c r="B1081" s="66"/>
      <c r="C1081" s="318"/>
      <c r="D1081" s="2340"/>
      <c r="E1081" s="2340"/>
      <c r="F1081" s="2340"/>
      <c r="G1081" s="2340"/>
      <c r="H1081" s="2340"/>
      <c r="I1081" s="2340"/>
      <c r="J1081" s="2340"/>
      <c r="K1081" s="2340"/>
      <c r="L1081" s="2340"/>
      <c r="M1081" s="2340"/>
      <c r="N1081" s="2340"/>
      <c r="O1081" s="2340"/>
      <c r="P1081" s="2340"/>
      <c r="Q1081" s="2340"/>
      <c r="R1081" s="2340"/>
      <c r="S1081" s="2340"/>
      <c r="T1081" s="2340"/>
      <c r="U1081" s="2340"/>
      <c r="V1081" s="2340"/>
      <c r="W1081" s="2340"/>
      <c r="X1081" s="2340"/>
      <c r="Y1081" s="2340"/>
      <c r="Z1081" s="2340"/>
      <c r="AA1081" s="2340"/>
      <c r="AB1081" s="2340"/>
      <c r="AC1081" s="2340"/>
      <c r="AD1081" s="2340"/>
      <c r="AE1081" s="2340"/>
      <c r="AF1081" s="2340"/>
      <c r="AG1081" s="2340"/>
      <c r="AH1081" s="2340"/>
      <c r="AI1081" s="2340"/>
      <c r="AJ1081" s="2340"/>
      <c r="AK1081" s="2340"/>
    </row>
    <row r="1082" spans="1:96" ht="12.6" customHeight="1">
      <c r="A1082" s="2028" t="s">
        <v>626</v>
      </c>
      <c r="B1082" s="2028"/>
      <c r="C1082" s="318">
        <v>9</v>
      </c>
      <c r="D1082" s="1901" t="s">
        <v>1210</v>
      </c>
      <c r="E1082" s="1901"/>
      <c r="F1082" s="1901"/>
      <c r="G1082" s="1901"/>
      <c r="H1082" s="1901"/>
      <c r="I1082" s="1901"/>
      <c r="J1082" s="1901"/>
      <c r="K1082" s="1901"/>
      <c r="L1082" s="1901"/>
      <c r="M1082" s="1901"/>
      <c r="N1082" s="1901"/>
      <c r="O1082" s="1901"/>
      <c r="P1082" s="1901"/>
      <c r="Q1082" s="1901"/>
      <c r="R1082" s="1901"/>
      <c r="S1082" s="1901"/>
      <c r="T1082" s="1901"/>
      <c r="U1082" s="1901"/>
      <c r="V1082" s="1901"/>
      <c r="W1082" s="1901"/>
      <c r="X1082" s="1901"/>
      <c r="Y1082" s="1901"/>
      <c r="Z1082" s="1901"/>
      <c r="AA1082" s="1901"/>
      <c r="AB1082" s="1901"/>
      <c r="AC1082" s="1901"/>
      <c r="AD1082" s="1901"/>
      <c r="AE1082" s="1901"/>
      <c r="AF1082" s="1901"/>
      <c r="AG1082" s="1901"/>
      <c r="AH1082" s="1901"/>
      <c r="AI1082" s="1901"/>
      <c r="AJ1082" s="1901"/>
      <c r="AK1082" s="1901"/>
    </row>
    <row r="1083" spans="1:96" ht="15" customHeight="1">
      <c r="A1083" s="62"/>
      <c r="B1083" s="66"/>
      <c r="C1083" s="318"/>
      <c r="D1083" s="1901"/>
      <c r="E1083" s="1901"/>
      <c r="F1083" s="1901"/>
      <c r="G1083" s="1901"/>
      <c r="H1083" s="1901"/>
      <c r="I1083" s="1901"/>
      <c r="J1083" s="1901"/>
      <c r="K1083" s="1901"/>
      <c r="L1083" s="1901"/>
      <c r="M1083" s="1901"/>
      <c r="N1083" s="1901"/>
      <c r="O1083" s="1901"/>
      <c r="P1083" s="1901"/>
      <c r="Q1083" s="1901"/>
      <c r="R1083" s="1901"/>
      <c r="S1083" s="1901"/>
      <c r="T1083" s="1901"/>
      <c r="U1083" s="1901"/>
      <c r="V1083" s="1901"/>
      <c r="W1083" s="1901"/>
      <c r="X1083" s="1901"/>
      <c r="Y1083" s="1901"/>
      <c r="Z1083" s="1901"/>
      <c r="AA1083" s="1901"/>
      <c r="AB1083" s="1901"/>
      <c r="AC1083" s="1901"/>
      <c r="AD1083" s="1901"/>
      <c r="AE1083" s="1901"/>
      <c r="AF1083" s="1901"/>
      <c r="AG1083" s="1901"/>
      <c r="AH1083" s="1901"/>
      <c r="AI1083" s="1901"/>
      <c r="AJ1083" s="1901"/>
      <c r="AK1083" s="1901"/>
    </row>
    <row r="1084" spans="1:96" ht="15" customHeight="1">
      <c r="D1084" s="1901"/>
      <c r="E1084" s="1901"/>
      <c r="F1084" s="1901"/>
      <c r="G1084" s="1901"/>
      <c r="H1084" s="1901"/>
      <c r="I1084" s="1901"/>
      <c r="J1084" s="1901"/>
      <c r="K1084" s="1901"/>
      <c r="L1084" s="1901"/>
      <c r="M1084" s="1901"/>
      <c r="N1084" s="1901"/>
      <c r="O1084" s="1901"/>
      <c r="P1084" s="1901"/>
      <c r="Q1084" s="1901"/>
      <c r="R1084" s="1901"/>
      <c r="S1084" s="1901"/>
      <c r="T1084" s="1901"/>
      <c r="U1084" s="1901"/>
      <c r="V1084" s="1901"/>
      <c r="W1084" s="1901"/>
      <c r="X1084" s="1901"/>
      <c r="Y1084" s="1901"/>
      <c r="Z1084" s="1901"/>
      <c r="AA1084" s="1901"/>
      <c r="AB1084" s="1901"/>
      <c r="AC1084" s="1901"/>
      <c r="AD1084" s="1901"/>
      <c r="AE1084" s="1901"/>
      <c r="AF1084" s="1901"/>
      <c r="AG1084" s="1901"/>
      <c r="AH1084" s="1901"/>
      <c r="AI1084" s="1901"/>
      <c r="AJ1084" s="1901"/>
      <c r="AK1084" s="1901"/>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BX626:CB626"/>
    <mergeCell ref="CC626:CG626"/>
    <mergeCell ref="BG627:BH627"/>
    <mergeCell ref="BN627:BR627"/>
    <mergeCell ref="CH628:CL628"/>
    <mergeCell ref="BN629:BR629"/>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S625:BW625"/>
    <mergeCell ref="BX625:CB625"/>
    <mergeCell ref="CC625:CG625"/>
    <mergeCell ref="BS627:BW627"/>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CC628:CG628"/>
    <mergeCell ref="BX630:CB630"/>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46:AB746"/>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O729:S729"/>
    <mergeCell ref="AC734:AG734"/>
    <mergeCell ref="AC730:AG730"/>
    <mergeCell ref="AC731:AG731"/>
    <mergeCell ref="T724:X727"/>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BS653:BW653"/>
    <mergeCell ref="AO649:AS649"/>
    <mergeCell ref="N659:O659"/>
    <mergeCell ref="AE708:AI708"/>
    <mergeCell ref="G670:R670"/>
    <mergeCell ref="AC724:AG727"/>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H609:DL609"/>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T744:X744"/>
    <mergeCell ref="O740:S740"/>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H682:R682"/>
    <mergeCell ref="Z898:AE898"/>
    <mergeCell ref="AC751:AG751"/>
    <mergeCell ref="AC752:AG752"/>
    <mergeCell ref="AM740:AO740"/>
    <mergeCell ref="Z812:AE812"/>
    <mergeCell ref="W843:AC843"/>
    <mergeCell ref="AM733:AO733"/>
    <mergeCell ref="AM729:AO729"/>
    <mergeCell ref="G686:R686"/>
    <mergeCell ref="U928:Z928"/>
    <mergeCell ref="AG821:AJ822"/>
    <mergeCell ref="W852:AC852"/>
    <mergeCell ref="W860:AC860"/>
    <mergeCell ref="M859:V859"/>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C750:AG750"/>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AA955:AG955"/>
    <mergeCell ref="AE946:AK946"/>
    <mergeCell ref="AA922:AF922"/>
    <mergeCell ref="AE942:AK942"/>
    <mergeCell ref="AA952:AG952"/>
    <mergeCell ref="AE939:AK939"/>
    <mergeCell ref="B750:F750"/>
    <mergeCell ref="AA951:AG951"/>
    <mergeCell ref="AA957:AG957"/>
    <mergeCell ref="M955:S955"/>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s>
  <phoneticPr fontId="0" type="noConversion"/>
  <conditionalFormatting sqref="AF1000">
    <cfRule type="cellIs" dxfId="145" priority="4" stopIfTrue="1" operator="equal">
      <formula>"Please Enter Amount:"</formula>
    </cfRule>
  </conditionalFormatting>
  <conditionalFormatting sqref="AJ1024">
    <cfRule type="cellIs" dxfId="144" priority="7" stopIfTrue="1" operator="equal">
      <formula>"#DIV/0!"</formula>
    </cfRule>
  </conditionalFormatting>
  <conditionalFormatting sqref="AG440:AJ440">
    <cfRule type="expression" dxfId="143" priority="8" stopIfTrue="1">
      <formula>"iserror(d31)"</formula>
    </cfRule>
  </conditionalFormatting>
  <conditionalFormatting sqref="AF1012">
    <cfRule type="cellIs" dxfId="142" priority="2" stopIfTrue="1" operator="equal">
      <formula>"Please Enter Amount:"</formula>
    </cfRule>
  </conditionalFormatting>
  <conditionalFormatting sqref="AF1005">
    <cfRule type="cellIs" dxfId="14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9" zoomScale="130" zoomScaleNormal="130" zoomScaleSheetLayoutView="90" workbookViewId="0">
      <selection activeCell="E108" sqref="E108"/>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66" t="s">
        <v>656</v>
      </c>
      <c r="G1" s="2567"/>
      <c r="H1" s="2567"/>
      <c r="I1" s="2567"/>
      <c r="J1" s="2567"/>
      <c r="K1" s="2567"/>
      <c r="L1" s="2567"/>
      <c r="M1" s="2567"/>
      <c r="N1" s="2567"/>
      <c r="O1" s="2567"/>
      <c r="P1" s="2567"/>
      <c r="Q1" s="2567"/>
      <c r="R1" s="2568"/>
      <c r="S1" s="168"/>
      <c r="T1" s="167"/>
      <c r="U1" s="169"/>
    </row>
    <row r="2" spans="1:21" s="208" customFormat="1" ht="71.25" customHeight="1">
      <c r="A2" s="207"/>
      <c r="B2" s="208" t="s">
        <v>24</v>
      </c>
      <c r="C2" s="208" t="s">
        <v>392</v>
      </c>
      <c r="D2" s="208" t="s">
        <v>391</v>
      </c>
      <c r="E2" s="208" t="s">
        <v>25</v>
      </c>
      <c r="F2" s="209" t="str">
        <f>Application!B637&amp;Application!C637</f>
        <v>1)Citibank</v>
      </c>
      <c r="G2" s="209" t="str">
        <f>Application!B638&amp;Application!C638</f>
        <v>2)Deferred Developer Fee</v>
      </c>
      <c r="H2" s="209" t="str">
        <f>Application!B639&amp;Application!C639</f>
        <v>3)Lease Up Income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13250000</v>
      </c>
      <c r="C4" s="217">
        <v>13250000</v>
      </c>
      <c r="D4" s="217"/>
      <c r="E4" s="217"/>
      <c r="F4" s="217">
        <f>C4</f>
        <v>13250000</v>
      </c>
      <c r="G4" s="217"/>
      <c r="H4" s="217"/>
      <c r="I4" s="217"/>
      <c r="J4" s="217"/>
      <c r="K4" s="217"/>
      <c r="L4" s="217"/>
      <c r="M4" s="217"/>
      <c r="N4" s="217"/>
      <c r="O4" s="217"/>
      <c r="P4" s="217"/>
      <c r="Q4" s="217"/>
      <c r="R4" s="879">
        <f>SUM(E4:Q4)</f>
        <v>13250000</v>
      </c>
      <c r="S4" s="218"/>
      <c r="T4" s="218"/>
      <c r="U4" s="213"/>
    </row>
    <row r="5" spans="1:21" s="214" customFormat="1">
      <c r="A5" s="215" t="s">
        <v>29</v>
      </c>
      <c r="B5" s="216">
        <f>SUM(C5+D5)</f>
        <v>300000</v>
      </c>
      <c r="C5" s="217">
        <v>300000</v>
      </c>
      <c r="D5" s="217"/>
      <c r="E5" s="217"/>
      <c r="F5" s="217">
        <f>C5</f>
        <v>300000</v>
      </c>
      <c r="G5" s="217"/>
      <c r="H5" s="217"/>
      <c r="I5" s="217"/>
      <c r="J5" s="217"/>
      <c r="K5" s="217"/>
      <c r="L5" s="217"/>
      <c r="M5" s="217"/>
      <c r="N5" s="217"/>
      <c r="O5" s="217"/>
      <c r="P5" s="217"/>
      <c r="Q5" s="217"/>
      <c r="R5" s="879">
        <f>SUM(E5:Q5)</f>
        <v>300000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13550000</v>
      </c>
      <c r="C8" s="216">
        <f t="shared" ref="C8:Q8" si="0">SUM(C4:C7)</f>
        <v>13550000</v>
      </c>
      <c r="D8" s="216">
        <f t="shared" si="0"/>
        <v>0</v>
      </c>
      <c r="E8" s="216">
        <f t="shared" si="0"/>
        <v>0</v>
      </c>
      <c r="F8" s="216">
        <f t="shared" si="0"/>
        <v>13550000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13550000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13550000</v>
      </c>
      <c r="C12" s="216">
        <f t="shared" si="2"/>
        <v>13550000</v>
      </c>
      <c r="D12" s="216">
        <f t="shared" si="2"/>
        <v>0</v>
      </c>
      <c r="E12" s="216">
        <f t="shared" si="2"/>
        <v>0</v>
      </c>
      <c r="F12" s="216">
        <f t="shared" si="2"/>
        <v>13550000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13550000</v>
      </c>
      <c r="S12" s="218"/>
      <c r="T12" s="218"/>
      <c r="U12" s="213"/>
    </row>
    <row r="13" spans="1:21" s="214" customFormat="1">
      <c r="A13" s="449" t="s">
        <v>971</v>
      </c>
      <c r="B13" s="216">
        <f>SUM(C13+D13)</f>
        <v>850000</v>
      </c>
      <c r="C13" s="217">
        <v>850000</v>
      </c>
      <c r="D13" s="217"/>
      <c r="E13" s="217"/>
      <c r="F13" s="217">
        <f>C13</f>
        <v>850000</v>
      </c>
      <c r="G13" s="217"/>
      <c r="H13" s="217"/>
      <c r="I13" s="217"/>
      <c r="J13" s="217"/>
      <c r="K13" s="217"/>
      <c r="L13" s="217"/>
      <c r="M13" s="217"/>
      <c r="N13" s="217"/>
      <c r="O13" s="217"/>
      <c r="P13" s="217"/>
      <c r="Q13" s="217"/>
      <c r="R13" s="879">
        <f>SUM(E13:Q13)</f>
        <v>850000</v>
      </c>
      <c r="S13" s="217">
        <f>C13</f>
        <v>850000</v>
      </c>
      <c r="T13" s="217"/>
      <c r="U13" s="213"/>
    </row>
    <row r="14" spans="1:21" s="214" customFormat="1" ht="24">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v>0</v>
      </c>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v>0</v>
      </c>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v>0</v>
      </c>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v>0</v>
      </c>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v>0</v>
      </c>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v>0</v>
      </c>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v>0</v>
      </c>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1855" t="s">
        <v>2521</v>
      </c>
      <c r="B25" s="216">
        <f t="shared" si="3"/>
        <v>0</v>
      </c>
      <c r="C25" s="217">
        <v>0</v>
      </c>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12840000</v>
      </c>
      <c r="C29" s="217">
        <v>12840000</v>
      </c>
      <c r="D29" s="217"/>
      <c r="E29" s="217">
        <f>C29</f>
        <v>12840000</v>
      </c>
      <c r="F29" s="217">
        <v>0</v>
      </c>
      <c r="G29" s="217"/>
      <c r="H29" s="217"/>
      <c r="I29" s="217"/>
      <c r="J29" s="217"/>
      <c r="K29" s="217"/>
      <c r="L29" s="217"/>
      <c r="M29" s="217"/>
      <c r="N29" s="217"/>
      <c r="O29" s="217"/>
      <c r="P29" s="217"/>
      <c r="Q29" s="217"/>
      <c r="R29" s="879">
        <f t="shared" ref="R29:R37" si="7">SUM(E29:Q29)</f>
        <v>12840000</v>
      </c>
      <c r="S29" s="217">
        <f>C29</f>
        <v>12840000</v>
      </c>
      <c r="T29" s="217"/>
      <c r="U29" s="213"/>
    </row>
    <row r="30" spans="1:21" s="214" customFormat="1">
      <c r="A30" s="215" t="s">
        <v>634</v>
      </c>
      <c r="B30" s="216">
        <f t="shared" si="6"/>
        <v>45260060</v>
      </c>
      <c r="C30" s="217">
        <v>45260060</v>
      </c>
      <c r="D30" s="217"/>
      <c r="E30" s="217">
        <f>C30-F30</f>
        <v>1743811</v>
      </c>
      <c r="F30" s="217">
        <f>43187209+329040</f>
        <v>43516249</v>
      </c>
      <c r="G30" s="217"/>
      <c r="H30" s="217"/>
      <c r="I30" s="217"/>
      <c r="J30" s="217"/>
      <c r="K30" s="217"/>
      <c r="L30" s="217"/>
      <c r="M30" s="217"/>
      <c r="N30" s="217"/>
      <c r="O30" s="217"/>
      <c r="P30" s="217"/>
      <c r="Q30" s="217"/>
      <c r="R30" s="879">
        <f t="shared" si="7"/>
        <v>45260060</v>
      </c>
      <c r="S30" s="217">
        <f t="shared" ref="S30:S37" si="8">C30</f>
        <v>45260060</v>
      </c>
      <c r="T30" s="217"/>
      <c r="U30" s="213"/>
    </row>
    <row r="31" spans="1:21" s="214" customFormat="1">
      <c r="A31" s="215" t="s">
        <v>635</v>
      </c>
      <c r="B31" s="216">
        <f t="shared" si="6"/>
        <v>3576004</v>
      </c>
      <c r="C31" s="217">
        <v>3576004</v>
      </c>
      <c r="D31" s="217"/>
      <c r="E31" s="217">
        <f>C31</f>
        <v>3576004</v>
      </c>
      <c r="F31" s="217"/>
      <c r="G31" s="217"/>
      <c r="H31" s="217"/>
      <c r="I31" s="217"/>
      <c r="J31" s="217"/>
      <c r="K31" s="217"/>
      <c r="L31" s="217"/>
      <c r="M31" s="217"/>
      <c r="N31" s="217"/>
      <c r="O31" s="217"/>
      <c r="P31" s="217"/>
      <c r="Q31" s="217"/>
      <c r="R31" s="879">
        <f t="shared" si="7"/>
        <v>3576004</v>
      </c>
      <c r="S31" s="217">
        <f t="shared" si="8"/>
        <v>3576004</v>
      </c>
      <c r="T31" s="217"/>
      <c r="U31" s="213"/>
    </row>
    <row r="32" spans="1:21" s="214" customFormat="1">
      <c r="A32" s="215" t="s">
        <v>142</v>
      </c>
      <c r="B32" s="216">
        <f t="shared" si="6"/>
        <v>1263521</v>
      </c>
      <c r="C32" s="217">
        <v>1263521</v>
      </c>
      <c r="D32" s="217"/>
      <c r="E32" s="217">
        <f t="shared" ref="E32:E33" si="9">C32</f>
        <v>1263521</v>
      </c>
      <c r="F32" s="217"/>
      <c r="G32" s="217"/>
      <c r="H32" s="217"/>
      <c r="I32" s="217"/>
      <c r="J32" s="217"/>
      <c r="K32" s="217"/>
      <c r="L32" s="217"/>
      <c r="M32" s="217"/>
      <c r="N32" s="217"/>
      <c r="O32" s="217"/>
      <c r="P32" s="217"/>
      <c r="Q32" s="217"/>
      <c r="R32" s="879">
        <f t="shared" si="7"/>
        <v>1263521</v>
      </c>
      <c r="S32" s="217">
        <f t="shared" si="8"/>
        <v>1263521</v>
      </c>
      <c r="T32" s="217"/>
      <c r="U32" s="213"/>
    </row>
    <row r="33" spans="1:21" s="214" customFormat="1">
      <c r="A33" s="215" t="s">
        <v>143</v>
      </c>
      <c r="B33" s="216">
        <f t="shared" si="6"/>
        <v>3790564</v>
      </c>
      <c r="C33" s="217">
        <v>3790564</v>
      </c>
      <c r="D33" s="217"/>
      <c r="E33" s="217">
        <f t="shared" si="9"/>
        <v>3790564</v>
      </c>
      <c r="F33" s="217"/>
      <c r="G33" s="217"/>
      <c r="H33" s="217"/>
      <c r="I33" s="217"/>
      <c r="J33" s="217"/>
      <c r="K33" s="217"/>
      <c r="L33" s="217"/>
      <c r="M33" s="217"/>
      <c r="N33" s="217"/>
      <c r="O33" s="217"/>
      <c r="P33" s="217"/>
      <c r="Q33" s="217"/>
      <c r="R33" s="879">
        <f t="shared" si="7"/>
        <v>3790564</v>
      </c>
      <c r="S33" s="217">
        <f t="shared" si="8"/>
        <v>3790564</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f t="shared" si="8"/>
        <v>0</v>
      </c>
      <c r="T34" s="217"/>
      <c r="U34" s="213"/>
    </row>
    <row r="35" spans="1:21" s="214" customFormat="1">
      <c r="A35" s="215" t="s">
        <v>145</v>
      </c>
      <c r="B35" s="216">
        <f t="shared" si="6"/>
        <v>1841582</v>
      </c>
      <c r="C35" s="217">
        <v>1841582</v>
      </c>
      <c r="D35" s="217"/>
      <c r="E35" s="217">
        <f>C35</f>
        <v>1841582</v>
      </c>
      <c r="F35" s="217"/>
      <c r="G35" s="217"/>
      <c r="H35" s="217"/>
      <c r="I35" s="217"/>
      <c r="J35" s="217"/>
      <c r="K35" s="217"/>
      <c r="L35" s="217"/>
      <c r="M35" s="217"/>
      <c r="N35" s="217"/>
      <c r="O35" s="217"/>
      <c r="P35" s="217"/>
      <c r="Q35" s="217"/>
      <c r="R35" s="879">
        <f t="shared" si="7"/>
        <v>1841582</v>
      </c>
      <c r="S35" s="217">
        <f t="shared" si="8"/>
        <v>1841582</v>
      </c>
      <c r="T35" s="217"/>
      <c r="U35" s="213"/>
    </row>
    <row r="36" spans="1:21" s="214" customFormat="1">
      <c r="A36" s="1807" t="s">
        <v>1994</v>
      </c>
      <c r="B36" s="216">
        <f t="shared" si="6"/>
        <v>0</v>
      </c>
      <c r="C36" s="217"/>
      <c r="D36" s="217"/>
      <c r="E36" s="217"/>
      <c r="F36" s="217"/>
      <c r="G36" s="217"/>
      <c r="H36" s="217"/>
      <c r="I36" s="217"/>
      <c r="J36" s="217"/>
      <c r="K36" s="217"/>
      <c r="L36" s="217"/>
      <c r="M36" s="217"/>
      <c r="N36" s="217"/>
      <c r="O36" s="217"/>
      <c r="P36" s="217"/>
      <c r="Q36" s="217"/>
      <c r="R36" s="879">
        <f t="shared" si="7"/>
        <v>0</v>
      </c>
      <c r="S36" s="217">
        <f t="shared" si="8"/>
        <v>0</v>
      </c>
      <c r="T36" s="217"/>
      <c r="U36" s="213"/>
    </row>
    <row r="37" spans="1:21" s="214" customFormat="1">
      <c r="A37" s="1855" t="s">
        <v>2521</v>
      </c>
      <c r="B37" s="216">
        <f t="shared" si="6"/>
        <v>1500000</v>
      </c>
      <c r="C37" s="217">
        <v>1500000</v>
      </c>
      <c r="D37" s="217"/>
      <c r="E37" s="217">
        <f>C37</f>
        <v>1500000</v>
      </c>
      <c r="F37" s="217"/>
      <c r="G37" s="217"/>
      <c r="H37" s="217"/>
      <c r="I37" s="217"/>
      <c r="J37" s="217"/>
      <c r="K37" s="217"/>
      <c r="L37" s="217"/>
      <c r="M37" s="217"/>
      <c r="N37" s="217"/>
      <c r="O37" s="217"/>
      <c r="P37" s="217"/>
      <c r="Q37" s="217"/>
      <c r="R37" s="879">
        <f t="shared" si="7"/>
        <v>1500000</v>
      </c>
      <c r="S37" s="217">
        <f t="shared" si="8"/>
        <v>1500000</v>
      </c>
      <c r="T37" s="217"/>
      <c r="U37" s="213"/>
    </row>
    <row r="38" spans="1:21" s="214" customFormat="1">
      <c r="A38" s="219" t="s">
        <v>148</v>
      </c>
      <c r="B38" s="216">
        <f t="shared" si="6"/>
        <v>70071731</v>
      </c>
      <c r="C38" s="216">
        <f>SUM(C29:C37)</f>
        <v>70071731</v>
      </c>
      <c r="D38" s="216">
        <f t="shared" ref="D38:Q38" si="10">SUM(D29:D37)</f>
        <v>0</v>
      </c>
      <c r="E38" s="216">
        <f t="shared" si="10"/>
        <v>26555482</v>
      </c>
      <c r="F38" s="216">
        <f t="shared" si="10"/>
        <v>43516249</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70071731</v>
      </c>
      <c r="S38" s="220">
        <f>SUM(S29:S37)</f>
        <v>70071731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500000</v>
      </c>
      <c r="C40" s="217">
        <v>500000</v>
      </c>
      <c r="D40" s="217"/>
      <c r="E40" s="217"/>
      <c r="F40" s="217">
        <f>C40</f>
        <v>500000</v>
      </c>
      <c r="G40" s="217"/>
      <c r="H40" s="217"/>
      <c r="I40" s="217"/>
      <c r="J40" s="217"/>
      <c r="K40" s="217"/>
      <c r="L40" s="217"/>
      <c r="M40" s="217"/>
      <c r="N40" s="217"/>
      <c r="O40" s="217"/>
      <c r="P40" s="217"/>
      <c r="Q40" s="217"/>
      <c r="R40" s="879">
        <f>SUM(E40:Q40)</f>
        <v>500000</v>
      </c>
      <c r="S40" s="217">
        <f>C40</f>
        <v>500000</v>
      </c>
      <c r="T40" s="217"/>
      <c r="U40" s="213"/>
    </row>
    <row r="41" spans="1:21" s="214" customFormat="1">
      <c r="A41" s="215" t="s">
        <v>151</v>
      </c>
      <c r="B41" s="216">
        <f>SUM(C41+D41)</f>
        <v>200000</v>
      </c>
      <c r="C41" s="217">
        <v>200000</v>
      </c>
      <c r="D41" s="217"/>
      <c r="E41" s="217"/>
      <c r="F41" s="217">
        <f>C41</f>
        <v>200000</v>
      </c>
      <c r="G41" s="217"/>
      <c r="H41" s="217"/>
      <c r="I41" s="217"/>
      <c r="J41" s="217"/>
      <c r="K41" s="217"/>
      <c r="L41" s="217"/>
      <c r="M41" s="217"/>
      <c r="N41" s="217"/>
      <c r="O41" s="217"/>
      <c r="P41" s="217"/>
      <c r="Q41" s="217"/>
      <c r="R41" s="879">
        <f>SUM(E41:Q41)</f>
        <v>200000</v>
      </c>
      <c r="S41" s="217">
        <f>C41</f>
        <v>200000</v>
      </c>
      <c r="T41" s="217"/>
      <c r="U41" s="213"/>
    </row>
    <row r="42" spans="1:21" s="214" customFormat="1">
      <c r="A42" s="219" t="s">
        <v>152</v>
      </c>
      <c r="B42" s="216">
        <f>SUM(C42:D42)</f>
        <v>700000</v>
      </c>
      <c r="C42" s="216">
        <f>SUM(C39:C41)</f>
        <v>700000</v>
      </c>
      <c r="D42" s="216">
        <f>SUM(D39:D41)</f>
        <v>0</v>
      </c>
      <c r="E42" s="216">
        <f t="shared" ref="E42:T42" si="11">SUM(E40:E41)</f>
        <v>0</v>
      </c>
      <c r="F42" s="216">
        <f t="shared" si="11"/>
        <v>700000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4">
        <f>SUM(R40:R41)</f>
        <v>700000</v>
      </c>
      <c r="S42" s="220">
        <f t="shared" si="11"/>
        <v>700000</v>
      </c>
      <c r="T42" s="220">
        <f t="shared" si="11"/>
        <v>0</v>
      </c>
      <c r="U42" s="213"/>
    </row>
    <row r="43" spans="1:21" s="214" customFormat="1">
      <c r="A43" s="219" t="s">
        <v>153</v>
      </c>
      <c r="B43" s="216">
        <f>SUM(C43:D43)</f>
        <v>1450525</v>
      </c>
      <c r="C43" s="217">
        <v>1450525</v>
      </c>
      <c r="D43" s="217"/>
      <c r="E43" s="217"/>
      <c r="F43" s="217">
        <f>C43</f>
        <v>1450525</v>
      </c>
      <c r="G43" s="217"/>
      <c r="H43" s="217"/>
      <c r="I43" s="217"/>
      <c r="J43" s="217"/>
      <c r="K43" s="217"/>
      <c r="L43" s="217"/>
      <c r="M43" s="217"/>
      <c r="N43" s="217"/>
      <c r="O43" s="217"/>
      <c r="P43" s="217"/>
      <c r="Q43" s="217"/>
      <c r="R43" s="879">
        <f>SUM(E43:Q43)</f>
        <v>1450525</v>
      </c>
      <c r="S43" s="217">
        <f>C43</f>
        <v>1450525</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6233226</v>
      </c>
      <c r="C45" s="217">
        <v>6233226</v>
      </c>
      <c r="D45" s="217"/>
      <c r="E45" s="217"/>
      <c r="F45" s="217">
        <f>C45</f>
        <v>6233226</v>
      </c>
      <c r="G45" s="217"/>
      <c r="H45" s="217"/>
      <c r="I45" s="217"/>
      <c r="J45" s="217"/>
      <c r="K45" s="217"/>
      <c r="L45" s="217"/>
      <c r="M45" s="217"/>
      <c r="N45" s="217"/>
      <c r="O45" s="217"/>
      <c r="P45" s="217"/>
      <c r="Q45" s="217"/>
      <c r="R45" s="879">
        <f t="shared" ref="R45:R53" si="13">SUM(E45:Q45)</f>
        <v>6233226</v>
      </c>
      <c r="S45" s="217">
        <v>3131451</v>
      </c>
      <c r="T45" s="217"/>
      <c r="U45" s="213"/>
    </row>
    <row r="46" spans="1:21" s="214" customFormat="1">
      <c r="A46" s="215" t="s">
        <v>156</v>
      </c>
      <c r="B46" s="216">
        <f t="shared" si="12"/>
        <v>911540</v>
      </c>
      <c r="C46" s="217">
        <v>911540</v>
      </c>
      <c r="D46" s="217"/>
      <c r="E46" s="217">
        <f>C46</f>
        <v>911540</v>
      </c>
      <c r="F46" s="217"/>
      <c r="G46" s="217"/>
      <c r="H46" s="217"/>
      <c r="I46" s="217"/>
      <c r="J46" s="217"/>
      <c r="K46" s="217"/>
      <c r="L46" s="217"/>
      <c r="M46" s="217"/>
      <c r="N46" s="217"/>
      <c r="O46" s="217"/>
      <c r="P46" s="217"/>
      <c r="Q46" s="217"/>
      <c r="R46" s="879">
        <f t="shared" si="13"/>
        <v>911540</v>
      </c>
      <c r="S46" s="217">
        <f>C46</f>
        <v>911540</v>
      </c>
      <c r="T46" s="217"/>
      <c r="U46" s="213"/>
    </row>
    <row r="47" spans="1:21" s="214" customFormat="1">
      <c r="A47" s="297" t="s">
        <v>157</v>
      </c>
      <c r="B47" s="216">
        <f t="shared" si="12"/>
        <v>25000</v>
      </c>
      <c r="C47" s="217">
        <v>25000</v>
      </c>
      <c r="D47" s="217"/>
      <c r="E47" s="217">
        <f>C47</f>
        <v>25000</v>
      </c>
      <c r="F47" s="217"/>
      <c r="G47" s="217"/>
      <c r="H47" s="217"/>
      <c r="I47" s="217"/>
      <c r="J47" s="217"/>
      <c r="K47" s="217"/>
      <c r="L47" s="217"/>
      <c r="M47" s="217"/>
      <c r="N47" s="217"/>
      <c r="O47" s="217"/>
      <c r="P47" s="217"/>
      <c r="Q47" s="217"/>
      <c r="R47" s="879">
        <f t="shared" si="13"/>
        <v>25000</v>
      </c>
      <c r="S47" s="217">
        <f>C47</f>
        <v>25000</v>
      </c>
      <c r="T47" s="217"/>
      <c r="U47" s="213"/>
    </row>
    <row r="48" spans="1:21" s="214" customFormat="1">
      <c r="A48" s="215" t="s">
        <v>158</v>
      </c>
      <c r="B48" s="216">
        <f t="shared" si="12"/>
        <v>0</v>
      </c>
      <c r="C48" s="217"/>
      <c r="D48" s="217"/>
      <c r="E48" s="217"/>
      <c r="F48" s="217"/>
      <c r="G48" s="217"/>
      <c r="H48" s="217"/>
      <c r="I48" s="217"/>
      <c r="J48" s="217"/>
      <c r="K48" s="217"/>
      <c r="L48" s="217"/>
      <c r="M48" s="217"/>
      <c r="N48" s="217"/>
      <c r="O48" s="217"/>
      <c r="P48" s="217"/>
      <c r="Q48" s="217"/>
      <c r="R48" s="879">
        <f t="shared" si="13"/>
        <v>0</v>
      </c>
      <c r="S48" s="217"/>
      <c r="T48" s="217"/>
      <c r="U48" s="213"/>
    </row>
    <row r="49" spans="1:21" s="214" customFormat="1">
      <c r="A49" s="215" t="s">
        <v>60</v>
      </c>
      <c r="B49" s="216">
        <f t="shared" si="12"/>
        <v>291300</v>
      </c>
      <c r="C49" s="217">
        <v>291300</v>
      </c>
      <c r="D49" s="217"/>
      <c r="E49" s="217">
        <f>C49</f>
        <v>291300</v>
      </c>
      <c r="F49" s="217"/>
      <c r="G49" s="217"/>
      <c r="H49" s="217"/>
      <c r="I49" s="217"/>
      <c r="J49" s="217"/>
      <c r="K49" s="217"/>
      <c r="L49" s="217"/>
      <c r="M49" s="217"/>
      <c r="N49" s="217"/>
      <c r="O49" s="217"/>
      <c r="P49" s="217"/>
      <c r="Q49" s="217"/>
      <c r="R49" s="879">
        <f t="shared" si="13"/>
        <v>291300</v>
      </c>
      <c r="S49" s="217">
        <v>145650</v>
      </c>
      <c r="T49" s="217"/>
      <c r="U49" s="213"/>
    </row>
    <row r="50" spans="1:21" s="214" customFormat="1">
      <c r="A50" s="215" t="s">
        <v>161</v>
      </c>
      <c r="B50" s="216">
        <f t="shared" si="12"/>
        <v>40000</v>
      </c>
      <c r="C50" s="217">
        <f>25000+15000</f>
        <v>40000</v>
      </c>
      <c r="D50" s="217"/>
      <c r="E50" s="217">
        <f>C50</f>
        <v>40000</v>
      </c>
      <c r="F50" s="217"/>
      <c r="G50" s="217"/>
      <c r="H50" s="217"/>
      <c r="I50" s="217"/>
      <c r="J50" s="217"/>
      <c r="K50" s="217"/>
      <c r="L50" s="217"/>
      <c r="M50" s="217"/>
      <c r="N50" s="217"/>
      <c r="O50" s="217"/>
      <c r="P50" s="217"/>
      <c r="Q50" s="217"/>
      <c r="R50" s="879">
        <f t="shared" si="13"/>
        <v>40000</v>
      </c>
      <c r="S50" s="217">
        <f>25000</f>
        <v>25000</v>
      </c>
      <c r="T50" s="217"/>
      <c r="U50" s="213"/>
    </row>
    <row r="51" spans="1:21" s="214" customFormat="1">
      <c r="A51" s="440" t="s">
        <v>159</v>
      </c>
      <c r="B51" s="216">
        <f t="shared" si="12"/>
        <v>350000</v>
      </c>
      <c r="C51" s="217">
        <f>350000</f>
        <v>350000</v>
      </c>
      <c r="D51" s="217"/>
      <c r="E51" s="217">
        <f>C51</f>
        <v>350000</v>
      </c>
      <c r="F51" s="217"/>
      <c r="G51" s="217"/>
      <c r="H51" s="217"/>
      <c r="I51" s="217"/>
      <c r="J51" s="217"/>
      <c r="K51" s="217"/>
      <c r="L51" s="217"/>
      <c r="M51" s="217"/>
      <c r="N51" s="217"/>
      <c r="O51" s="217"/>
      <c r="P51" s="217"/>
      <c r="Q51" s="217"/>
      <c r="R51" s="879">
        <f t="shared" si="13"/>
        <v>350000</v>
      </c>
      <c r="S51" s="217">
        <f>C51</f>
        <v>350000</v>
      </c>
      <c r="T51" s="217"/>
      <c r="U51" s="213"/>
    </row>
    <row r="52" spans="1:21" s="214" customFormat="1">
      <c r="A52" s="215" t="s">
        <v>160</v>
      </c>
      <c r="B52" s="216">
        <f t="shared" si="12"/>
        <v>0</v>
      </c>
      <c r="C52" s="217"/>
      <c r="D52" s="217"/>
      <c r="E52" s="217"/>
      <c r="F52" s="217"/>
      <c r="G52" s="217"/>
      <c r="H52" s="217"/>
      <c r="I52" s="217"/>
      <c r="J52" s="217"/>
      <c r="K52" s="217"/>
      <c r="L52" s="217"/>
      <c r="M52" s="217"/>
      <c r="N52" s="217"/>
      <c r="O52" s="217"/>
      <c r="P52" s="217"/>
      <c r="Q52" s="217"/>
      <c r="R52" s="879">
        <f t="shared" si="13"/>
        <v>0</v>
      </c>
      <c r="S52" s="217"/>
      <c r="T52" s="217"/>
      <c r="U52" s="213"/>
    </row>
    <row r="53" spans="1:21" s="214" customFormat="1">
      <c r="A53" s="1855" t="s">
        <v>2522</v>
      </c>
      <c r="B53" s="216">
        <f t="shared" si="12"/>
        <v>75000</v>
      </c>
      <c r="C53" s="217">
        <v>75000</v>
      </c>
      <c r="D53" s="217"/>
      <c r="E53" s="217">
        <f>C53</f>
        <v>75000</v>
      </c>
      <c r="F53" s="217"/>
      <c r="G53" s="217"/>
      <c r="H53" s="217"/>
      <c r="I53" s="217"/>
      <c r="J53" s="217"/>
      <c r="K53" s="217"/>
      <c r="L53" s="217"/>
      <c r="M53" s="217"/>
      <c r="N53" s="217"/>
      <c r="O53" s="217"/>
      <c r="P53" s="217"/>
      <c r="Q53" s="217"/>
      <c r="R53" s="879">
        <f t="shared" si="13"/>
        <v>75000</v>
      </c>
      <c r="S53" s="217">
        <f>C53</f>
        <v>75000</v>
      </c>
      <c r="T53" s="217"/>
      <c r="U53" s="213"/>
    </row>
    <row r="54" spans="1:21" s="224" customFormat="1">
      <c r="A54" s="219" t="s">
        <v>162</v>
      </c>
      <c r="B54" s="220">
        <f>SUM(C54:D54)</f>
        <v>7926066</v>
      </c>
      <c r="C54" s="220">
        <f t="shared" ref="C54:T54" si="14">SUM(C45:C53)</f>
        <v>7926066</v>
      </c>
      <c r="D54" s="220">
        <f t="shared" si="14"/>
        <v>0</v>
      </c>
      <c r="E54" s="220">
        <f t="shared" si="14"/>
        <v>1692840</v>
      </c>
      <c r="F54" s="220">
        <f t="shared" si="14"/>
        <v>6233226</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34">
        <f t="shared" si="14"/>
        <v>7926066</v>
      </c>
      <c r="S54" s="220">
        <f t="shared" si="14"/>
        <v>4663641</v>
      </c>
      <c r="T54" s="220">
        <f t="shared" si="14"/>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0</v>
      </c>
      <c r="C56" s="217"/>
      <c r="D56" s="217"/>
      <c r="E56" s="217"/>
      <c r="F56" s="217"/>
      <c r="G56" s="217"/>
      <c r="H56" s="217"/>
      <c r="I56" s="217"/>
      <c r="J56" s="217"/>
      <c r="K56" s="217"/>
      <c r="L56" s="217"/>
      <c r="M56" s="217"/>
      <c r="N56" s="217"/>
      <c r="O56" s="217"/>
      <c r="P56" s="217"/>
      <c r="Q56" s="217"/>
      <c r="R56" s="879">
        <f t="shared" ref="R56:R61" si="16">SUM(E56:Q56)</f>
        <v>0</v>
      </c>
      <c r="S56" s="218"/>
      <c r="T56" s="218"/>
      <c r="U56" s="213"/>
    </row>
    <row r="57" spans="1:21" s="303" customFormat="1">
      <c r="A57" s="297" t="s">
        <v>157</v>
      </c>
      <c r="B57" s="304">
        <f t="shared" si="15"/>
        <v>0</v>
      </c>
      <c r="C57" s="301"/>
      <c r="D57" s="301"/>
      <c r="E57" s="301"/>
      <c r="F57" s="301"/>
      <c r="G57" s="301"/>
      <c r="H57" s="301"/>
      <c r="I57" s="301"/>
      <c r="J57" s="301"/>
      <c r="K57" s="301"/>
      <c r="L57" s="301"/>
      <c r="M57" s="301"/>
      <c r="N57" s="301"/>
      <c r="O57" s="301"/>
      <c r="P57" s="301"/>
      <c r="Q57" s="301"/>
      <c r="R57" s="879">
        <f t="shared" si="16"/>
        <v>0</v>
      </c>
      <c r="S57" s="305"/>
      <c r="T57" s="305"/>
      <c r="U57" s="302"/>
    </row>
    <row r="58" spans="1:21" s="214" customFormat="1">
      <c r="A58" s="215" t="s">
        <v>161</v>
      </c>
      <c r="B58" s="216">
        <f t="shared" si="15"/>
        <v>0</v>
      </c>
      <c r="C58" s="217"/>
      <c r="D58" s="217"/>
      <c r="E58" s="217"/>
      <c r="F58" s="217"/>
      <c r="G58" s="217"/>
      <c r="H58" s="217"/>
      <c r="I58" s="217"/>
      <c r="J58" s="217"/>
      <c r="K58" s="217"/>
      <c r="L58" s="217"/>
      <c r="M58" s="217"/>
      <c r="N58" s="217"/>
      <c r="O58" s="217"/>
      <c r="P58" s="217"/>
      <c r="Q58" s="217"/>
      <c r="R58" s="879">
        <f t="shared" si="16"/>
        <v>0</v>
      </c>
      <c r="S58" s="218"/>
      <c r="T58" s="218"/>
      <c r="U58" s="213"/>
    </row>
    <row r="59" spans="1:21" s="214" customFormat="1">
      <c r="A59" s="440" t="s">
        <v>159</v>
      </c>
      <c r="B59" s="216">
        <f t="shared" si="15"/>
        <v>0</v>
      </c>
      <c r="C59" s="217"/>
      <c r="D59" s="217"/>
      <c r="E59" s="217"/>
      <c r="F59" s="217"/>
      <c r="G59" s="217"/>
      <c r="H59" s="217"/>
      <c r="I59" s="217"/>
      <c r="J59" s="217"/>
      <c r="K59" s="217"/>
      <c r="L59" s="217"/>
      <c r="M59" s="217"/>
      <c r="N59" s="217"/>
      <c r="O59" s="217"/>
      <c r="P59" s="217"/>
      <c r="Q59" s="217"/>
      <c r="R59" s="879">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79">
        <f t="shared" si="16"/>
        <v>0</v>
      </c>
      <c r="S60" s="218"/>
      <c r="T60" s="218"/>
      <c r="U60" s="213"/>
    </row>
    <row r="61" spans="1:21" s="214" customFormat="1">
      <c r="A61" s="222" t="s">
        <v>35</v>
      </c>
      <c r="B61" s="216">
        <f t="shared" si="15"/>
        <v>0</v>
      </c>
      <c r="C61" s="217"/>
      <c r="D61" s="217"/>
      <c r="E61" s="217"/>
      <c r="F61" s="217"/>
      <c r="G61" s="217"/>
      <c r="H61" s="217"/>
      <c r="I61" s="217"/>
      <c r="J61" s="217"/>
      <c r="K61" s="217"/>
      <c r="L61" s="217"/>
      <c r="M61" s="217"/>
      <c r="N61" s="217"/>
      <c r="O61" s="217"/>
      <c r="P61" s="217"/>
      <c r="Q61" s="217"/>
      <c r="R61" s="879">
        <f t="shared" si="16"/>
        <v>0</v>
      </c>
      <c r="S61" s="218"/>
      <c r="T61" s="218"/>
      <c r="U61" s="213"/>
    </row>
    <row r="62" spans="1:21" s="214" customFormat="1" ht="13.7" customHeight="1">
      <c r="A62" s="219" t="s">
        <v>309</v>
      </c>
      <c r="B62" s="216">
        <f>SUM(C62:D62)</f>
        <v>0</v>
      </c>
      <c r="C62" s="216">
        <f t="shared" ref="C62:R62" si="17">SUM(C56:C61)</f>
        <v>0</v>
      </c>
      <c r="D62" s="216">
        <f t="shared" si="17"/>
        <v>0</v>
      </c>
      <c r="E62" s="216">
        <f t="shared" si="17"/>
        <v>0</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4">
        <f t="shared" si="17"/>
        <v>0</v>
      </c>
      <c r="S62" s="218"/>
      <c r="T62" s="218"/>
      <c r="U62" s="213"/>
    </row>
    <row r="63" spans="1:21" s="214" customFormat="1">
      <c r="A63" s="225" t="s">
        <v>310</v>
      </c>
      <c r="B63" s="216">
        <f t="shared" ref="B63:R63" si="18">SUM(B8+B11+B13+B14+B15+B26+B27+B38+B42+B43+B54+B62)</f>
        <v>94548322</v>
      </c>
      <c r="C63" s="216">
        <f t="shared" si="18"/>
        <v>94548322</v>
      </c>
      <c r="D63" s="216">
        <f t="shared" si="18"/>
        <v>0</v>
      </c>
      <c r="E63" s="216">
        <f t="shared" si="18"/>
        <v>28248322</v>
      </c>
      <c r="F63" s="216">
        <f t="shared" si="18"/>
        <v>66300000</v>
      </c>
      <c r="G63" s="216">
        <f t="shared" si="18"/>
        <v>0</v>
      </c>
      <c r="H63" s="216">
        <f t="shared" si="18"/>
        <v>0</v>
      </c>
      <c r="I63" s="216">
        <f t="shared" si="18"/>
        <v>0</v>
      </c>
      <c r="J63" s="216">
        <f t="shared" si="18"/>
        <v>0</v>
      </c>
      <c r="K63" s="216">
        <f t="shared" si="18"/>
        <v>0</v>
      </c>
      <c r="L63" s="216">
        <f t="shared" si="18"/>
        <v>0</v>
      </c>
      <c r="M63" s="216">
        <f t="shared" si="18"/>
        <v>0</v>
      </c>
      <c r="N63" s="216">
        <f t="shared" si="18"/>
        <v>0</v>
      </c>
      <c r="O63" s="216">
        <f t="shared" si="18"/>
        <v>0</v>
      </c>
      <c r="P63" s="216">
        <f t="shared" si="18"/>
        <v>0</v>
      </c>
      <c r="Q63" s="216">
        <f t="shared" si="18"/>
        <v>0</v>
      </c>
      <c r="R63" s="534">
        <f t="shared" si="18"/>
        <v>94548322</v>
      </c>
      <c r="S63" s="216">
        <f>SUM(S10+S13+S14+S15+S26+S27+S38+S42+S43+S54)</f>
        <v>77735897</v>
      </c>
      <c r="T63" s="216">
        <f>SUM(T11+T13+T14+T15+T26+T27+T38+T42+T43+T54)</f>
        <v>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120000</v>
      </c>
      <c r="C65" s="217">
        <f>90000+30000</f>
        <v>120000</v>
      </c>
      <c r="D65" s="217"/>
      <c r="E65" s="217">
        <f>C65</f>
        <v>120000</v>
      </c>
      <c r="F65" s="217"/>
      <c r="G65" s="217"/>
      <c r="H65" s="217"/>
      <c r="I65" s="217"/>
      <c r="J65" s="217"/>
      <c r="K65" s="217"/>
      <c r="L65" s="217"/>
      <c r="M65" s="217"/>
      <c r="N65" s="217"/>
      <c r="O65" s="217"/>
      <c r="P65" s="217"/>
      <c r="Q65" s="217"/>
      <c r="R65" s="879">
        <f>SUM(E65:Q65)</f>
        <v>120000</v>
      </c>
      <c r="S65" s="217">
        <f>C65</f>
        <v>120000</v>
      </c>
      <c r="T65" s="217"/>
      <c r="U65" s="213"/>
    </row>
    <row r="66" spans="1:21" s="214" customFormat="1" ht="24" customHeight="1">
      <c r="A66" s="440" t="s">
        <v>1995</v>
      </c>
      <c r="B66" s="216">
        <f t="shared" ref="B66:B69" si="19">SUM(C66+D66)</f>
        <v>0</v>
      </c>
      <c r="C66" s="217"/>
      <c r="D66" s="217"/>
      <c r="E66" s="217"/>
      <c r="F66" s="217"/>
      <c r="G66" s="217"/>
      <c r="H66" s="217"/>
      <c r="I66" s="217"/>
      <c r="J66" s="217"/>
      <c r="K66" s="217"/>
      <c r="L66" s="217"/>
      <c r="M66" s="217"/>
      <c r="N66" s="217"/>
      <c r="O66" s="217"/>
      <c r="P66" s="217"/>
      <c r="Q66" s="217"/>
      <c r="R66" s="879">
        <f t="shared" ref="R66:R68" si="20">SUM(E66:Q66)</f>
        <v>0</v>
      </c>
      <c r="S66" s="217"/>
      <c r="T66" s="217"/>
      <c r="U66" s="213"/>
    </row>
    <row r="67" spans="1:21" s="214" customFormat="1" ht="24" customHeight="1">
      <c r="A67" s="440" t="s">
        <v>1996</v>
      </c>
      <c r="B67" s="216">
        <f t="shared" si="19"/>
        <v>0</v>
      </c>
      <c r="C67" s="217"/>
      <c r="D67" s="217"/>
      <c r="E67" s="217"/>
      <c r="F67" s="217"/>
      <c r="G67" s="217"/>
      <c r="H67" s="217"/>
      <c r="I67" s="217"/>
      <c r="J67" s="217"/>
      <c r="K67" s="217"/>
      <c r="L67" s="217"/>
      <c r="M67" s="217"/>
      <c r="N67" s="217"/>
      <c r="O67" s="217"/>
      <c r="P67" s="217"/>
      <c r="Q67" s="217"/>
      <c r="R67" s="879">
        <f t="shared" si="20"/>
        <v>0</v>
      </c>
      <c r="S67" s="217"/>
      <c r="T67" s="217"/>
      <c r="U67" s="213"/>
    </row>
    <row r="68" spans="1:21" s="214" customFormat="1" ht="12" customHeight="1">
      <c r="A68" s="440" t="s">
        <v>2002</v>
      </c>
      <c r="B68" s="216">
        <f t="shared" si="19"/>
        <v>0</v>
      </c>
      <c r="C68" s="217"/>
      <c r="D68" s="217"/>
      <c r="E68" s="217"/>
      <c r="F68" s="217"/>
      <c r="G68" s="217"/>
      <c r="H68" s="217"/>
      <c r="I68" s="217"/>
      <c r="J68" s="217"/>
      <c r="K68" s="217"/>
      <c r="L68" s="217"/>
      <c r="M68" s="217"/>
      <c r="N68" s="217"/>
      <c r="O68" s="217"/>
      <c r="P68" s="217"/>
      <c r="Q68" s="217"/>
      <c r="R68" s="879">
        <f t="shared" si="20"/>
        <v>0</v>
      </c>
      <c r="S68" s="217"/>
      <c r="T68" s="217"/>
      <c r="U68" s="213"/>
    </row>
    <row r="69" spans="1:21" s="214" customFormat="1">
      <c r="A69" s="222" t="s">
        <v>35</v>
      </c>
      <c r="B69" s="216">
        <f t="shared" si="19"/>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1999</v>
      </c>
      <c r="B70" s="216">
        <f>SUM(C70:D70)</f>
        <v>120000</v>
      </c>
      <c r="C70" s="216">
        <f>SUM(C65:C69)</f>
        <v>120000</v>
      </c>
      <c r="D70" s="216">
        <f>SUM(D65:D69)</f>
        <v>0</v>
      </c>
      <c r="E70" s="216">
        <f t="shared" ref="E70:T70" si="21">SUM(E65:E69)</f>
        <v>120000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4">
        <f t="shared" si="21"/>
        <v>120000</v>
      </c>
      <c r="S70" s="220">
        <f t="shared" si="21"/>
        <v>120000</v>
      </c>
      <c r="T70" s="220">
        <f t="shared" si="21"/>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1282880</v>
      </c>
      <c r="C75" s="217">
        <v>1282880</v>
      </c>
      <c r="D75" s="217"/>
      <c r="E75" s="217">
        <f>C75-H75</f>
        <v>504432</v>
      </c>
      <c r="F75" s="217"/>
      <c r="G75" s="217"/>
      <c r="H75" s="217">
        <v>778448</v>
      </c>
      <c r="I75" s="217"/>
      <c r="J75" s="217"/>
      <c r="K75" s="217"/>
      <c r="L75" s="217"/>
      <c r="M75" s="217"/>
      <c r="N75" s="217"/>
      <c r="O75" s="217"/>
      <c r="P75" s="217"/>
      <c r="Q75" s="217"/>
      <c r="R75" s="879">
        <f>SUM(E75:Q75)</f>
        <v>1282880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1282880</v>
      </c>
      <c r="C77" s="216">
        <f>SUM(C72:C76)</f>
        <v>1282880</v>
      </c>
      <c r="D77" s="216">
        <f>SUM(D72:D76)</f>
        <v>0</v>
      </c>
      <c r="E77" s="216">
        <f t="shared" ref="E77:Q77" si="22">SUM(E72:E76)</f>
        <v>504432</v>
      </c>
      <c r="F77" s="216">
        <f t="shared" si="22"/>
        <v>0</v>
      </c>
      <c r="G77" s="216">
        <f t="shared" si="22"/>
        <v>0</v>
      </c>
      <c r="H77" s="216">
        <f t="shared" si="22"/>
        <v>778448</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4">
        <f>SUM(R72:R76)</f>
        <v>1282880</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3411507</v>
      </c>
      <c r="C79" s="217">
        <v>3411507</v>
      </c>
      <c r="D79" s="217"/>
      <c r="E79" s="217">
        <f>C79</f>
        <v>3411507</v>
      </c>
      <c r="F79" s="217"/>
      <c r="G79" s="217"/>
      <c r="H79" s="217"/>
      <c r="I79" s="217"/>
      <c r="J79" s="217"/>
      <c r="K79" s="217"/>
      <c r="L79" s="217"/>
      <c r="M79" s="217"/>
      <c r="N79" s="217"/>
      <c r="O79" s="217"/>
      <c r="P79" s="217"/>
      <c r="Q79" s="217"/>
      <c r="R79" s="879">
        <f>SUM(E79:Q79)</f>
        <v>3411507</v>
      </c>
      <c r="S79" s="217">
        <f>C79</f>
        <v>3411507</v>
      </c>
      <c r="T79" s="217"/>
      <c r="U79" s="213"/>
    </row>
    <row r="80" spans="1:21" s="214" customFormat="1">
      <c r="A80" s="440" t="s">
        <v>61</v>
      </c>
      <c r="B80" s="216">
        <f>SUM(C80:D80)</f>
        <v>540266</v>
      </c>
      <c r="C80" s="217">
        <v>540266</v>
      </c>
      <c r="D80" s="217"/>
      <c r="E80" s="217">
        <f>C80</f>
        <v>540266</v>
      </c>
      <c r="F80" s="217"/>
      <c r="G80" s="217"/>
      <c r="H80" s="217"/>
      <c r="I80" s="217"/>
      <c r="J80" s="217"/>
      <c r="K80" s="217"/>
      <c r="L80" s="217"/>
      <c r="M80" s="217"/>
      <c r="N80" s="217"/>
      <c r="O80" s="217"/>
      <c r="P80" s="217"/>
      <c r="Q80" s="217"/>
      <c r="R80" s="879">
        <f>SUM(E80:Q80)</f>
        <v>540266</v>
      </c>
      <c r="S80" s="217">
        <f>C80</f>
        <v>540266</v>
      </c>
      <c r="T80" s="217"/>
      <c r="U80" s="213"/>
    </row>
    <row r="81" spans="1:21" s="214" customFormat="1">
      <c r="A81" s="219" t="s">
        <v>1419</v>
      </c>
      <c r="B81" s="216">
        <f>SUM(C81:D81)</f>
        <v>3951773</v>
      </c>
      <c r="C81" s="859">
        <f>SUM(C79:C80)</f>
        <v>3951773</v>
      </c>
      <c r="D81" s="859">
        <f t="shared" ref="D81:T81" si="23">SUM(D79:D80)</f>
        <v>0</v>
      </c>
      <c r="E81" s="859">
        <f t="shared" si="23"/>
        <v>3951773</v>
      </c>
      <c r="F81" s="859">
        <f t="shared" si="23"/>
        <v>0</v>
      </c>
      <c r="G81" s="859">
        <f t="shared" si="23"/>
        <v>0</v>
      </c>
      <c r="H81" s="859">
        <f t="shared" si="23"/>
        <v>0</v>
      </c>
      <c r="I81" s="859">
        <f t="shared" si="23"/>
        <v>0</v>
      </c>
      <c r="J81" s="859">
        <f t="shared" si="23"/>
        <v>0</v>
      </c>
      <c r="K81" s="859">
        <f t="shared" si="23"/>
        <v>0</v>
      </c>
      <c r="L81" s="859">
        <f t="shared" si="23"/>
        <v>0</v>
      </c>
      <c r="M81" s="859">
        <f t="shared" si="23"/>
        <v>0</v>
      </c>
      <c r="N81" s="859">
        <f t="shared" si="23"/>
        <v>0</v>
      </c>
      <c r="O81" s="859">
        <f t="shared" si="23"/>
        <v>0</v>
      </c>
      <c r="P81" s="859">
        <f t="shared" si="23"/>
        <v>0</v>
      </c>
      <c r="Q81" s="859">
        <f t="shared" si="23"/>
        <v>0</v>
      </c>
      <c r="R81" s="859">
        <f t="shared" si="23"/>
        <v>3951773</v>
      </c>
      <c r="S81" s="859">
        <f t="shared" si="23"/>
        <v>3951773</v>
      </c>
      <c r="T81" s="859">
        <f t="shared" si="23"/>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4">SUM(C83+D83)</f>
        <v>171785</v>
      </c>
      <c r="C83" s="217">
        <v>171785</v>
      </c>
      <c r="D83" s="217"/>
      <c r="E83" s="217">
        <f>C83</f>
        <v>171785</v>
      </c>
      <c r="F83" s="217"/>
      <c r="G83" s="217"/>
      <c r="H83" s="217"/>
      <c r="I83" s="217"/>
      <c r="J83" s="217"/>
      <c r="K83" s="217"/>
      <c r="L83" s="217"/>
      <c r="M83" s="217"/>
      <c r="N83" s="217"/>
      <c r="O83" s="217"/>
      <c r="P83" s="217"/>
      <c r="Q83" s="217"/>
      <c r="R83" s="879">
        <f t="shared" ref="R83:R95" si="25">SUM(E83:Q83)</f>
        <v>171785</v>
      </c>
      <c r="S83" s="218"/>
      <c r="T83" s="218"/>
      <c r="U83" s="213"/>
    </row>
    <row r="84" spans="1:21" s="214" customFormat="1">
      <c r="A84" s="215" t="s">
        <v>825</v>
      </c>
      <c r="B84" s="216">
        <f t="shared" si="24"/>
        <v>0</v>
      </c>
      <c r="C84" s="217"/>
      <c r="D84" s="217"/>
      <c r="E84" s="217"/>
      <c r="F84" s="217"/>
      <c r="G84" s="217"/>
      <c r="H84" s="217"/>
      <c r="I84" s="217"/>
      <c r="J84" s="217"/>
      <c r="K84" s="217"/>
      <c r="L84" s="217"/>
      <c r="M84" s="217"/>
      <c r="N84" s="217"/>
      <c r="O84" s="217"/>
      <c r="P84" s="217"/>
      <c r="Q84" s="217"/>
      <c r="R84" s="879">
        <f t="shared" si="25"/>
        <v>0</v>
      </c>
      <c r="S84" s="217"/>
      <c r="T84" s="217"/>
      <c r="U84" s="213"/>
    </row>
    <row r="85" spans="1:21" s="214" customFormat="1">
      <c r="A85" s="215" t="s">
        <v>826</v>
      </c>
      <c r="B85" s="216">
        <f t="shared" si="24"/>
        <v>8838677</v>
      </c>
      <c r="C85" s="217">
        <v>8838677</v>
      </c>
      <c r="D85" s="217"/>
      <c r="E85" s="217">
        <f>C85</f>
        <v>8838677</v>
      </c>
      <c r="F85" s="217">
        <v>0</v>
      </c>
      <c r="G85" s="217"/>
      <c r="H85" s="217"/>
      <c r="I85" s="217"/>
      <c r="J85" s="217"/>
      <c r="K85" s="217"/>
      <c r="L85" s="217"/>
      <c r="M85" s="217"/>
      <c r="N85" s="217"/>
      <c r="O85" s="217"/>
      <c r="P85" s="217"/>
      <c r="Q85" s="217"/>
      <c r="R85" s="879">
        <f t="shared" si="25"/>
        <v>8838677</v>
      </c>
      <c r="S85" s="217">
        <f>C85</f>
        <v>8838677</v>
      </c>
      <c r="T85" s="217"/>
      <c r="U85" s="213"/>
    </row>
    <row r="86" spans="1:21" s="214" customFormat="1">
      <c r="A86" s="215" t="s">
        <v>827</v>
      </c>
      <c r="B86" s="216">
        <f t="shared" si="24"/>
        <v>1076439</v>
      </c>
      <c r="C86" s="217">
        <f>9915116-C85</f>
        <v>1076439</v>
      </c>
      <c r="D86" s="217"/>
      <c r="E86" s="217">
        <f>C86</f>
        <v>1076439</v>
      </c>
      <c r="F86" s="217"/>
      <c r="G86" s="217">
        <v>0</v>
      </c>
      <c r="H86" s="217"/>
      <c r="I86" s="217"/>
      <c r="J86" s="217"/>
      <c r="K86" s="217"/>
      <c r="L86" s="217"/>
      <c r="M86" s="217"/>
      <c r="N86" s="217"/>
      <c r="O86" s="217"/>
      <c r="P86" s="217"/>
      <c r="Q86" s="217"/>
      <c r="R86" s="879">
        <f t="shared" si="25"/>
        <v>1076439</v>
      </c>
      <c r="S86" s="217">
        <f>C86</f>
        <v>1076439</v>
      </c>
      <c r="T86" s="217"/>
      <c r="U86" s="213"/>
    </row>
    <row r="87" spans="1:21" s="214" customFormat="1">
      <c r="A87" s="215" t="s">
        <v>828</v>
      </c>
      <c r="B87" s="216">
        <f t="shared" si="24"/>
        <v>0</v>
      </c>
      <c r="C87" s="217"/>
      <c r="D87" s="217"/>
      <c r="E87" s="217"/>
      <c r="F87" s="217"/>
      <c r="G87" s="217"/>
      <c r="H87" s="217"/>
      <c r="I87" s="217"/>
      <c r="J87" s="217"/>
      <c r="K87" s="217"/>
      <c r="L87" s="217"/>
      <c r="M87" s="217"/>
      <c r="N87" s="217"/>
      <c r="O87" s="217"/>
      <c r="P87" s="217"/>
      <c r="Q87" s="217"/>
      <c r="R87" s="879">
        <f t="shared" si="25"/>
        <v>0</v>
      </c>
      <c r="S87" s="217"/>
      <c r="T87" s="217"/>
      <c r="U87" s="213"/>
    </row>
    <row r="88" spans="1:21" s="214" customFormat="1">
      <c r="A88" s="215" t="s">
        <v>829</v>
      </c>
      <c r="B88" s="216">
        <f t="shared" si="24"/>
        <v>75000</v>
      </c>
      <c r="C88" s="217">
        <v>75000</v>
      </c>
      <c r="D88" s="217"/>
      <c r="E88" s="217">
        <f>C88</f>
        <v>75000</v>
      </c>
      <c r="F88" s="217"/>
      <c r="G88" s="217"/>
      <c r="H88" s="217"/>
      <c r="I88" s="217"/>
      <c r="J88" s="217"/>
      <c r="K88" s="217"/>
      <c r="L88" s="217"/>
      <c r="M88" s="217"/>
      <c r="N88" s="217"/>
      <c r="O88" s="217"/>
      <c r="P88" s="217"/>
      <c r="Q88" s="217"/>
      <c r="R88" s="879">
        <f t="shared" si="25"/>
        <v>75000</v>
      </c>
      <c r="S88" s="218"/>
      <c r="T88" s="218"/>
      <c r="U88" s="213"/>
    </row>
    <row r="89" spans="1:21" s="214" customFormat="1">
      <c r="A89" s="215" t="s">
        <v>830</v>
      </c>
      <c r="B89" s="216">
        <f t="shared" si="24"/>
        <v>250000</v>
      </c>
      <c r="C89" s="217">
        <v>250000</v>
      </c>
      <c r="D89" s="217"/>
      <c r="E89" s="217">
        <f>C89</f>
        <v>250000</v>
      </c>
      <c r="F89" s="217"/>
      <c r="G89" s="217"/>
      <c r="H89" s="217"/>
      <c r="I89" s="217"/>
      <c r="J89" s="217"/>
      <c r="K89" s="217"/>
      <c r="L89" s="217"/>
      <c r="M89" s="217"/>
      <c r="N89" s="217"/>
      <c r="O89" s="217"/>
      <c r="P89" s="217"/>
      <c r="Q89" s="217"/>
      <c r="R89" s="879">
        <f t="shared" si="25"/>
        <v>250000</v>
      </c>
      <c r="S89" s="217">
        <f>C89</f>
        <v>250000</v>
      </c>
      <c r="T89" s="217"/>
      <c r="U89" s="213"/>
    </row>
    <row r="90" spans="1:21" s="214" customFormat="1">
      <c r="A90" s="215" t="s">
        <v>831</v>
      </c>
      <c r="B90" s="216">
        <f t="shared" si="24"/>
        <v>0</v>
      </c>
      <c r="C90" s="217"/>
      <c r="D90" s="217"/>
      <c r="E90" s="217"/>
      <c r="F90" s="217"/>
      <c r="G90" s="217"/>
      <c r="H90" s="217"/>
      <c r="I90" s="217"/>
      <c r="J90" s="217"/>
      <c r="K90" s="217"/>
      <c r="L90" s="217"/>
      <c r="M90" s="217"/>
      <c r="N90" s="217"/>
      <c r="O90" s="217"/>
      <c r="P90" s="217"/>
      <c r="Q90" s="217"/>
      <c r="R90" s="879">
        <f t="shared" si="25"/>
        <v>0</v>
      </c>
      <c r="S90" s="217"/>
      <c r="T90" s="217"/>
      <c r="U90" s="213"/>
    </row>
    <row r="91" spans="1:21" s="214" customFormat="1">
      <c r="A91" s="1808" t="s">
        <v>390</v>
      </c>
      <c r="B91" s="216">
        <f t="shared" si="24"/>
        <v>95000</v>
      </c>
      <c r="C91" s="217">
        <v>95000</v>
      </c>
      <c r="D91" s="217"/>
      <c r="E91" s="217">
        <f>C91</f>
        <v>95000</v>
      </c>
      <c r="F91" s="217"/>
      <c r="G91" s="217"/>
      <c r="H91" s="217"/>
      <c r="I91" s="217"/>
      <c r="J91" s="217"/>
      <c r="K91" s="217"/>
      <c r="L91" s="217"/>
      <c r="M91" s="217"/>
      <c r="N91" s="217"/>
      <c r="O91" s="217"/>
      <c r="P91" s="217"/>
      <c r="Q91" s="217"/>
      <c r="R91" s="879">
        <f t="shared" si="25"/>
        <v>95000</v>
      </c>
      <c r="S91" s="217">
        <f>C91</f>
        <v>95000</v>
      </c>
      <c r="T91" s="217"/>
      <c r="U91" s="213"/>
    </row>
    <row r="92" spans="1:21" s="214" customFormat="1">
      <c r="A92" s="1807" t="s">
        <v>1421</v>
      </c>
      <c r="B92" s="216">
        <f t="shared" si="24"/>
        <v>0</v>
      </c>
      <c r="C92" s="217"/>
      <c r="D92" s="217"/>
      <c r="E92" s="217"/>
      <c r="F92" s="217"/>
      <c r="G92" s="217"/>
      <c r="H92" s="217"/>
      <c r="I92" s="217"/>
      <c r="J92" s="217"/>
      <c r="K92" s="217"/>
      <c r="L92" s="217"/>
      <c r="M92" s="217"/>
      <c r="N92" s="217"/>
      <c r="O92" s="217"/>
      <c r="P92" s="217"/>
      <c r="Q92" s="217"/>
      <c r="R92" s="879">
        <f t="shared" si="25"/>
        <v>0</v>
      </c>
      <c r="S92" s="217"/>
      <c r="T92" s="217"/>
      <c r="U92" s="213"/>
    </row>
    <row r="93" spans="1:21" s="214" customFormat="1">
      <c r="A93" s="1855" t="s">
        <v>2523</v>
      </c>
      <c r="B93" s="216">
        <f t="shared" si="24"/>
        <v>310000</v>
      </c>
      <c r="C93" s="217">
        <v>310000</v>
      </c>
      <c r="D93" s="217"/>
      <c r="E93" s="217">
        <f>C93</f>
        <v>310000</v>
      </c>
      <c r="F93" s="217"/>
      <c r="G93" s="217"/>
      <c r="H93" s="217"/>
      <c r="I93" s="217"/>
      <c r="J93" s="217"/>
      <c r="K93" s="217"/>
      <c r="L93" s="217"/>
      <c r="M93" s="217"/>
      <c r="N93" s="217"/>
      <c r="O93" s="217"/>
      <c r="P93" s="217"/>
      <c r="Q93" s="217"/>
      <c r="R93" s="879">
        <f t="shared" si="25"/>
        <v>310000</v>
      </c>
      <c r="S93" s="217">
        <f>250000</f>
        <v>250000</v>
      </c>
      <c r="T93" s="217"/>
      <c r="U93" s="213"/>
    </row>
    <row r="94" spans="1:21" s="214" customFormat="1">
      <c r="A94" s="1856" t="s">
        <v>2620</v>
      </c>
      <c r="B94" s="216">
        <f t="shared" si="24"/>
        <v>15890</v>
      </c>
      <c r="C94" s="217">
        <v>15890</v>
      </c>
      <c r="D94" s="217"/>
      <c r="E94" s="217">
        <f>C94</f>
        <v>15890</v>
      </c>
      <c r="F94" s="217"/>
      <c r="G94" s="217"/>
      <c r="H94" s="217"/>
      <c r="I94" s="217"/>
      <c r="J94" s="217"/>
      <c r="K94" s="217"/>
      <c r="L94" s="217"/>
      <c r="M94" s="217"/>
      <c r="N94" s="217"/>
      <c r="O94" s="217"/>
      <c r="P94" s="217"/>
      <c r="Q94" s="217"/>
      <c r="R94" s="879">
        <f t="shared" si="25"/>
        <v>15890</v>
      </c>
      <c r="S94" s="217">
        <v>0</v>
      </c>
      <c r="T94" s="217"/>
      <c r="U94" s="213"/>
    </row>
    <row r="95" spans="1:21" s="214" customFormat="1">
      <c r="A95" s="222" t="s">
        <v>35</v>
      </c>
      <c r="B95" s="216">
        <f t="shared" si="24"/>
        <v>0</v>
      </c>
      <c r="C95" s="217"/>
      <c r="D95" s="217"/>
      <c r="E95" s="217"/>
      <c r="F95" s="217"/>
      <c r="G95" s="217"/>
      <c r="H95" s="217"/>
      <c r="I95" s="217"/>
      <c r="J95" s="217"/>
      <c r="K95" s="217"/>
      <c r="L95" s="217"/>
      <c r="M95" s="217"/>
      <c r="N95" s="217"/>
      <c r="O95" s="217"/>
      <c r="P95" s="217"/>
      <c r="Q95" s="217"/>
      <c r="R95" s="879">
        <f t="shared" si="25"/>
        <v>0</v>
      </c>
      <c r="S95" s="217"/>
      <c r="T95" s="217"/>
      <c r="U95" s="213"/>
    </row>
    <row r="96" spans="1:21" s="214" customFormat="1">
      <c r="A96" s="219" t="s">
        <v>832</v>
      </c>
      <c r="B96" s="216">
        <f>SUM(C96:D96)</f>
        <v>10832791</v>
      </c>
      <c r="C96" s="216">
        <f t="shared" ref="C96:R96" si="26">SUM(C83:C95)</f>
        <v>10832791</v>
      </c>
      <c r="D96" s="216">
        <f t="shared" si="26"/>
        <v>0</v>
      </c>
      <c r="E96" s="216">
        <f t="shared" si="26"/>
        <v>10832791</v>
      </c>
      <c r="F96" s="216">
        <f t="shared" si="26"/>
        <v>0</v>
      </c>
      <c r="G96" s="216">
        <f t="shared" si="26"/>
        <v>0</v>
      </c>
      <c r="H96" s="216">
        <f t="shared" si="26"/>
        <v>0</v>
      </c>
      <c r="I96" s="216">
        <f t="shared" si="26"/>
        <v>0</v>
      </c>
      <c r="J96" s="216">
        <f t="shared" si="26"/>
        <v>0</v>
      </c>
      <c r="K96" s="216">
        <f t="shared" si="26"/>
        <v>0</v>
      </c>
      <c r="L96" s="216">
        <f t="shared" si="26"/>
        <v>0</v>
      </c>
      <c r="M96" s="216">
        <f t="shared" si="26"/>
        <v>0</v>
      </c>
      <c r="N96" s="216">
        <f t="shared" si="26"/>
        <v>0</v>
      </c>
      <c r="O96" s="216">
        <f t="shared" si="26"/>
        <v>0</v>
      </c>
      <c r="P96" s="216">
        <f t="shared" si="26"/>
        <v>0</v>
      </c>
      <c r="Q96" s="216">
        <f t="shared" si="26"/>
        <v>0</v>
      </c>
      <c r="R96" s="534">
        <f t="shared" si="26"/>
        <v>10832791</v>
      </c>
      <c r="S96" s="220">
        <f>SUM(S84:S87,S89:S95)</f>
        <v>10510116</v>
      </c>
      <c r="T96" s="216">
        <f>SUM(T84:T87,T89:T95)</f>
        <v>0</v>
      </c>
      <c r="U96" s="213"/>
    </row>
    <row r="97" spans="1:21" s="214" customFormat="1">
      <c r="A97" s="219" t="s">
        <v>833</v>
      </c>
      <c r="B97" s="216">
        <f>SUM(C97:D97)</f>
        <v>110735766</v>
      </c>
      <c r="C97" s="216">
        <f t="shared" ref="C97:R97" si="27">SUM(C63+C70+C77+C81+C96)</f>
        <v>110735766</v>
      </c>
      <c r="D97" s="216">
        <f t="shared" si="27"/>
        <v>0</v>
      </c>
      <c r="E97" s="216">
        <f t="shared" si="27"/>
        <v>43657318</v>
      </c>
      <c r="F97" s="216">
        <f t="shared" si="27"/>
        <v>66300000</v>
      </c>
      <c r="G97" s="216">
        <f t="shared" si="27"/>
        <v>0</v>
      </c>
      <c r="H97" s="216">
        <f t="shared" si="27"/>
        <v>778448</v>
      </c>
      <c r="I97" s="216">
        <f t="shared" si="27"/>
        <v>0</v>
      </c>
      <c r="J97" s="216">
        <f t="shared" si="27"/>
        <v>0</v>
      </c>
      <c r="K97" s="216">
        <f t="shared" si="27"/>
        <v>0</v>
      </c>
      <c r="L97" s="216">
        <f t="shared" si="27"/>
        <v>0</v>
      </c>
      <c r="M97" s="216">
        <f t="shared" si="27"/>
        <v>0</v>
      </c>
      <c r="N97" s="216">
        <f t="shared" si="27"/>
        <v>0</v>
      </c>
      <c r="O97" s="216">
        <f t="shared" si="27"/>
        <v>0</v>
      </c>
      <c r="P97" s="216">
        <f t="shared" si="27"/>
        <v>0</v>
      </c>
      <c r="Q97" s="216">
        <f t="shared" si="27"/>
        <v>0</v>
      </c>
      <c r="R97" s="216">
        <f t="shared" si="27"/>
        <v>110735766</v>
      </c>
      <c r="S97" s="216">
        <f>SUM(S63+S70+S81+S96)</f>
        <v>92317786</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13720167</v>
      </c>
      <c r="C99" s="1700">
        <v>13720167</v>
      </c>
      <c r="D99" s="1700"/>
      <c r="E99" s="1700">
        <v>3206771</v>
      </c>
      <c r="F99" s="217"/>
      <c r="G99" s="217">
        <f>C99-E99</f>
        <v>10513396</v>
      </c>
      <c r="H99" s="217"/>
      <c r="I99" s="217"/>
      <c r="J99" s="217"/>
      <c r="K99" s="217"/>
      <c r="L99" s="217"/>
      <c r="M99" s="217"/>
      <c r="N99" s="217"/>
      <c r="O99" s="217"/>
      <c r="P99" s="217"/>
      <c r="Q99" s="217"/>
      <c r="R99" s="879">
        <f t="shared" ref="R99:R103" si="28">SUM(E99:Q99)</f>
        <v>13720167</v>
      </c>
      <c r="S99" s="217">
        <f>C99</f>
        <v>13720167</v>
      </c>
      <c r="T99" s="217"/>
      <c r="U99" s="213"/>
    </row>
    <row r="100" spans="1:21" s="214" customFormat="1">
      <c r="A100" s="440" t="s">
        <v>2000</v>
      </c>
      <c r="B100" s="216">
        <f t="shared" ref="B100:B103" si="29">SUM(C100+D100)</f>
        <v>0</v>
      </c>
      <c r="C100" s="217"/>
      <c r="D100" s="217"/>
      <c r="E100" s="217"/>
      <c r="F100" s="217"/>
      <c r="G100" s="217"/>
      <c r="H100" s="217"/>
      <c r="I100" s="217"/>
      <c r="J100" s="217"/>
      <c r="K100" s="217"/>
      <c r="L100" s="217"/>
      <c r="M100" s="217"/>
      <c r="N100" s="217"/>
      <c r="O100" s="217"/>
      <c r="P100" s="217"/>
      <c r="Q100" s="217"/>
      <c r="R100" s="879">
        <f t="shared" si="28"/>
        <v>0</v>
      </c>
      <c r="S100" s="217"/>
      <c r="T100" s="217"/>
      <c r="U100" s="213"/>
    </row>
    <row r="101" spans="1:21" s="214" customFormat="1" ht="12" customHeight="1">
      <c r="A101" s="215" t="s">
        <v>836</v>
      </c>
      <c r="B101" s="216">
        <f t="shared" si="29"/>
        <v>0</v>
      </c>
      <c r="C101" s="217"/>
      <c r="D101" s="217"/>
      <c r="E101" s="217"/>
      <c r="F101" s="217"/>
      <c r="G101" s="217"/>
      <c r="H101" s="217"/>
      <c r="I101" s="217"/>
      <c r="J101" s="217"/>
      <c r="K101" s="217"/>
      <c r="L101" s="217"/>
      <c r="M101" s="217"/>
      <c r="N101" s="217"/>
      <c r="O101" s="217"/>
      <c r="P101" s="217"/>
      <c r="Q101" s="217"/>
      <c r="R101" s="879">
        <f t="shared" si="28"/>
        <v>0</v>
      </c>
      <c r="S101" s="217"/>
      <c r="T101" s="217"/>
      <c r="U101" s="213"/>
    </row>
    <row r="102" spans="1:21" s="214" customFormat="1">
      <c r="A102" s="440" t="s">
        <v>2001</v>
      </c>
      <c r="B102" s="216">
        <f t="shared" si="29"/>
        <v>0</v>
      </c>
      <c r="C102" s="217"/>
      <c r="D102" s="217"/>
      <c r="E102" s="217"/>
      <c r="F102" s="217"/>
      <c r="G102" s="217"/>
      <c r="H102" s="217"/>
      <c r="I102" s="217"/>
      <c r="J102" s="217"/>
      <c r="K102" s="217"/>
      <c r="L102" s="217"/>
      <c r="M102" s="217"/>
      <c r="N102" s="217"/>
      <c r="O102" s="217"/>
      <c r="P102" s="217"/>
      <c r="Q102" s="217"/>
      <c r="R102" s="879">
        <f t="shared" si="28"/>
        <v>0</v>
      </c>
      <c r="S102" s="217"/>
      <c r="T102" s="217"/>
      <c r="U102" s="213"/>
    </row>
    <row r="103" spans="1:21" s="214" customFormat="1">
      <c r="A103" s="222" t="s">
        <v>35</v>
      </c>
      <c r="B103" s="216">
        <f t="shared" si="29"/>
        <v>0</v>
      </c>
      <c r="C103" s="217"/>
      <c r="D103" s="217"/>
      <c r="E103" s="217"/>
      <c r="F103" s="217"/>
      <c r="G103" s="217"/>
      <c r="H103" s="217"/>
      <c r="I103" s="217"/>
      <c r="J103" s="217"/>
      <c r="K103" s="217"/>
      <c r="L103" s="217"/>
      <c r="M103" s="217"/>
      <c r="N103" s="217"/>
      <c r="O103" s="217"/>
      <c r="P103" s="217"/>
      <c r="Q103" s="217"/>
      <c r="R103" s="879">
        <f t="shared" si="28"/>
        <v>0</v>
      </c>
      <c r="S103" s="217"/>
      <c r="T103" s="217"/>
      <c r="U103" s="213"/>
    </row>
    <row r="104" spans="1:21" s="214" customFormat="1">
      <c r="A104" s="219" t="s">
        <v>837</v>
      </c>
      <c r="B104" s="216">
        <f>SUM(C104:D104)</f>
        <v>13720167</v>
      </c>
      <c r="C104" s="216">
        <f>SUM(C99:C103)</f>
        <v>13720167</v>
      </c>
      <c r="D104" s="216">
        <f t="shared" ref="D104:T104" si="30">SUM(D99:D103)</f>
        <v>0</v>
      </c>
      <c r="E104" s="216">
        <f t="shared" si="30"/>
        <v>3206771</v>
      </c>
      <c r="F104" s="216">
        <f t="shared" si="30"/>
        <v>0</v>
      </c>
      <c r="G104" s="216">
        <f t="shared" si="30"/>
        <v>10513396</v>
      </c>
      <c r="H104" s="216">
        <f t="shared" si="30"/>
        <v>0</v>
      </c>
      <c r="I104" s="216">
        <f t="shared" si="30"/>
        <v>0</v>
      </c>
      <c r="J104" s="216">
        <f t="shared" si="30"/>
        <v>0</v>
      </c>
      <c r="K104" s="216">
        <f t="shared" si="30"/>
        <v>0</v>
      </c>
      <c r="L104" s="216">
        <f t="shared" si="30"/>
        <v>0</v>
      </c>
      <c r="M104" s="216">
        <f t="shared" si="30"/>
        <v>0</v>
      </c>
      <c r="N104" s="216">
        <f t="shared" si="30"/>
        <v>0</v>
      </c>
      <c r="O104" s="216">
        <f t="shared" si="30"/>
        <v>0</v>
      </c>
      <c r="P104" s="216">
        <f t="shared" si="30"/>
        <v>0</v>
      </c>
      <c r="Q104" s="216">
        <f t="shared" si="30"/>
        <v>0</v>
      </c>
      <c r="R104" s="534">
        <f t="shared" si="30"/>
        <v>13720167</v>
      </c>
      <c r="S104" s="220">
        <f t="shared" si="30"/>
        <v>13720167</v>
      </c>
      <c r="T104" s="220">
        <f t="shared" si="30"/>
        <v>0</v>
      </c>
      <c r="U104" s="213"/>
    </row>
    <row r="105" spans="1:21" s="214" customFormat="1">
      <c r="A105" s="219" t="s">
        <v>838</v>
      </c>
      <c r="B105" s="220">
        <f>SUM(C105:D105)</f>
        <v>124455933</v>
      </c>
      <c r="C105" s="220">
        <f t="shared" ref="C105:R105" si="31">SUM(C97+C104)</f>
        <v>124455933</v>
      </c>
      <c r="D105" s="220">
        <f t="shared" si="31"/>
        <v>0</v>
      </c>
      <c r="E105" s="220">
        <f t="shared" si="31"/>
        <v>46864089</v>
      </c>
      <c r="F105" s="220">
        <f t="shared" si="31"/>
        <v>66300000</v>
      </c>
      <c r="G105" s="220">
        <f t="shared" si="31"/>
        <v>10513396</v>
      </c>
      <c r="H105" s="220">
        <f t="shared" si="31"/>
        <v>778448</v>
      </c>
      <c r="I105" s="220">
        <f t="shared" si="31"/>
        <v>0</v>
      </c>
      <c r="J105" s="220">
        <f t="shared" si="31"/>
        <v>0</v>
      </c>
      <c r="K105" s="220">
        <f t="shared" si="31"/>
        <v>0</v>
      </c>
      <c r="L105" s="220">
        <f t="shared" si="31"/>
        <v>0</v>
      </c>
      <c r="M105" s="220">
        <f t="shared" si="31"/>
        <v>0</v>
      </c>
      <c r="N105" s="220">
        <f t="shared" si="31"/>
        <v>0</v>
      </c>
      <c r="O105" s="220">
        <f t="shared" si="31"/>
        <v>0</v>
      </c>
      <c r="P105" s="220">
        <f t="shared" si="31"/>
        <v>0</v>
      </c>
      <c r="Q105" s="220">
        <f t="shared" si="31"/>
        <v>0</v>
      </c>
      <c r="R105" s="534">
        <f t="shared" si="31"/>
        <v>124455933</v>
      </c>
      <c r="S105" s="220">
        <f>S97+S104</f>
        <v>106037953</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106037953</v>
      </c>
      <c r="T107" s="234">
        <f>T105+T106</f>
        <v>0</v>
      </c>
    </row>
    <row r="108" spans="1:21" s="300" customFormat="1">
      <c r="A108" s="233" t="s">
        <v>944</v>
      </c>
      <c r="B108" s="228"/>
      <c r="C108" s="228"/>
      <c r="D108" s="228"/>
      <c r="E108" s="464">
        <f>Application!AO650</f>
        <v>46864089</v>
      </c>
      <c r="F108" s="464">
        <f>Application!AO637</f>
        <v>66300000</v>
      </c>
      <c r="G108" s="464">
        <f>Application!AO638</f>
        <v>10513396</v>
      </c>
      <c r="H108" s="464">
        <f>Application!AO639</f>
        <v>778448</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572" t="s">
        <v>1096</v>
      </c>
      <c r="E122" s="2572"/>
      <c r="F122" s="2572"/>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75" t="s">
        <v>1439</v>
      </c>
      <c r="E123" s="2576"/>
      <c r="F123" s="2576"/>
      <c r="G123" s="2576"/>
      <c r="H123" s="2576"/>
      <c r="I123" s="2576"/>
      <c r="J123" s="2576"/>
      <c r="K123" s="2576"/>
      <c r="L123" s="2576"/>
      <c r="M123" s="2576"/>
      <c r="N123" s="2576"/>
      <c r="O123" s="2576"/>
      <c r="P123" s="2576"/>
      <c r="Q123" s="2576"/>
      <c r="R123" s="2576"/>
      <c r="S123" s="2576"/>
      <c r="T123" s="514"/>
      <c r="U123" s="516"/>
    </row>
    <row r="124" spans="1:21" ht="12.75">
      <c r="A124" s="513" t="s">
        <v>1098</v>
      </c>
      <c r="B124" s="523"/>
      <c r="C124" s="513"/>
      <c r="D124" s="2576"/>
      <c r="E124" s="2576"/>
      <c r="F124" s="2576"/>
      <c r="G124" s="2576"/>
      <c r="H124" s="2576"/>
      <c r="I124" s="2576"/>
      <c r="J124" s="2576"/>
      <c r="K124" s="2576"/>
      <c r="L124" s="2576"/>
      <c r="M124" s="2576"/>
      <c r="N124" s="2576"/>
      <c r="O124" s="2576"/>
      <c r="P124" s="2576"/>
      <c r="Q124" s="2576"/>
      <c r="R124" s="2576"/>
      <c r="S124" s="2576"/>
      <c r="T124" s="514"/>
      <c r="U124" s="516"/>
    </row>
    <row r="125" spans="1:21" ht="12.75">
      <c r="A125" s="513" t="s">
        <v>1099</v>
      </c>
      <c r="B125" s="523"/>
      <c r="C125" s="513"/>
      <c r="D125" s="2576"/>
      <c r="E125" s="2576"/>
      <c r="F125" s="2576"/>
      <c r="G125" s="2576"/>
      <c r="H125" s="2576"/>
      <c r="I125" s="2576"/>
      <c r="J125" s="2576"/>
      <c r="K125" s="2576"/>
      <c r="L125" s="2576"/>
      <c r="M125" s="2576"/>
      <c r="N125" s="2576"/>
      <c r="O125" s="2576"/>
      <c r="P125" s="2576"/>
      <c r="Q125" s="2576"/>
      <c r="R125" s="2576"/>
      <c r="S125" s="2576"/>
      <c r="T125" s="514"/>
      <c r="U125" s="516"/>
    </row>
    <row r="126" spans="1:21" ht="12.7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69"/>
      <c r="E128" s="2569"/>
      <c r="F128" s="2569"/>
      <c r="G128" s="2569"/>
      <c r="H128" s="2569"/>
      <c r="I128" s="513"/>
      <c r="J128" s="2570"/>
      <c r="K128" s="2570"/>
      <c r="L128" s="513"/>
      <c r="M128" s="513"/>
      <c r="N128" s="513"/>
      <c r="O128" s="513"/>
      <c r="P128" s="513"/>
      <c r="Q128" s="513"/>
      <c r="R128" s="513"/>
      <c r="S128" s="513"/>
      <c r="T128" s="514"/>
      <c r="U128" s="516"/>
    </row>
    <row r="129" spans="1:21" ht="12.75">
      <c r="A129" s="513" t="s">
        <v>308</v>
      </c>
      <c r="B129" s="523"/>
      <c r="C129" s="513"/>
      <c r="D129" s="2571" t="s">
        <v>1103</v>
      </c>
      <c r="E129" s="2571"/>
      <c r="F129" s="2571"/>
      <c r="G129" s="2571"/>
      <c r="H129" s="2571"/>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0</v>
      </c>
      <c r="C131" s="513"/>
      <c r="D131" s="2552"/>
      <c r="E131" s="2552"/>
      <c r="F131" s="2552"/>
      <c r="G131" s="2552"/>
      <c r="H131" s="2552"/>
      <c r="I131" s="513"/>
      <c r="J131" s="2552"/>
      <c r="K131" s="2552"/>
      <c r="L131" s="2552"/>
      <c r="M131" s="2552"/>
      <c r="N131" s="513"/>
      <c r="O131" s="513"/>
      <c r="P131" s="513"/>
      <c r="Q131" s="513"/>
      <c r="R131" s="513"/>
      <c r="S131" s="513"/>
      <c r="T131" s="514"/>
      <c r="U131" s="516"/>
    </row>
    <row r="132" spans="1:21" ht="12" customHeight="1">
      <c r="A132" s="527"/>
      <c r="B132" s="513"/>
      <c r="C132" s="513"/>
      <c r="D132" s="2577" t="s">
        <v>1106</v>
      </c>
      <c r="E132" s="2577"/>
      <c r="F132" s="2577"/>
      <c r="G132" s="2577"/>
      <c r="H132" s="2577"/>
      <c r="I132" s="513"/>
      <c r="J132" s="2577" t="s">
        <v>1107</v>
      </c>
      <c r="K132" s="2577"/>
      <c r="L132" s="2577"/>
      <c r="M132" s="2577"/>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8"/>
      <c r="B138" s="2579"/>
      <c r="C138" s="2579"/>
      <c r="D138" s="518"/>
      <c r="E138" s="2570"/>
      <c r="F138" s="2570"/>
      <c r="G138" s="513"/>
      <c r="H138" s="513"/>
      <c r="I138" s="513"/>
      <c r="J138" s="513"/>
      <c r="K138" s="513"/>
      <c r="L138" s="513"/>
      <c r="M138" s="513"/>
      <c r="N138" s="513"/>
      <c r="O138" s="513"/>
      <c r="P138" s="513"/>
      <c r="Q138" s="513"/>
      <c r="R138" s="513"/>
      <c r="S138" s="513"/>
      <c r="T138" s="520"/>
      <c r="U138" s="521"/>
    </row>
    <row r="139" spans="1:21" ht="12.75">
      <c r="A139" s="2573" t="s">
        <v>1110</v>
      </c>
      <c r="B139" s="2574"/>
      <c r="C139" s="2574"/>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0" priority="248" stopIfTrue="1">
      <formula>T9&gt;C9</formula>
    </cfRule>
  </conditionalFormatting>
  <conditionalFormatting sqref="S10">
    <cfRule type="expression" dxfId="139" priority="247" stopIfTrue="1">
      <formula>(S10+T10)&gt;C10</formula>
    </cfRule>
  </conditionalFormatting>
  <conditionalFormatting sqref="R8">
    <cfRule type="cellIs" dxfId="138" priority="236" stopIfTrue="1" operator="notEqual">
      <formula>$B8</formula>
    </cfRule>
    <cfRule type="cellIs" priority="239" stopIfTrue="1" operator="notEqual">
      <formula>$B8</formula>
    </cfRule>
  </conditionalFormatting>
  <conditionalFormatting sqref="R4:R7 R56:R61 R45:R53 R83:R95 R99:R103">
    <cfRule type="cellIs" dxfId="137" priority="238" stopIfTrue="1" operator="notEqual">
      <formula>$B4</formula>
    </cfRule>
  </conditionalFormatting>
  <conditionalFormatting sqref="R9:R10">
    <cfRule type="cellIs" dxfId="136" priority="237" stopIfTrue="1" operator="notEqual">
      <formula>$B9</formula>
    </cfRule>
  </conditionalFormatting>
  <conditionalFormatting sqref="R11:R12">
    <cfRule type="cellIs" dxfId="135" priority="234" stopIfTrue="1" operator="notEqual">
      <formula>$B11</formula>
    </cfRule>
    <cfRule type="cellIs" priority="235" stopIfTrue="1" operator="notEqual">
      <formula>$B11</formula>
    </cfRule>
  </conditionalFormatting>
  <conditionalFormatting sqref="R13:R15">
    <cfRule type="cellIs" dxfId="134" priority="233" stopIfTrue="1" operator="notEqual">
      <formula>$B13</formula>
    </cfRule>
  </conditionalFormatting>
  <conditionalFormatting sqref="R26">
    <cfRule type="cellIs" dxfId="133" priority="231" stopIfTrue="1" operator="notEqual">
      <formula>$B26</formula>
    </cfRule>
    <cfRule type="cellIs" priority="232" stopIfTrue="1" operator="notEqual">
      <formula>$B26</formula>
    </cfRule>
  </conditionalFormatting>
  <conditionalFormatting sqref="R17:R25">
    <cfRule type="cellIs" dxfId="132" priority="230" stopIfTrue="1" operator="notEqual">
      <formula>$B17</formula>
    </cfRule>
  </conditionalFormatting>
  <conditionalFormatting sqref="R27">
    <cfRule type="cellIs" dxfId="131" priority="229" stopIfTrue="1" operator="notEqual">
      <formula>$B27</formula>
    </cfRule>
  </conditionalFormatting>
  <conditionalFormatting sqref="R38">
    <cfRule type="cellIs" dxfId="130" priority="227" stopIfTrue="1" operator="notEqual">
      <formula>$B38</formula>
    </cfRule>
    <cfRule type="cellIs" priority="228" stopIfTrue="1" operator="notEqual">
      <formula>$B38</formula>
    </cfRule>
  </conditionalFormatting>
  <conditionalFormatting sqref="R29:R37">
    <cfRule type="cellIs" dxfId="129" priority="226" stopIfTrue="1" operator="notEqual">
      <formula>$B29</formula>
    </cfRule>
  </conditionalFormatting>
  <conditionalFormatting sqref="R42">
    <cfRule type="cellIs" dxfId="128" priority="224" stopIfTrue="1" operator="notEqual">
      <formula>$B42</formula>
    </cfRule>
    <cfRule type="cellIs" priority="225" stopIfTrue="1" operator="notEqual">
      <formula>$B42</formula>
    </cfRule>
  </conditionalFormatting>
  <conditionalFormatting sqref="R40:R41">
    <cfRule type="cellIs" dxfId="127" priority="223" stopIfTrue="1" operator="notEqual">
      <formula>$B40</formula>
    </cfRule>
  </conditionalFormatting>
  <conditionalFormatting sqref="R43">
    <cfRule type="cellIs" dxfId="126" priority="222" stopIfTrue="1" operator="notEqual">
      <formula>$B43</formula>
    </cfRule>
  </conditionalFormatting>
  <conditionalFormatting sqref="R54">
    <cfRule type="cellIs" dxfId="125" priority="220" stopIfTrue="1" operator="notEqual">
      <formula>$B54</formula>
    </cfRule>
    <cfRule type="cellIs" priority="221" stopIfTrue="1" operator="notEqual">
      <formula>$B54</formula>
    </cfRule>
  </conditionalFormatting>
  <conditionalFormatting sqref="R62:R63">
    <cfRule type="cellIs" dxfId="124" priority="217" stopIfTrue="1" operator="notEqual">
      <formula>$B62</formula>
    </cfRule>
    <cfRule type="cellIs" priority="218" stopIfTrue="1" operator="notEqual">
      <formula>$B62</formula>
    </cfRule>
  </conditionalFormatting>
  <conditionalFormatting sqref="R70">
    <cfRule type="cellIs" dxfId="123" priority="214" stopIfTrue="1" operator="notEqual">
      <formula>$B70</formula>
    </cfRule>
    <cfRule type="cellIs" priority="215" stopIfTrue="1" operator="notEqual">
      <formula>$B70</formula>
    </cfRule>
  </conditionalFormatting>
  <conditionalFormatting sqref="R65:R69">
    <cfRule type="cellIs" dxfId="122" priority="213" stopIfTrue="1" operator="notEqual">
      <formula>$B65</formula>
    </cfRule>
  </conditionalFormatting>
  <conditionalFormatting sqref="R77">
    <cfRule type="cellIs" dxfId="121" priority="211" stopIfTrue="1" operator="notEqual">
      <formula>$B77</formula>
    </cfRule>
    <cfRule type="cellIs" priority="212" stopIfTrue="1" operator="notEqual">
      <formula>$B77</formula>
    </cfRule>
  </conditionalFormatting>
  <conditionalFormatting sqref="R96">
    <cfRule type="cellIs" dxfId="120" priority="209" stopIfTrue="1" operator="notEqual">
      <formula>$B96</formula>
    </cfRule>
    <cfRule type="cellIs" priority="210" stopIfTrue="1" operator="notEqual">
      <formula>$B96</formula>
    </cfRule>
  </conditionalFormatting>
  <conditionalFormatting sqref="R72:R76">
    <cfRule type="cellIs" dxfId="119" priority="208" stopIfTrue="1" operator="notEqual">
      <formula>$B72</formula>
    </cfRule>
  </conditionalFormatting>
  <conditionalFormatting sqref="R79:R80">
    <cfRule type="cellIs" dxfId="118" priority="207" stopIfTrue="1" operator="notEqual">
      <formula>$B79</formula>
    </cfRule>
  </conditionalFormatting>
  <conditionalFormatting sqref="R104:R105">
    <cfRule type="cellIs" dxfId="117" priority="204" stopIfTrue="1" operator="notEqual">
      <formula>$B104</formula>
    </cfRule>
    <cfRule type="cellIs" priority="205" stopIfTrue="1" operator="notEqual">
      <formula>$B104</formula>
    </cfRule>
  </conditionalFormatting>
  <conditionalFormatting sqref="E105:Q105">
    <cfRule type="cellIs" dxfId="116" priority="202" stopIfTrue="1" operator="notEqual">
      <formula>E$108</formula>
    </cfRule>
  </conditionalFormatting>
  <conditionalFormatting sqref="S13">
    <cfRule type="expression" dxfId="115" priority="199" stopIfTrue="1">
      <formula>(S13+T13)&gt;C13</formula>
    </cfRule>
  </conditionalFormatting>
  <conditionalFormatting sqref="S14">
    <cfRule type="expression" dxfId="114" priority="196" stopIfTrue="1">
      <formula>(S14+T14)&gt;C14</formula>
    </cfRule>
  </conditionalFormatting>
  <conditionalFormatting sqref="S17">
    <cfRule type="expression" dxfId="113" priority="195" stopIfTrue="1">
      <formula>(S17+T17)&gt;C17</formula>
    </cfRule>
  </conditionalFormatting>
  <conditionalFormatting sqref="S18">
    <cfRule type="expression" dxfId="112" priority="187" stopIfTrue="1">
      <formula>(S18+T18)&gt;C18</formula>
    </cfRule>
  </conditionalFormatting>
  <conditionalFormatting sqref="S19">
    <cfRule type="expression" dxfId="111" priority="185" stopIfTrue="1">
      <formula>(S19+T19)&gt;C19</formula>
    </cfRule>
  </conditionalFormatting>
  <conditionalFormatting sqref="S20">
    <cfRule type="expression" dxfId="110" priority="184" stopIfTrue="1">
      <formula>(S20+T20)&gt;C20</formula>
    </cfRule>
  </conditionalFormatting>
  <conditionalFormatting sqref="S21">
    <cfRule type="expression" dxfId="109" priority="183" stopIfTrue="1">
      <formula>(S21+T21)&gt;C21</formula>
    </cfRule>
  </conditionalFormatting>
  <conditionalFormatting sqref="S22">
    <cfRule type="expression" dxfId="108" priority="182" stopIfTrue="1">
      <formula>(S22+T22)&gt;C22</formula>
    </cfRule>
  </conditionalFormatting>
  <conditionalFormatting sqref="S23:S24">
    <cfRule type="expression" dxfId="107" priority="181" stopIfTrue="1">
      <formula>(S23+T23)&gt;C23</formula>
    </cfRule>
  </conditionalFormatting>
  <conditionalFormatting sqref="S25">
    <cfRule type="expression" dxfId="106" priority="180" stopIfTrue="1">
      <formula>(S25+T25)&gt;C25</formula>
    </cfRule>
  </conditionalFormatting>
  <conditionalFormatting sqref="S27">
    <cfRule type="expression" dxfId="105" priority="173" stopIfTrue="1">
      <formula>(S27+T27)&gt;C27</formula>
    </cfRule>
  </conditionalFormatting>
  <conditionalFormatting sqref="S29:S37">
    <cfRule type="expression" dxfId="104" priority="171" stopIfTrue="1">
      <formula>(S29+T29)&gt;C29</formula>
    </cfRule>
  </conditionalFormatting>
  <conditionalFormatting sqref="S40:S41">
    <cfRule type="expression" dxfId="103" priority="155" stopIfTrue="1">
      <formula>(S40+T40)&gt;C40</formula>
    </cfRule>
  </conditionalFormatting>
  <conditionalFormatting sqref="S45">
    <cfRule type="expression" dxfId="102" priority="149" stopIfTrue="1">
      <formula>(S45+T45)&gt;C45</formula>
    </cfRule>
  </conditionalFormatting>
  <conditionalFormatting sqref="S46">
    <cfRule type="expression" dxfId="101" priority="144" stopIfTrue="1">
      <formula>(S46+T46)&gt;C46</formula>
    </cfRule>
  </conditionalFormatting>
  <conditionalFormatting sqref="S47">
    <cfRule type="expression" dxfId="100" priority="143" stopIfTrue="1">
      <formula>(S47+T47)&gt;C47</formula>
    </cfRule>
  </conditionalFormatting>
  <conditionalFormatting sqref="S48">
    <cfRule type="expression" dxfId="99" priority="142" stopIfTrue="1">
      <formula>(S48+T48)&gt;C48</formula>
    </cfRule>
  </conditionalFormatting>
  <conditionalFormatting sqref="S49">
    <cfRule type="expression" dxfId="98" priority="141" stopIfTrue="1">
      <formula>(S49+T49)&gt;C49</formula>
    </cfRule>
  </conditionalFormatting>
  <conditionalFormatting sqref="S50">
    <cfRule type="expression" dxfId="97" priority="140" stopIfTrue="1">
      <formula>(S50+T50)&gt;C50</formula>
    </cfRule>
  </conditionalFormatting>
  <conditionalFormatting sqref="S51">
    <cfRule type="expression" dxfId="96" priority="139" stopIfTrue="1">
      <formula>(S51+T51)&gt;C51</formula>
    </cfRule>
  </conditionalFormatting>
  <conditionalFormatting sqref="S52">
    <cfRule type="expression" dxfId="95" priority="138" stopIfTrue="1">
      <formula>(S52+T52)&gt;C52</formula>
    </cfRule>
  </conditionalFormatting>
  <conditionalFormatting sqref="S53">
    <cfRule type="expression" dxfId="94" priority="136" stopIfTrue="1">
      <formula>(S53+T53)&gt;C53</formula>
    </cfRule>
  </conditionalFormatting>
  <conditionalFormatting sqref="S65:S68">
    <cfRule type="expression" dxfId="93" priority="126" stopIfTrue="1">
      <formula>(S65+T65)&gt;C65</formula>
    </cfRule>
  </conditionalFormatting>
  <conditionalFormatting sqref="S69">
    <cfRule type="expression" dxfId="92" priority="125" stopIfTrue="1">
      <formula>(S69+T69)&gt;C69</formula>
    </cfRule>
  </conditionalFormatting>
  <conditionalFormatting sqref="S79">
    <cfRule type="expression" dxfId="91" priority="122" stopIfTrue="1">
      <formula>(S79+T79)&gt;C79</formula>
    </cfRule>
  </conditionalFormatting>
  <conditionalFormatting sqref="S84">
    <cfRule type="expression" dxfId="90" priority="118" stopIfTrue="1">
      <formula>(S84+T84)&gt;C84</formula>
    </cfRule>
  </conditionalFormatting>
  <conditionalFormatting sqref="S85">
    <cfRule type="expression" dxfId="89" priority="117" stopIfTrue="1">
      <formula>(S85+T85)&gt;C85</formula>
    </cfRule>
  </conditionalFormatting>
  <conditionalFormatting sqref="S86">
    <cfRule type="expression" dxfId="88" priority="116" stopIfTrue="1">
      <formula>(S86+T86)&gt;C86</formula>
    </cfRule>
  </conditionalFormatting>
  <conditionalFormatting sqref="S87">
    <cfRule type="expression" dxfId="87" priority="115" stopIfTrue="1">
      <formula>(S87+T87)&gt;C87</formula>
    </cfRule>
  </conditionalFormatting>
  <conditionalFormatting sqref="S89">
    <cfRule type="expression" dxfId="86" priority="110" stopIfTrue="1">
      <formula>(S89+T89)&gt;C89</formula>
    </cfRule>
  </conditionalFormatting>
  <conditionalFormatting sqref="S90">
    <cfRule type="expression" dxfId="85" priority="109" stopIfTrue="1">
      <formula>(S90+T90)&gt;C90</formula>
    </cfRule>
  </conditionalFormatting>
  <conditionalFormatting sqref="S91">
    <cfRule type="expression" dxfId="84" priority="108" stopIfTrue="1">
      <formula>(S91+T91)&gt;C91</formula>
    </cfRule>
  </conditionalFormatting>
  <conditionalFormatting sqref="S92">
    <cfRule type="expression" dxfId="83" priority="107" stopIfTrue="1">
      <formula>(S92+T92)&gt;C92</formula>
    </cfRule>
  </conditionalFormatting>
  <conditionalFormatting sqref="S93">
    <cfRule type="expression" dxfId="82" priority="106" stopIfTrue="1">
      <formula>(S93+T93)&gt;C93</formula>
    </cfRule>
  </conditionalFormatting>
  <conditionalFormatting sqref="S94">
    <cfRule type="expression" dxfId="81" priority="105" stopIfTrue="1">
      <formula>(S94+T94)&gt;C94</formula>
    </cfRule>
  </conditionalFormatting>
  <conditionalFormatting sqref="S95">
    <cfRule type="expression" dxfId="80" priority="104" stopIfTrue="1">
      <formula>(S95+T95)&gt;C95</formula>
    </cfRule>
  </conditionalFormatting>
  <conditionalFormatting sqref="S99">
    <cfRule type="expression" dxfId="79" priority="92" stopIfTrue="1">
      <formula>(S99+T99)&gt;C99</formula>
    </cfRule>
  </conditionalFormatting>
  <conditionalFormatting sqref="S100">
    <cfRule type="expression" dxfId="78" priority="91" stopIfTrue="1">
      <formula>(S100+T100)&gt;C100</formula>
    </cfRule>
  </conditionalFormatting>
  <conditionalFormatting sqref="S101">
    <cfRule type="expression" dxfId="77" priority="89" stopIfTrue="1">
      <formula>(S101+T101)&gt;C101</formula>
    </cfRule>
  </conditionalFormatting>
  <conditionalFormatting sqref="S102">
    <cfRule type="expression" dxfId="76" priority="88" stopIfTrue="1">
      <formula>(S102+T102)&gt;C102</formula>
    </cfRule>
  </conditionalFormatting>
  <conditionalFormatting sqref="S103">
    <cfRule type="expression" dxfId="75" priority="87" stopIfTrue="1">
      <formula>(S103+T103)&gt;C103</formula>
    </cfRule>
  </conditionalFormatting>
  <conditionalFormatting sqref="C10">
    <cfRule type="expression" dxfId="74" priority="79">
      <formula>"(S10+T10)&gt;C10 "</formula>
    </cfRule>
  </conditionalFormatting>
  <conditionalFormatting sqref="T10">
    <cfRule type="expression" dxfId="73" priority="77" stopIfTrue="1">
      <formula>(S10+T10)&gt;C10</formula>
    </cfRule>
  </conditionalFormatting>
  <conditionalFormatting sqref="T13">
    <cfRule type="expression" dxfId="72" priority="75" stopIfTrue="1">
      <formula>(S13+T13)&gt;C13</formula>
    </cfRule>
  </conditionalFormatting>
  <conditionalFormatting sqref="T14">
    <cfRule type="expression" dxfId="71" priority="74" stopIfTrue="1">
      <formula>(S14+T14)&gt;C14</formula>
    </cfRule>
  </conditionalFormatting>
  <conditionalFormatting sqref="T17">
    <cfRule type="expression" dxfId="70" priority="73" stopIfTrue="1">
      <formula>(S17+T17)&gt;C17</formula>
    </cfRule>
  </conditionalFormatting>
  <conditionalFormatting sqref="T18">
    <cfRule type="expression" dxfId="69" priority="56" stopIfTrue="1">
      <formula>(S18+T18)&gt;C18</formula>
    </cfRule>
  </conditionalFormatting>
  <conditionalFormatting sqref="T19">
    <cfRule type="expression" dxfId="68" priority="55" stopIfTrue="1">
      <formula>(S19+T19)&gt;C19</formula>
    </cfRule>
  </conditionalFormatting>
  <conditionalFormatting sqref="T20">
    <cfRule type="expression" dxfId="67" priority="54" stopIfTrue="1">
      <formula>(S20+T20)&gt;C20</formula>
    </cfRule>
  </conditionalFormatting>
  <conditionalFormatting sqref="T21">
    <cfRule type="expression" dxfId="66" priority="53" stopIfTrue="1">
      <formula>(S21+T21)&gt;C21</formula>
    </cfRule>
  </conditionalFormatting>
  <conditionalFormatting sqref="T22">
    <cfRule type="expression" dxfId="65" priority="52" stopIfTrue="1">
      <formula>(S22+T22)&gt;C22</formula>
    </cfRule>
  </conditionalFormatting>
  <conditionalFormatting sqref="T23:T24">
    <cfRule type="expression" dxfId="64" priority="51" stopIfTrue="1">
      <formula>(S23+T23)&gt;C23</formula>
    </cfRule>
  </conditionalFormatting>
  <conditionalFormatting sqref="T25">
    <cfRule type="expression" dxfId="63" priority="50" stopIfTrue="1">
      <formula>(S25+T25)&gt;C25</formula>
    </cfRule>
  </conditionalFormatting>
  <conditionalFormatting sqref="T27">
    <cfRule type="expression" dxfId="62" priority="48" stopIfTrue="1">
      <formula>(S27+T27)&gt;C27</formula>
    </cfRule>
  </conditionalFormatting>
  <conditionalFormatting sqref="T29">
    <cfRule type="expression" dxfId="61" priority="47" stopIfTrue="1">
      <formula>(S29+T29)&gt;C29</formula>
    </cfRule>
  </conditionalFormatting>
  <conditionalFormatting sqref="T30">
    <cfRule type="expression" dxfId="60" priority="45" stopIfTrue="1">
      <formula>(S30+T30)&gt;C30</formula>
    </cfRule>
  </conditionalFormatting>
  <conditionalFormatting sqref="T31">
    <cfRule type="expression" dxfId="59" priority="44" stopIfTrue="1">
      <formula>(S31+T31)&gt;C31</formula>
    </cfRule>
  </conditionalFormatting>
  <conditionalFormatting sqref="T32">
    <cfRule type="expression" dxfId="58" priority="43" stopIfTrue="1">
      <formula>(S32+T32)&gt;C32</formula>
    </cfRule>
  </conditionalFormatting>
  <conditionalFormatting sqref="T33">
    <cfRule type="expression" dxfId="57" priority="42" stopIfTrue="1">
      <formula>(S33+T33)&gt;C33</formula>
    </cfRule>
  </conditionalFormatting>
  <conditionalFormatting sqref="T34">
    <cfRule type="expression" dxfId="56" priority="41" stopIfTrue="1">
      <formula>(S34+T34)&gt;C34</formula>
    </cfRule>
  </conditionalFormatting>
  <conditionalFormatting sqref="T35:T36">
    <cfRule type="expression" dxfId="55" priority="40" stopIfTrue="1">
      <formula>(S35+T35)&gt;C35</formula>
    </cfRule>
  </conditionalFormatting>
  <conditionalFormatting sqref="T37">
    <cfRule type="expression" dxfId="54" priority="39" stopIfTrue="1">
      <formula>(S37+T37)&gt;C37</formula>
    </cfRule>
  </conditionalFormatting>
  <conditionalFormatting sqref="T40">
    <cfRule type="expression" dxfId="53" priority="38" stopIfTrue="1">
      <formula>(S40+T40)&gt;C40</formula>
    </cfRule>
  </conditionalFormatting>
  <conditionalFormatting sqref="T41">
    <cfRule type="expression" dxfId="52" priority="37" stopIfTrue="1">
      <formula>(S41+T41)&gt;C41</formula>
    </cfRule>
  </conditionalFormatting>
  <conditionalFormatting sqref="T43">
    <cfRule type="expression" dxfId="51" priority="36" stopIfTrue="1">
      <formula>(S43+T43)&gt;C43</formula>
    </cfRule>
  </conditionalFormatting>
  <conditionalFormatting sqref="T45">
    <cfRule type="expression" dxfId="50" priority="35" stopIfTrue="1">
      <formula>(S45+T45)&gt;C45</formula>
    </cfRule>
  </conditionalFormatting>
  <conditionalFormatting sqref="T46">
    <cfRule type="expression" dxfId="49" priority="34" stopIfTrue="1">
      <formula>(S46+T46)&gt;C46</formula>
    </cfRule>
  </conditionalFormatting>
  <conditionalFormatting sqref="T47">
    <cfRule type="expression" dxfId="48" priority="33" stopIfTrue="1">
      <formula>(S47+T47)&gt;C47</formula>
    </cfRule>
  </conditionalFormatting>
  <conditionalFormatting sqref="T48">
    <cfRule type="expression" dxfId="47" priority="32" stopIfTrue="1">
      <formula>(S48+T48)&gt;C48</formula>
    </cfRule>
  </conditionalFormatting>
  <conditionalFormatting sqref="T49">
    <cfRule type="expression" dxfId="46" priority="31" stopIfTrue="1">
      <formula>(S49+T49)&gt;C49</formula>
    </cfRule>
  </conditionalFormatting>
  <conditionalFormatting sqref="T50">
    <cfRule type="expression" dxfId="45" priority="30" stopIfTrue="1">
      <formula>(S50+T50)&gt;C50</formula>
    </cfRule>
  </conditionalFormatting>
  <conditionalFormatting sqref="T51">
    <cfRule type="expression" dxfId="44" priority="29" stopIfTrue="1">
      <formula>(S51+T51)&gt;C51</formula>
    </cfRule>
  </conditionalFormatting>
  <conditionalFormatting sqref="T52">
    <cfRule type="expression" dxfId="43" priority="28" stopIfTrue="1">
      <formula>(S52+T52)&gt;C52</formula>
    </cfRule>
  </conditionalFormatting>
  <conditionalFormatting sqref="T53">
    <cfRule type="expression" dxfId="42" priority="26" stopIfTrue="1">
      <formula>(S53+T53)&gt;C53</formula>
    </cfRule>
  </conditionalFormatting>
  <conditionalFormatting sqref="T65:T68">
    <cfRule type="expression" dxfId="41" priority="25" stopIfTrue="1">
      <formula>(S65+T65)&gt;C65</formula>
    </cfRule>
  </conditionalFormatting>
  <conditionalFormatting sqref="T69">
    <cfRule type="expression" dxfId="40" priority="24" stopIfTrue="1">
      <formula>(S69+T69)&gt;C69</formula>
    </cfRule>
  </conditionalFormatting>
  <conditionalFormatting sqref="T79">
    <cfRule type="expression" dxfId="39" priority="23" stopIfTrue="1">
      <formula>(S79+T79)&gt;C79</formula>
    </cfRule>
  </conditionalFormatting>
  <conditionalFormatting sqref="T80">
    <cfRule type="expression" dxfId="38" priority="22" stopIfTrue="1">
      <formula>(S80+T80)&gt;C80</formula>
    </cfRule>
  </conditionalFormatting>
  <conditionalFormatting sqref="T84">
    <cfRule type="expression" dxfId="37" priority="21" stopIfTrue="1">
      <formula>(S84+T84)&gt;C84</formula>
    </cfRule>
  </conditionalFormatting>
  <conditionalFormatting sqref="T85">
    <cfRule type="expression" dxfId="36" priority="20" stopIfTrue="1">
      <formula>(S85+T85)&gt;C85</formula>
    </cfRule>
  </conditionalFormatting>
  <conditionalFormatting sqref="T86">
    <cfRule type="expression" dxfId="35" priority="19" stopIfTrue="1">
      <formula>(S86+T86)&gt;C86</formula>
    </cfRule>
  </conditionalFormatting>
  <conditionalFormatting sqref="T87">
    <cfRule type="expression" dxfId="34" priority="18" stopIfTrue="1">
      <formula>(S87+T87)&gt;C87</formula>
    </cfRule>
  </conditionalFormatting>
  <conditionalFormatting sqref="T89">
    <cfRule type="expression" dxfId="33" priority="17" stopIfTrue="1">
      <formula>(S89+T89)&gt;C89</formula>
    </cfRule>
  </conditionalFormatting>
  <conditionalFormatting sqref="T90">
    <cfRule type="expression" dxfId="32" priority="16" stopIfTrue="1">
      <formula>(S90+T90)&gt;C90</formula>
    </cfRule>
  </conditionalFormatting>
  <conditionalFormatting sqref="T91">
    <cfRule type="expression" dxfId="31" priority="15" stopIfTrue="1">
      <formula>(S91+T91)&gt;C91</formula>
    </cfRule>
  </conditionalFormatting>
  <conditionalFormatting sqref="T92">
    <cfRule type="expression" dxfId="30" priority="14" stopIfTrue="1">
      <formula>(S92+T92)&gt;C92</formula>
    </cfRule>
  </conditionalFormatting>
  <conditionalFormatting sqref="T93">
    <cfRule type="expression" dxfId="29" priority="13" stopIfTrue="1">
      <formula>(S93+T93)&gt;C93</formula>
    </cfRule>
  </conditionalFormatting>
  <conditionalFormatting sqref="T94">
    <cfRule type="expression" dxfId="28" priority="12" stopIfTrue="1">
      <formula>(S94+T94)&gt;C94</formula>
    </cfRule>
  </conditionalFormatting>
  <conditionalFormatting sqref="T95">
    <cfRule type="expression" dxfId="27" priority="11" stopIfTrue="1">
      <formula>(S95+T95)&gt;C95</formula>
    </cfRule>
  </conditionalFormatting>
  <conditionalFormatting sqref="T99">
    <cfRule type="expression" dxfId="26" priority="8" stopIfTrue="1">
      <formula>(S99+T99)&gt;C99</formula>
    </cfRule>
  </conditionalFormatting>
  <conditionalFormatting sqref="T100">
    <cfRule type="expression" dxfId="25" priority="7" stopIfTrue="1">
      <formula>(S100+T100)&gt;C100</formula>
    </cfRule>
  </conditionalFormatting>
  <conditionalFormatting sqref="T101">
    <cfRule type="expression" dxfId="24" priority="5" stopIfTrue="1">
      <formula>(S101+T101)&gt;C101</formula>
    </cfRule>
  </conditionalFormatting>
  <conditionalFormatting sqref="T102">
    <cfRule type="expression" dxfId="23" priority="4" stopIfTrue="1">
      <formula>(S102+T102)&gt;C102</formula>
    </cfRule>
  </conditionalFormatting>
  <conditionalFormatting sqref="T103">
    <cfRule type="expression" dxfId="22" priority="3" stopIfTrue="1">
      <formula>(S103+T103)&gt;C103</formula>
    </cfRule>
  </conditionalFormatting>
  <conditionalFormatting sqref="S43">
    <cfRule type="expression" dxfId="21" priority="2" stopIfTrue="1">
      <formula>(S43+T43)&gt;C43</formula>
    </cfRule>
  </conditionalFormatting>
  <conditionalFormatting sqref="S80">
    <cfRule type="expression" dxfId="20" priority="1" stopIfTrue="1">
      <formula>(S80+T80)&gt;C80</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22" zoomScaleNormal="100" zoomScaleSheetLayoutView="100" workbookViewId="0">
      <selection activeCell="E107" sqref="E107"/>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6" t="s">
        <v>1442</v>
      </c>
      <c r="B1" s="2587"/>
      <c r="C1" s="2587"/>
      <c r="D1" s="2587"/>
      <c r="E1" s="2587"/>
      <c r="F1" s="2587"/>
      <c r="G1" s="2587"/>
      <c r="H1" s="2587"/>
      <c r="I1" s="2587"/>
      <c r="J1" s="2588"/>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13250000</v>
      </c>
      <c r="C4" s="566"/>
      <c r="D4" s="566"/>
      <c r="E4" s="567"/>
      <c r="F4" s="567"/>
      <c r="G4" s="567"/>
      <c r="H4" s="567"/>
      <c r="I4" s="567"/>
      <c r="J4" s="567"/>
      <c r="K4" s="563"/>
    </row>
    <row r="5" spans="1:11" s="564" customFormat="1">
      <c r="A5" s="568" t="s">
        <v>29</v>
      </c>
      <c r="B5" s="565">
        <f>'Sources and Uses Budget'!C5</f>
        <v>300000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13550000</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13550000</v>
      </c>
      <c r="C12" s="565">
        <f>SUM(C8+C11)</f>
        <v>0</v>
      </c>
      <c r="D12" s="565">
        <f>SUM(D8+D11)</f>
        <v>0</v>
      </c>
      <c r="E12" s="567"/>
      <c r="F12" s="567"/>
      <c r="G12" s="567"/>
      <c r="H12" s="567"/>
      <c r="I12" s="567"/>
      <c r="J12" s="567"/>
      <c r="K12" s="563"/>
    </row>
    <row r="13" spans="1:11" s="564" customFormat="1">
      <c r="A13" s="570" t="s">
        <v>971</v>
      </c>
      <c r="B13" s="565">
        <f>'Sources and Uses Budget'!C13</f>
        <v>850000</v>
      </c>
      <c r="C13" s="566"/>
      <c r="D13" s="566"/>
      <c r="E13" s="565">
        <f>'Sources and Uses Budget'!S13</f>
        <v>850000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Solar</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12840000</v>
      </c>
      <c r="C29" s="566"/>
      <c r="D29" s="566"/>
      <c r="E29" s="565">
        <f>'Sources and Uses Budget'!S29</f>
        <v>12840000</v>
      </c>
      <c r="F29" s="566"/>
      <c r="G29" s="566"/>
      <c r="H29" s="565">
        <f>'Sources and Uses Budget'!T29</f>
        <v>0</v>
      </c>
      <c r="I29" s="566"/>
      <c r="J29" s="566"/>
      <c r="K29" s="563"/>
    </row>
    <row r="30" spans="1:11" s="564" customFormat="1">
      <c r="A30" s="215" t="s">
        <v>634</v>
      </c>
      <c r="B30" s="565">
        <f>'Sources and Uses Budget'!C30</f>
        <v>45260060</v>
      </c>
      <c r="C30" s="566"/>
      <c r="D30" s="566"/>
      <c r="E30" s="565">
        <f>'Sources and Uses Budget'!S30</f>
        <v>45260060</v>
      </c>
      <c r="F30" s="566"/>
      <c r="G30" s="566"/>
      <c r="H30" s="565">
        <f>'Sources and Uses Budget'!T30</f>
        <v>0</v>
      </c>
      <c r="I30" s="566"/>
      <c r="J30" s="566"/>
      <c r="K30" s="563"/>
    </row>
    <row r="31" spans="1:11" s="564" customFormat="1">
      <c r="A31" s="215" t="s">
        <v>635</v>
      </c>
      <c r="B31" s="565">
        <f>'Sources and Uses Budget'!C31</f>
        <v>3576004</v>
      </c>
      <c r="C31" s="566"/>
      <c r="D31" s="566"/>
      <c r="E31" s="565">
        <f>'Sources and Uses Budget'!S31</f>
        <v>3576004</v>
      </c>
      <c r="F31" s="566"/>
      <c r="G31" s="566"/>
      <c r="H31" s="565">
        <f>'Sources and Uses Budget'!T31</f>
        <v>0</v>
      </c>
      <c r="I31" s="566"/>
      <c r="J31" s="566"/>
      <c r="K31" s="563"/>
    </row>
    <row r="32" spans="1:11" s="564" customFormat="1">
      <c r="A32" s="215" t="s">
        <v>142</v>
      </c>
      <c r="B32" s="565">
        <f>'Sources and Uses Budget'!C32</f>
        <v>1263521</v>
      </c>
      <c r="C32" s="566"/>
      <c r="D32" s="566"/>
      <c r="E32" s="565">
        <f>'Sources and Uses Budget'!S32</f>
        <v>1263521</v>
      </c>
      <c r="F32" s="566"/>
      <c r="G32" s="566"/>
      <c r="H32" s="565">
        <f>'Sources and Uses Budget'!T32</f>
        <v>0</v>
      </c>
      <c r="I32" s="566"/>
      <c r="J32" s="566"/>
      <c r="K32" s="563"/>
    </row>
    <row r="33" spans="1:11" s="564" customFormat="1">
      <c r="A33" s="215" t="s">
        <v>143</v>
      </c>
      <c r="B33" s="565">
        <f>'Sources and Uses Budget'!C33</f>
        <v>3790564</v>
      </c>
      <c r="C33" s="566"/>
      <c r="D33" s="566"/>
      <c r="E33" s="565">
        <f>'Sources and Uses Budget'!S33</f>
        <v>3790564</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1841582</v>
      </c>
      <c r="C35" s="566"/>
      <c r="D35" s="566"/>
      <c r="E35" s="565">
        <f>'Sources and Uses Budget'!S35</f>
        <v>1841582</v>
      </c>
      <c r="F35" s="566"/>
      <c r="G35" s="566"/>
      <c r="H35" s="565">
        <f>'Sources and Uses Budget'!T35</f>
        <v>0</v>
      </c>
      <c r="I35" s="566"/>
      <c r="J35" s="566"/>
      <c r="K35" s="563"/>
    </row>
    <row r="36" spans="1:11" s="564" customFormat="1">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Solar</v>
      </c>
      <c r="B37" s="565">
        <f>'Sources and Uses Budget'!C37</f>
        <v>1500000</v>
      </c>
      <c r="C37" s="566"/>
      <c r="D37" s="566"/>
      <c r="E37" s="565">
        <f>'Sources and Uses Budget'!S37</f>
        <v>1500000</v>
      </c>
      <c r="F37" s="566"/>
      <c r="G37" s="566"/>
      <c r="H37" s="565">
        <f>'Sources and Uses Budget'!T37</f>
        <v>0</v>
      </c>
      <c r="I37" s="566"/>
      <c r="J37" s="566"/>
      <c r="K37" s="563"/>
    </row>
    <row r="38" spans="1:11" s="564" customFormat="1">
      <c r="A38" s="573" t="s">
        <v>148</v>
      </c>
      <c r="B38" s="565">
        <f>'Sources and Uses Budget'!C38</f>
        <v>70071731</v>
      </c>
      <c r="C38" s="565">
        <f>SUM(C29:C37)</f>
        <v>0</v>
      </c>
      <c r="D38" s="565">
        <f>SUM(D29:D37)</f>
        <v>0</v>
      </c>
      <c r="E38" s="565">
        <f>'Sources and Uses Budget'!S38</f>
        <v>70071731</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500000</v>
      </c>
      <c r="C40" s="566"/>
      <c r="D40" s="566"/>
      <c r="E40" s="565">
        <f>'Sources and Uses Budget'!S40</f>
        <v>500000</v>
      </c>
      <c r="F40" s="566"/>
      <c r="G40" s="566"/>
      <c r="H40" s="565">
        <f>'Sources and Uses Budget'!T40</f>
        <v>0</v>
      </c>
      <c r="I40" s="566"/>
      <c r="J40" s="566"/>
      <c r="K40" s="563"/>
    </row>
    <row r="41" spans="1:11" s="564" customFormat="1">
      <c r="A41" s="568" t="s">
        <v>151</v>
      </c>
      <c r="B41" s="565">
        <f>'Sources and Uses Budget'!C41</f>
        <v>200000</v>
      </c>
      <c r="C41" s="566"/>
      <c r="D41" s="566"/>
      <c r="E41" s="565">
        <f>'Sources and Uses Budget'!S41</f>
        <v>200000</v>
      </c>
      <c r="F41" s="566"/>
      <c r="G41" s="566"/>
      <c r="H41" s="565">
        <f>'Sources and Uses Budget'!T41</f>
        <v>0</v>
      </c>
      <c r="I41" s="566"/>
      <c r="J41" s="566"/>
      <c r="K41" s="563"/>
    </row>
    <row r="42" spans="1:11" s="564" customFormat="1">
      <c r="A42" s="569" t="s">
        <v>152</v>
      </c>
      <c r="B42" s="565">
        <f>'Sources and Uses Budget'!C42</f>
        <v>700000</v>
      </c>
      <c r="C42" s="565">
        <f>SUM(C39:C41)</f>
        <v>0</v>
      </c>
      <c r="D42" s="565">
        <f>SUM(D39:D41)</f>
        <v>0</v>
      </c>
      <c r="E42" s="565">
        <f>'Sources and Uses Budget'!S42</f>
        <v>700000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1450525</v>
      </c>
      <c r="C43" s="566"/>
      <c r="D43" s="566"/>
      <c r="E43" s="565">
        <f>'Sources and Uses Budget'!S43</f>
        <v>1450525</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6233226</v>
      </c>
      <c r="C45" s="566"/>
      <c r="D45" s="566"/>
      <c r="E45" s="565">
        <f>'Sources and Uses Budget'!S45</f>
        <v>3131451</v>
      </c>
      <c r="F45" s="566"/>
      <c r="G45" s="566"/>
      <c r="H45" s="565">
        <f>'Sources and Uses Budget'!T45</f>
        <v>0</v>
      </c>
      <c r="I45" s="566"/>
      <c r="J45" s="566"/>
      <c r="K45" s="563"/>
    </row>
    <row r="46" spans="1:11" s="564" customFormat="1">
      <c r="A46" s="568" t="s">
        <v>156</v>
      </c>
      <c r="B46" s="565">
        <f>'Sources and Uses Budget'!C46</f>
        <v>911540</v>
      </c>
      <c r="C46" s="566"/>
      <c r="D46" s="566"/>
      <c r="E46" s="565">
        <f>'Sources and Uses Budget'!S46</f>
        <v>911540</v>
      </c>
      <c r="F46" s="566"/>
      <c r="G46" s="566"/>
      <c r="H46" s="565">
        <f>'Sources and Uses Budget'!T46</f>
        <v>0</v>
      </c>
      <c r="I46" s="566"/>
      <c r="J46" s="566"/>
      <c r="K46" s="563"/>
    </row>
    <row r="47" spans="1:11" s="564" customFormat="1" ht="12" customHeight="1">
      <c r="A47" s="568" t="s">
        <v>157</v>
      </c>
      <c r="B47" s="565">
        <f>'Sources and Uses Budget'!C47</f>
        <v>25000</v>
      </c>
      <c r="C47" s="566"/>
      <c r="D47" s="566"/>
      <c r="E47" s="565">
        <f>'Sources and Uses Budget'!S47</f>
        <v>25000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291300</v>
      </c>
      <c r="C49" s="566"/>
      <c r="D49" s="566"/>
      <c r="E49" s="565">
        <f>'Sources and Uses Budget'!S49</f>
        <v>145650</v>
      </c>
      <c r="F49" s="566"/>
      <c r="G49" s="566"/>
      <c r="H49" s="565">
        <f>'Sources and Uses Budget'!T49</f>
        <v>0</v>
      </c>
      <c r="I49" s="566"/>
      <c r="J49" s="566"/>
      <c r="K49" s="563"/>
    </row>
    <row r="50" spans="1:11" s="564" customFormat="1">
      <c r="A50" s="568" t="s">
        <v>161</v>
      </c>
      <c r="B50" s="565">
        <f>'Sources and Uses Budget'!C50</f>
        <v>40000</v>
      </c>
      <c r="C50" s="566"/>
      <c r="D50" s="566"/>
      <c r="E50" s="565">
        <f>'Sources and Uses Budget'!S50</f>
        <v>25000</v>
      </c>
      <c r="F50" s="566"/>
      <c r="G50" s="566"/>
      <c r="H50" s="565">
        <f>'Sources and Uses Budget'!T50</f>
        <v>0</v>
      </c>
      <c r="I50" s="566"/>
      <c r="J50" s="566"/>
      <c r="K50" s="563"/>
    </row>
    <row r="51" spans="1:11" s="564" customFormat="1">
      <c r="A51" s="568" t="s">
        <v>159</v>
      </c>
      <c r="B51" s="565">
        <f>'Sources and Uses Budget'!C51</f>
        <v>350000</v>
      </c>
      <c r="C51" s="566"/>
      <c r="D51" s="566"/>
      <c r="E51" s="565">
        <f>'Sources and Uses Budget'!S51</f>
        <v>350000</v>
      </c>
      <c r="F51" s="566"/>
      <c r="G51" s="566"/>
      <c r="H51" s="565">
        <f>'Sources and Uses Budget'!T51</f>
        <v>0</v>
      </c>
      <c r="I51" s="566"/>
      <c r="J51" s="566"/>
      <c r="K51" s="563"/>
    </row>
    <row r="52" spans="1:11" s="564" customFormat="1">
      <c r="A52" s="568" t="s">
        <v>160</v>
      </c>
      <c r="B52" s="565">
        <f>'Sources and Uses Budget'!C52</f>
        <v>0</v>
      </c>
      <c r="C52" s="566"/>
      <c r="D52" s="566"/>
      <c r="E52" s="565">
        <f>'Sources and Uses Budget'!S52</f>
        <v>0</v>
      </c>
      <c r="F52" s="566"/>
      <c r="G52" s="566"/>
      <c r="H52" s="565">
        <f>'Sources and Uses Budget'!T52</f>
        <v>0</v>
      </c>
      <c r="I52" s="566"/>
      <c r="J52" s="566"/>
      <c r="K52" s="563"/>
    </row>
    <row r="53" spans="1:11" s="564" customFormat="1">
      <c r="A53" s="571" t="str">
        <f>'Sources and Uses Budget'!$A53</f>
        <v>Other: Lender Inspections</v>
      </c>
      <c r="B53" s="565">
        <f>'Sources and Uses Budget'!C53</f>
        <v>75000</v>
      </c>
      <c r="C53" s="566"/>
      <c r="D53" s="566"/>
      <c r="E53" s="565">
        <f>'Sources and Uses Budget'!S53</f>
        <v>75000</v>
      </c>
      <c r="F53" s="566"/>
      <c r="G53" s="566"/>
      <c r="H53" s="565">
        <f>'Sources and Uses Budget'!T53</f>
        <v>0</v>
      </c>
      <c r="I53" s="566"/>
      <c r="J53" s="566"/>
      <c r="K53" s="563"/>
    </row>
    <row r="54" spans="1:11" s="575" customFormat="1">
      <c r="A54" s="569" t="s">
        <v>162</v>
      </c>
      <c r="B54" s="565">
        <f>'Sources and Uses Budget'!C54</f>
        <v>7926066</v>
      </c>
      <c r="C54" s="572">
        <f>SUM(C45:C53)</f>
        <v>0</v>
      </c>
      <c r="D54" s="572">
        <f>SUM(D45:D53)</f>
        <v>0</v>
      </c>
      <c r="E54" s="565">
        <f>'Sources and Uses Budget'!S54</f>
        <v>4663641</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309</v>
      </c>
      <c r="B62" s="565">
        <f>'Sources and Uses Budget'!C62</f>
        <v>0</v>
      </c>
      <c r="C62" s="565">
        <f>SUM(C56:C61)</f>
        <v>0</v>
      </c>
      <c r="D62" s="565">
        <f>SUM(D56:D61)</f>
        <v>0</v>
      </c>
      <c r="E62" s="567"/>
      <c r="F62" s="567"/>
      <c r="G62" s="567"/>
      <c r="H62" s="567"/>
      <c r="I62" s="567"/>
      <c r="J62" s="567"/>
      <c r="K62" s="563"/>
    </row>
    <row r="63" spans="1:11" s="564" customFormat="1">
      <c r="A63" s="576" t="s">
        <v>310</v>
      </c>
      <c r="B63" s="565">
        <f>'Sources and Uses Budget'!C63</f>
        <v>94548322</v>
      </c>
      <c r="C63" s="565">
        <f>SUM(C8+C11+C13+C14+C15+C26+C27+C38+C42+C43+C54+C62)</f>
        <v>0</v>
      </c>
      <c r="D63" s="565">
        <f>SUM(D8+D11+D13+D14+D15+D26+D27+D38+D42+D43+D54+D62)</f>
        <v>0</v>
      </c>
      <c r="E63" s="565">
        <f>'Sources and Uses Budget'!S63</f>
        <v>77735897</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120000</v>
      </c>
      <c r="C65" s="566"/>
      <c r="D65" s="566"/>
      <c r="E65" s="565">
        <f>'Sources and Uses Budget'!S65</f>
        <v>120000</v>
      </c>
      <c r="F65" s="566"/>
      <c r="G65" s="566"/>
      <c r="H65" s="565">
        <f>'Sources and Uses Budget'!T65</f>
        <v>0</v>
      </c>
      <c r="I65" s="566"/>
      <c r="J65" s="566"/>
      <c r="K65" s="563"/>
    </row>
    <row r="66" spans="1:11" s="564" customFormat="1" ht="24">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636</v>
      </c>
      <c r="B70" s="565">
        <f>'Sources and Uses Budget'!C70</f>
        <v>120000</v>
      </c>
      <c r="C70" s="565">
        <f>SUM(C64:C69)</f>
        <v>0</v>
      </c>
      <c r="D70" s="565">
        <f>SUM(D64:D69)</f>
        <v>0</v>
      </c>
      <c r="E70" s="565">
        <f>'Sources and Uses Budget'!S70</f>
        <v>120000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0</v>
      </c>
      <c r="C74" s="566"/>
      <c r="D74" s="566"/>
      <c r="E74" s="567"/>
      <c r="F74" s="567"/>
      <c r="G74" s="567"/>
      <c r="H74" s="567"/>
      <c r="I74" s="567"/>
      <c r="J74" s="567"/>
      <c r="K74" s="563"/>
    </row>
    <row r="75" spans="1:11" s="564" customFormat="1">
      <c r="A75" s="568" t="s">
        <v>640</v>
      </c>
      <c r="B75" s="565">
        <f>'Sources and Uses Budget'!C75</f>
        <v>1282880</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1282880</v>
      </c>
      <c r="C77" s="565">
        <f>SUM(C72:C76)</f>
        <v>0</v>
      </c>
      <c r="D77" s="565">
        <f>SUM(D72:D76)</f>
        <v>0</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3411507</v>
      </c>
      <c r="C79" s="566"/>
      <c r="D79" s="566"/>
      <c r="E79" s="565">
        <f>'Sources and Uses Budget'!S79</f>
        <v>3411507</v>
      </c>
      <c r="F79" s="566"/>
      <c r="G79" s="566"/>
      <c r="H79" s="565">
        <f>'Sources and Uses Budget'!T79</f>
        <v>0</v>
      </c>
      <c r="I79" s="566"/>
      <c r="J79" s="566"/>
      <c r="K79" s="563"/>
    </row>
    <row r="80" spans="1:11" s="564" customFormat="1">
      <c r="A80" s="568" t="s">
        <v>61</v>
      </c>
      <c r="B80" s="565">
        <f>'Sources and Uses Budget'!C80</f>
        <v>540266</v>
      </c>
      <c r="C80" s="566"/>
      <c r="D80" s="566"/>
      <c r="E80" s="565">
        <f>'Sources and Uses Budget'!S80</f>
        <v>540266</v>
      </c>
      <c r="F80" s="566"/>
      <c r="G80" s="566"/>
      <c r="H80" s="565">
        <f>'Sources and Uses Budget'!T80</f>
        <v>0</v>
      </c>
      <c r="I80" s="566"/>
      <c r="J80" s="566"/>
      <c r="K80" s="563"/>
    </row>
    <row r="81" spans="1:11" s="564" customFormat="1">
      <c r="A81" s="569" t="s">
        <v>1419</v>
      </c>
      <c r="B81" s="565">
        <f>'Sources and Uses Budget'!C81</f>
        <v>3951773</v>
      </c>
      <c r="C81" s="565">
        <f>SUM(C79:C80)</f>
        <v>0</v>
      </c>
      <c r="D81" s="565">
        <f>SUM(D79:D80)</f>
        <v>0</v>
      </c>
      <c r="E81" s="565">
        <f>'Sources and Uses Budget'!S81</f>
        <v>3951773</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171785</v>
      </c>
      <c r="C83" s="566"/>
      <c r="D83" s="566"/>
      <c r="E83" s="567"/>
      <c r="F83" s="567"/>
      <c r="G83" s="567"/>
      <c r="H83" s="567"/>
      <c r="I83" s="567"/>
      <c r="J83" s="567"/>
      <c r="K83" s="563"/>
    </row>
    <row r="84" spans="1:11" s="564" customFormat="1">
      <c r="A84" s="215" t="s">
        <v>825</v>
      </c>
      <c r="B84" s="565">
        <f>'Sources and Uses Budget'!C84</f>
        <v>0</v>
      </c>
      <c r="C84" s="566"/>
      <c r="D84" s="566"/>
      <c r="E84" s="565">
        <f>'Sources and Uses Budget'!S84</f>
        <v>0</v>
      </c>
      <c r="F84" s="566"/>
      <c r="G84" s="566"/>
      <c r="H84" s="565">
        <f>'Sources and Uses Budget'!T84</f>
        <v>0</v>
      </c>
      <c r="I84" s="566"/>
      <c r="J84" s="566"/>
      <c r="K84" s="563"/>
    </row>
    <row r="85" spans="1:11" s="564" customFormat="1">
      <c r="A85" s="215" t="s">
        <v>826</v>
      </c>
      <c r="B85" s="565">
        <f>'Sources and Uses Budget'!C85</f>
        <v>8838677</v>
      </c>
      <c r="C85" s="566"/>
      <c r="D85" s="566"/>
      <c r="E85" s="565">
        <f>'Sources and Uses Budget'!S85</f>
        <v>8838677</v>
      </c>
      <c r="F85" s="566"/>
      <c r="G85" s="566"/>
      <c r="H85" s="565">
        <f>'Sources and Uses Budget'!T85</f>
        <v>0</v>
      </c>
      <c r="I85" s="566"/>
      <c r="J85" s="566"/>
      <c r="K85" s="563"/>
    </row>
    <row r="86" spans="1:11" s="564" customFormat="1">
      <c r="A86" s="215" t="s">
        <v>827</v>
      </c>
      <c r="B86" s="565">
        <f>'Sources and Uses Budget'!C86</f>
        <v>1076439</v>
      </c>
      <c r="C86" s="566"/>
      <c r="D86" s="566"/>
      <c r="E86" s="565">
        <f>'Sources and Uses Budget'!S86</f>
        <v>1076439</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75000</v>
      </c>
      <c r="C88" s="566"/>
      <c r="D88" s="566"/>
      <c r="E88" s="567"/>
      <c r="F88" s="567"/>
      <c r="G88" s="567"/>
      <c r="H88" s="567"/>
      <c r="I88" s="567"/>
      <c r="J88" s="567"/>
      <c r="K88" s="563"/>
    </row>
    <row r="89" spans="1:11" s="564" customFormat="1">
      <c r="A89" s="215" t="s">
        <v>830</v>
      </c>
      <c r="B89" s="565">
        <f>'Sources and Uses Budget'!C89</f>
        <v>250000</v>
      </c>
      <c r="C89" s="566"/>
      <c r="D89" s="566"/>
      <c r="E89" s="565">
        <f>'Sources and Uses Budget'!S89</f>
        <v>250000</v>
      </c>
      <c r="F89" s="566"/>
      <c r="G89" s="566"/>
      <c r="H89" s="565">
        <f>'Sources and Uses Budget'!T89</f>
        <v>0</v>
      </c>
      <c r="I89" s="566"/>
      <c r="J89" s="566"/>
      <c r="K89" s="563"/>
    </row>
    <row r="90" spans="1:11" s="564" customFormat="1">
      <c r="A90" s="215" t="s">
        <v>831</v>
      </c>
      <c r="B90" s="565">
        <f>'Sources and Uses Budget'!C90</f>
        <v>0</v>
      </c>
      <c r="C90" s="566"/>
      <c r="D90" s="566"/>
      <c r="E90" s="565">
        <f>'Sources and Uses Budget'!S90</f>
        <v>0</v>
      </c>
      <c r="F90" s="566"/>
      <c r="G90" s="566"/>
      <c r="H90" s="565">
        <f>'Sources and Uses Budget'!T90</f>
        <v>0</v>
      </c>
      <c r="I90" s="566"/>
      <c r="J90" s="566"/>
      <c r="K90" s="563"/>
    </row>
    <row r="91" spans="1:11" s="564" customFormat="1">
      <c r="A91" s="226" t="s">
        <v>390</v>
      </c>
      <c r="B91" s="565">
        <f>'Sources and Uses Budget'!C91</f>
        <v>95000</v>
      </c>
      <c r="C91" s="566"/>
      <c r="D91" s="566"/>
      <c r="E91" s="565">
        <f>'Sources and Uses Budget'!S91</f>
        <v>95000</v>
      </c>
      <c r="F91" s="566"/>
      <c r="G91" s="566"/>
      <c r="H91" s="565">
        <f>'Sources and Uses Budget'!T91</f>
        <v>0</v>
      </c>
      <c r="I91" s="566"/>
      <c r="J91" s="566"/>
      <c r="K91" s="563"/>
    </row>
    <row r="92" spans="1:11" s="564" customFormat="1">
      <c r="A92" s="858" t="s">
        <v>1421</v>
      </c>
      <c r="B92" s="565">
        <f>'Sources and Uses Budget'!C92</f>
        <v>0</v>
      </c>
      <c r="C92" s="566"/>
      <c r="D92" s="566"/>
      <c r="E92" s="565">
        <f>'Sources and Uses Budget'!S92</f>
        <v>0</v>
      </c>
      <c r="F92" s="566"/>
      <c r="G92" s="566"/>
      <c r="H92" s="565">
        <f>'Sources and Uses Budget'!T92</f>
        <v>0</v>
      </c>
      <c r="I92" s="566"/>
      <c r="J92" s="566"/>
      <c r="K92" s="563"/>
    </row>
    <row r="93" spans="1:11" s="564" customFormat="1">
      <c r="A93" s="571" t="str">
        <f>'Sources and Uses Budget'!$A93</f>
        <v>Other: Legal</v>
      </c>
      <c r="B93" s="565">
        <f>'Sources and Uses Budget'!C93</f>
        <v>310000</v>
      </c>
      <c r="C93" s="566"/>
      <c r="D93" s="566"/>
      <c r="E93" s="565">
        <f>'Sources and Uses Budget'!S93</f>
        <v>250000</v>
      </c>
      <c r="F93" s="566"/>
      <c r="G93" s="566"/>
      <c r="H93" s="565">
        <f>'Sources and Uses Budget'!T93</f>
        <v>0</v>
      </c>
      <c r="I93" s="566"/>
      <c r="J93" s="566"/>
      <c r="K93" s="563"/>
    </row>
    <row r="94" spans="1:11" s="564" customFormat="1">
      <c r="A94" s="571" t="str">
        <f>'Sources and Uses Budget'!$A94</f>
        <v>Other: CDLAC Application Fee</v>
      </c>
      <c r="B94" s="565">
        <f>'Sources and Uses Budget'!C94</f>
        <v>15890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10832791</v>
      </c>
      <c r="C96" s="565">
        <f>SUM(C83:C95)</f>
        <v>0</v>
      </c>
      <c r="D96" s="565">
        <f>SUM(D83:D95)</f>
        <v>0</v>
      </c>
      <c r="E96" s="565">
        <f>'Sources and Uses Budget'!S96</f>
        <v>10510116</v>
      </c>
      <c r="F96" s="572">
        <f>SUM(F84:F87,F89:F95)</f>
        <v>0</v>
      </c>
      <c r="G96" s="572">
        <f>SUM(G84:G87,G89:G95)</f>
        <v>0</v>
      </c>
      <c r="H96" s="565">
        <f>'Sources and Uses Budget'!T96</f>
        <v>0</v>
      </c>
      <c r="I96" s="565">
        <f>SUM(I84:I87,I89:I95)</f>
        <v>0</v>
      </c>
      <c r="J96" s="565">
        <f>SUM(J84:J87,J89:J95)</f>
        <v>0</v>
      </c>
      <c r="K96" s="563"/>
    </row>
    <row r="97" spans="1:11" s="564" customFormat="1">
      <c r="A97" s="569" t="s">
        <v>1142</v>
      </c>
      <c r="B97" s="565">
        <f>'Sources and Uses Budget'!C97</f>
        <v>110735766</v>
      </c>
      <c r="C97" s="565">
        <f>SUM(C63+C70+C77+C81+C96)</f>
        <v>0</v>
      </c>
      <c r="D97" s="565">
        <f>SUM(D63+D70+D77+D81+D96)</f>
        <v>0</v>
      </c>
      <c r="E97" s="565">
        <f>'Sources and Uses Budget'!S97</f>
        <v>92317786</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13720167</v>
      </c>
      <c r="C99" s="566"/>
      <c r="D99" s="566"/>
      <c r="E99" s="565">
        <f>'Sources and Uses Budget'!S99</f>
        <v>13720167</v>
      </c>
      <c r="F99" s="566"/>
      <c r="G99" s="566"/>
      <c r="H99" s="565">
        <f>'Sources and Uses Budget'!T99</f>
        <v>0</v>
      </c>
      <c r="I99" s="566"/>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13720167</v>
      </c>
      <c r="C104" s="565">
        <f>SUM(C99:C103)</f>
        <v>0</v>
      </c>
      <c r="D104" s="565">
        <f>SUM(D99:D103)</f>
        <v>0</v>
      </c>
      <c r="E104" s="565">
        <f>'Sources and Uses Budget'!S104</f>
        <v>13720167</v>
      </c>
      <c r="F104" s="572">
        <f>SUM(F99:F103)</f>
        <v>0</v>
      </c>
      <c r="G104" s="572">
        <f>SUM(G99:G103)</f>
        <v>0</v>
      </c>
      <c r="H104" s="565">
        <f>'Sources and Uses Budget'!T104</f>
        <v>0</v>
      </c>
      <c r="I104" s="572">
        <f>SUM(I99:I103)</f>
        <v>0</v>
      </c>
      <c r="J104" s="572">
        <f>SUM(J99:J103)</f>
        <v>0</v>
      </c>
      <c r="K104" s="563"/>
    </row>
    <row r="105" spans="1:11" s="564" customFormat="1">
      <c r="A105" s="569" t="s">
        <v>1143</v>
      </c>
      <c r="B105" s="565">
        <f>'Sources and Uses Budget'!C105</f>
        <v>124455933</v>
      </c>
      <c r="C105" s="572">
        <f>SUM(C97+C104)</f>
        <v>0</v>
      </c>
      <c r="D105" s="572">
        <f>SUM(D97+D104)</f>
        <v>0</v>
      </c>
      <c r="E105" s="565">
        <f>'Sources and Uses Budget'!S105</f>
        <v>106037953</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106037953</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0"/>
      <c r="E124" s="2581"/>
      <c r="F124" s="2581"/>
      <c r="G124" s="2581"/>
      <c r="H124" s="2581"/>
      <c r="I124" s="2581"/>
      <c r="J124" s="583"/>
      <c r="K124" s="563"/>
    </row>
    <row r="125" spans="1:11" s="564" customFormat="1" ht="12.75">
      <c r="A125" s="594"/>
      <c r="B125" s="593"/>
      <c r="C125" s="594"/>
      <c r="D125" s="2581"/>
      <c r="E125" s="2581"/>
      <c r="F125" s="2581"/>
      <c r="G125" s="2581"/>
      <c r="H125" s="2581"/>
      <c r="I125" s="2581"/>
      <c r="J125" s="583"/>
      <c r="K125" s="563"/>
    </row>
    <row r="126" spans="1:11" s="564" customFormat="1" ht="12.75">
      <c r="A126" s="594"/>
      <c r="B126" s="593"/>
      <c r="C126" s="594"/>
      <c r="D126" s="2581"/>
      <c r="E126" s="2581"/>
      <c r="F126" s="2581"/>
      <c r="G126" s="2581"/>
      <c r="H126" s="2581"/>
      <c r="I126" s="2581"/>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2"/>
      <c r="B139" s="2583"/>
      <c r="C139" s="2583"/>
      <c r="D139" s="606"/>
      <c r="E139" s="594"/>
      <c r="F139" s="594"/>
      <c r="G139" s="594"/>
    </row>
    <row r="140" spans="1:11" ht="12" customHeight="1">
      <c r="A140" s="2584"/>
      <c r="B140" s="2585"/>
      <c r="C140" s="2585"/>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4"/>
    <col min="38" max="38" width="3" style="1524" customWidth="1"/>
    <col min="39" max="64" width="2.7109375" style="1524"/>
    <col min="65" max="65" width="6.140625" style="1524" bestFit="1" customWidth="1"/>
    <col min="66" max="70" width="5.5703125" style="1524" bestFit="1" customWidth="1"/>
    <col min="71" max="71" width="6.140625" style="1524" bestFit="1" customWidth="1"/>
    <col min="72" max="76" width="5.5703125" style="1524" bestFit="1" customWidth="1"/>
    <col min="77" max="77" width="6.140625" style="1524" bestFit="1" customWidth="1"/>
    <col min="78" max="78" width="5.5703125" style="1524" bestFit="1" customWidth="1"/>
    <col min="79" max="16384" width="2.7109375" style="1524"/>
  </cols>
  <sheetData>
    <row r="1" spans="1:58" ht="15.75" customHeight="1">
      <c r="A1" s="2971" t="s">
        <v>2033</v>
      </c>
      <c r="B1" s="2972"/>
      <c r="C1" s="2972"/>
      <c r="D1" s="2972"/>
      <c r="E1" s="2972"/>
      <c r="F1" s="2972"/>
      <c r="G1" s="2972"/>
      <c r="H1" s="2972"/>
      <c r="I1" s="2972"/>
      <c r="J1" s="2972"/>
      <c r="K1" s="2972"/>
      <c r="L1" s="2972"/>
      <c r="M1" s="2972"/>
      <c r="N1" s="2972"/>
      <c r="O1" s="2972"/>
      <c r="P1" s="2972"/>
      <c r="Q1" s="2972"/>
      <c r="R1" s="2972"/>
      <c r="S1" s="2972"/>
      <c r="T1" s="2972"/>
      <c r="U1" s="2972"/>
      <c r="V1" s="2972"/>
      <c r="W1" s="2972"/>
      <c r="X1" s="2972"/>
      <c r="Y1" s="2972"/>
      <c r="Z1" s="2972"/>
      <c r="AA1" s="2972"/>
      <c r="AB1" s="2972"/>
      <c r="AC1" s="2972"/>
      <c r="AD1" s="2972"/>
      <c r="AE1" s="2972"/>
      <c r="AF1" s="2972"/>
      <c r="AG1" s="2972"/>
      <c r="AH1" s="2972"/>
      <c r="AI1" s="2972"/>
      <c r="AJ1" s="2972"/>
      <c r="AK1" s="2972"/>
      <c r="AL1" s="2972"/>
      <c r="AM1" s="2972"/>
      <c r="AN1" s="2972"/>
      <c r="AO1" s="2972"/>
      <c r="AP1" s="2972"/>
      <c r="AQ1" s="2972"/>
      <c r="AR1" s="2972"/>
      <c r="AS1" s="2972"/>
      <c r="AT1" s="2972"/>
      <c r="AU1" s="2972"/>
      <c r="AV1" s="2972"/>
      <c r="AW1" s="2972"/>
      <c r="AX1" s="2972"/>
      <c r="AY1" s="2972"/>
      <c r="AZ1" s="2972"/>
      <c r="BA1" s="2972"/>
      <c r="BB1" s="2972"/>
      <c r="BC1" s="2972"/>
      <c r="BD1" s="2972"/>
      <c r="BE1" s="2973"/>
    </row>
    <row r="2" spans="1:58" ht="15.75" customHeight="1">
      <c r="A2" s="2974" t="s">
        <v>2034</v>
      </c>
      <c r="B2" s="2975"/>
      <c r="C2" s="2975"/>
      <c r="D2" s="2975"/>
      <c r="E2" s="2975"/>
      <c r="F2" s="2975"/>
      <c r="G2" s="2975"/>
      <c r="H2" s="2975"/>
      <c r="I2" s="2975"/>
      <c r="J2" s="2975"/>
      <c r="K2" s="2975"/>
      <c r="L2" s="2975"/>
      <c r="M2" s="2975"/>
      <c r="N2" s="2975"/>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5"/>
      <c r="AO2" s="2975"/>
      <c r="AP2" s="2975"/>
      <c r="AQ2" s="2975"/>
      <c r="AR2" s="2975"/>
      <c r="AS2" s="2975"/>
      <c r="AT2" s="2975"/>
      <c r="AU2" s="2975"/>
      <c r="AV2" s="2975"/>
      <c r="AW2" s="2975"/>
      <c r="AX2" s="2975"/>
      <c r="AY2" s="2975"/>
      <c r="AZ2" s="2975"/>
      <c r="BA2" s="2975"/>
      <c r="BB2" s="2975"/>
      <c r="BC2" s="2975"/>
      <c r="BD2" s="2975"/>
      <c r="BE2" s="2976"/>
      <c r="BF2" s="1525"/>
    </row>
    <row r="3" spans="1:58" ht="15.75" customHeight="1" thickBot="1">
      <c r="A3" s="1815"/>
      <c r="B3" s="1527"/>
      <c r="C3" s="1527"/>
      <c r="D3" s="1527"/>
      <c r="E3" s="1527"/>
      <c r="F3" s="1527"/>
      <c r="G3" s="1527"/>
      <c r="H3" s="1527"/>
      <c r="I3" s="1527"/>
      <c r="J3" s="1527"/>
      <c r="K3" s="1527"/>
      <c r="L3" s="1527"/>
      <c r="M3" s="1527"/>
      <c r="N3" s="1527"/>
      <c r="O3" s="1527"/>
      <c r="P3" s="1527"/>
      <c r="Q3" s="1527"/>
      <c r="R3" s="1527"/>
      <c r="S3" s="1527"/>
      <c r="T3" s="1527"/>
      <c r="U3" s="1527"/>
      <c r="V3" s="1527"/>
      <c r="W3" s="1527"/>
      <c r="X3" s="1527"/>
      <c r="Y3" s="1527"/>
      <c r="Z3" s="1527"/>
      <c r="AA3" s="1527"/>
      <c r="AB3" s="1527"/>
      <c r="AC3" s="1527"/>
      <c r="AD3" s="1527"/>
      <c r="AE3" s="1527"/>
      <c r="AF3" s="1527"/>
      <c r="AG3" s="1527"/>
      <c r="AH3" s="1527"/>
      <c r="AI3" s="1527"/>
      <c r="AJ3" s="1527"/>
      <c r="AK3" s="1527"/>
      <c r="AL3" s="1527"/>
      <c r="AM3" s="1527"/>
      <c r="AN3" s="1527"/>
      <c r="AO3" s="1527"/>
      <c r="AP3" s="1527"/>
      <c r="AQ3" s="1527"/>
      <c r="AR3" s="1527"/>
      <c r="AS3" s="1527"/>
      <c r="AT3" s="1527"/>
      <c r="AU3" s="1527"/>
      <c r="AV3" s="1527"/>
      <c r="AW3" s="1527"/>
      <c r="AX3" s="1527"/>
      <c r="AY3" s="1527"/>
      <c r="AZ3" s="1527"/>
      <c r="BA3" s="1527"/>
      <c r="BB3" s="1527"/>
      <c r="BC3" s="1527"/>
      <c r="BD3" s="1527"/>
      <c r="BE3" s="1528"/>
    </row>
    <row r="4" spans="1:58" ht="15.75" customHeight="1" thickBot="1">
      <c r="A4" s="1815"/>
      <c r="B4" s="1529" t="s">
        <v>693</v>
      </c>
      <c r="C4" s="1529"/>
      <c r="D4" s="1529"/>
      <c r="E4" s="1529"/>
      <c r="F4" s="1529"/>
      <c r="G4" s="1527"/>
      <c r="H4" s="1527"/>
      <c r="I4" s="1527"/>
      <c r="J4" s="1527"/>
      <c r="K4" s="1527"/>
      <c r="L4" s="2977" t="str">
        <f>IF(Application!H18="","",Application!H18)</f>
        <v xml:space="preserve">Monterey and Madrone Apartments </v>
      </c>
      <c r="M4" s="2978"/>
      <c r="N4" s="2978"/>
      <c r="O4" s="2978"/>
      <c r="P4" s="2978"/>
      <c r="Q4" s="2978"/>
      <c r="R4" s="2978"/>
      <c r="S4" s="2978"/>
      <c r="T4" s="2978"/>
      <c r="U4" s="2978"/>
      <c r="V4" s="2978"/>
      <c r="W4" s="2978"/>
      <c r="X4" s="2978"/>
      <c r="Y4" s="2978"/>
      <c r="Z4" s="2978"/>
      <c r="AA4" s="2978"/>
      <c r="AB4" s="2978"/>
      <c r="AC4" s="2979"/>
      <c r="AD4" s="1527"/>
      <c r="AE4" s="1527"/>
      <c r="AF4" s="2682" t="s">
        <v>2035</v>
      </c>
      <c r="AG4" s="2683"/>
      <c r="AH4" s="2683"/>
      <c r="AI4" s="2683"/>
      <c r="AJ4" s="2683"/>
      <c r="AK4" s="2683"/>
      <c r="AL4" s="2683"/>
      <c r="AM4" s="2683"/>
      <c r="AN4" s="2683"/>
      <c r="AO4" s="2683"/>
      <c r="AP4" s="2980">
        <v>44197</v>
      </c>
      <c r="AQ4" s="2950"/>
      <c r="AR4" s="2950"/>
      <c r="AS4" s="2950"/>
      <c r="AT4" s="2950"/>
      <c r="AU4" s="2951"/>
      <c r="AV4" s="1527"/>
      <c r="AW4" s="1527"/>
      <c r="AX4" s="1527"/>
      <c r="AY4" s="1527"/>
      <c r="AZ4" s="1527"/>
      <c r="BA4" s="1527"/>
      <c r="BB4" s="1527"/>
      <c r="BC4" s="1527"/>
      <c r="BD4" s="1527"/>
      <c r="BE4" s="1528"/>
    </row>
    <row r="5" spans="1:58" ht="15.75" customHeight="1" thickBot="1">
      <c r="A5" s="1815"/>
      <c r="B5" s="1527"/>
      <c r="C5" s="1527"/>
      <c r="D5" s="1527"/>
      <c r="E5" s="1527"/>
      <c r="F5" s="1527"/>
      <c r="G5" s="1527"/>
      <c r="H5" s="1527"/>
      <c r="I5" s="1527"/>
      <c r="J5" s="1527"/>
      <c r="K5" s="1527"/>
      <c r="L5" s="1527"/>
      <c r="M5" s="1527"/>
      <c r="N5" s="1527"/>
      <c r="O5" s="1527"/>
      <c r="P5" s="1527"/>
      <c r="Q5" s="1527"/>
      <c r="R5" s="1527"/>
      <c r="S5" s="1527"/>
      <c r="T5" s="1527"/>
      <c r="U5" s="1527"/>
      <c r="V5" s="1527"/>
      <c r="W5" s="1527"/>
      <c r="X5" s="1527"/>
      <c r="Y5" s="1527"/>
      <c r="Z5" s="1527"/>
      <c r="AA5" s="1527"/>
      <c r="AB5" s="1527"/>
      <c r="AC5" s="1527"/>
      <c r="AD5" s="1527"/>
      <c r="AE5" s="1527"/>
      <c r="AF5" s="2699" t="s">
        <v>2036</v>
      </c>
      <c r="AG5" s="2700"/>
      <c r="AH5" s="2700"/>
      <c r="AI5" s="2700"/>
      <c r="AJ5" s="2700"/>
      <c r="AK5" s="2700"/>
      <c r="AL5" s="2700"/>
      <c r="AM5" s="2700"/>
      <c r="AN5" s="2700"/>
      <c r="AO5" s="2700"/>
      <c r="AP5" s="2980">
        <v>44197</v>
      </c>
      <c r="AQ5" s="2950"/>
      <c r="AR5" s="2950"/>
      <c r="AS5" s="2950"/>
      <c r="AT5" s="2950"/>
      <c r="AU5" s="2951"/>
      <c r="AV5" s="1527"/>
      <c r="AW5" s="1527"/>
      <c r="AX5" s="1527"/>
      <c r="AY5" s="1527"/>
      <c r="AZ5" s="1527"/>
      <c r="BA5" s="1527"/>
      <c r="BB5" s="1527"/>
      <c r="BC5" s="1527"/>
      <c r="BD5" s="1527"/>
      <c r="BE5" s="1528"/>
    </row>
    <row r="6" spans="1:58" ht="15.75" customHeight="1" thickBot="1">
      <c r="A6" s="1815"/>
      <c r="B6" s="1529" t="s">
        <v>2037</v>
      </c>
      <c r="C6" s="1527"/>
      <c r="D6" s="1527"/>
      <c r="E6" s="1527"/>
      <c r="F6" s="1527"/>
      <c r="G6" s="1527"/>
      <c r="H6" s="1527"/>
      <c r="I6" s="1527"/>
      <c r="J6" s="1527"/>
      <c r="K6" s="1527"/>
      <c r="L6" s="2956" t="str">
        <f>IF(Application!H16="","",Application!H16)</f>
        <v>JEMCOR Development Partners, LLC</v>
      </c>
      <c r="M6" s="2957"/>
      <c r="N6" s="2957"/>
      <c r="O6" s="2957"/>
      <c r="P6" s="2957"/>
      <c r="Q6" s="2957"/>
      <c r="R6" s="2957"/>
      <c r="S6" s="2957"/>
      <c r="T6" s="2957"/>
      <c r="U6" s="2957"/>
      <c r="V6" s="2957"/>
      <c r="W6" s="2957"/>
      <c r="X6" s="2957"/>
      <c r="Y6" s="2957"/>
      <c r="Z6" s="2957"/>
      <c r="AA6" s="2957"/>
      <c r="AB6" s="2957"/>
      <c r="AC6" s="2958"/>
      <c r="AD6" s="1527"/>
      <c r="AE6" s="1527"/>
      <c r="AF6" s="1527"/>
      <c r="AG6" s="1527"/>
      <c r="AH6" s="1527"/>
      <c r="AI6" s="1527"/>
      <c r="AJ6" s="1527"/>
      <c r="AK6" s="1527"/>
      <c r="AL6" s="1527"/>
      <c r="AM6" s="1527"/>
      <c r="AN6" s="1527"/>
      <c r="AO6" s="1527"/>
      <c r="AP6" s="1527"/>
      <c r="AQ6" s="1527"/>
      <c r="AR6" s="1527"/>
      <c r="AS6" s="1527"/>
      <c r="AT6" s="1527"/>
      <c r="AU6" s="1527"/>
      <c r="AV6" s="1527"/>
      <c r="AW6" s="1527"/>
      <c r="AX6" s="1527"/>
      <c r="AY6" s="1527"/>
      <c r="AZ6" s="1527"/>
      <c r="BA6" s="1527"/>
      <c r="BB6" s="1527"/>
      <c r="BC6" s="1527"/>
      <c r="BD6" s="1527"/>
      <c r="BE6" s="1528"/>
    </row>
    <row r="7" spans="1:58" thickBot="1">
      <c r="A7" s="1815"/>
      <c r="B7" s="1527"/>
      <c r="C7" s="1527"/>
      <c r="D7" s="1527"/>
      <c r="E7" s="1527"/>
      <c r="F7" s="1527"/>
      <c r="G7" s="1527"/>
      <c r="H7" s="1527"/>
      <c r="I7" s="1527"/>
      <c r="J7" s="1527"/>
      <c r="K7" s="1527"/>
      <c r="L7" s="1527"/>
      <c r="M7" s="1527"/>
      <c r="N7" s="1527"/>
      <c r="O7" s="1527"/>
      <c r="P7" s="1527"/>
      <c r="Q7" s="1527"/>
      <c r="R7" s="1527"/>
      <c r="S7" s="1527"/>
      <c r="T7" s="1527"/>
      <c r="U7" s="1527"/>
      <c r="V7" s="1527"/>
      <c r="W7" s="1527"/>
      <c r="X7" s="1527"/>
      <c r="Y7" s="1527"/>
      <c r="Z7" s="1527"/>
      <c r="AA7" s="1527"/>
      <c r="AB7" s="1527"/>
      <c r="AC7" s="1527"/>
      <c r="AD7" s="1527"/>
      <c r="AE7" s="1527"/>
      <c r="AF7" s="1527"/>
      <c r="AG7" s="1527"/>
      <c r="AH7" s="1527"/>
      <c r="AI7" s="1527"/>
      <c r="AJ7" s="1527"/>
      <c r="AK7" s="1527"/>
      <c r="AL7" s="1527"/>
      <c r="AM7" s="1527"/>
      <c r="AN7" s="1527"/>
      <c r="AO7" s="1527"/>
      <c r="AP7" s="1527"/>
      <c r="AQ7" s="1527"/>
      <c r="AR7" s="1527"/>
      <c r="AS7" s="1527"/>
      <c r="AT7" s="1527"/>
      <c r="AU7" s="1527"/>
      <c r="AV7" s="1527"/>
      <c r="AW7" s="1527"/>
      <c r="AX7" s="1527"/>
      <c r="AY7" s="1527"/>
      <c r="AZ7" s="1527"/>
      <c r="BA7" s="1527"/>
      <c r="BB7" s="1527"/>
      <c r="BC7" s="1527"/>
      <c r="BD7" s="1527"/>
      <c r="BE7" s="1528"/>
    </row>
    <row r="8" spans="1:58" thickBot="1">
      <c r="A8" s="1815"/>
      <c r="B8" s="1529" t="s">
        <v>2038</v>
      </c>
      <c r="C8" s="1527"/>
      <c r="D8" s="1527"/>
      <c r="E8" s="1527"/>
      <c r="F8" s="1527"/>
      <c r="G8" s="1527"/>
      <c r="H8" s="1527"/>
      <c r="I8" s="1527"/>
      <c r="J8" s="1527"/>
      <c r="K8" s="1527"/>
      <c r="L8" s="1527"/>
      <c r="M8" s="1527"/>
      <c r="N8" s="1527"/>
      <c r="O8" s="1527"/>
      <c r="P8" s="1527"/>
      <c r="Q8" s="1527"/>
      <c r="R8" s="1527"/>
      <c r="S8" s="1527"/>
      <c r="T8" s="1527"/>
      <c r="U8" s="1527"/>
      <c r="V8" s="1527"/>
      <c r="W8" s="1527"/>
      <c r="X8" s="1527"/>
      <c r="Y8" s="1527"/>
      <c r="Z8" s="1527"/>
      <c r="AA8" s="1527"/>
      <c r="AB8" s="2959" t="str">
        <f>Application!T196</f>
        <v>No</v>
      </c>
      <c r="AC8" s="2960"/>
      <c r="AD8" s="2961"/>
      <c r="AE8" s="1527"/>
      <c r="AF8" s="1527"/>
      <c r="AG8" s="1527"/>
      <c r="AH8" s="1527"/>
      <c r="AI8" s="1527"/>
      <c r="AJ8" s="1527"/>
      <c r="AK8" s="1527"/>
      <c r="AL8" s="1527"/>
      <c r="AM8" s="1527"/>
      <c r="AN8" s="1527"/>
      <c r="AO8" s="1527"/>
      <c r="AP8" s="1527"/>
      <c r="AQ8" s="1527"/>
      <c r="AR8" s="1527"/>
      <c r="AS8" s="1527"/>
      <c r="AT8" s="1527"/>
      <c r="AU8" s="1527"/>
      <c r="AV8" s="1527"/>
      <c r="AW8" s="1527"/>
      <c r="AX8" s="1527"/>
      <c r="AY8" s="1527"/>
      <c r="AZ8" s="1527"/>
      <c r="BA8" s="1527"/>
      <c r="BB8" s="1527"/>
      <c r="BC8" s="1527"/>
      <c r="BD8" s="1527"/>
      <c r="BE8" s="1528"/>
    </row>
    <row r="9" spans="1:58" thickBot="1">
      <c r="A9" s="1816"/>
      <c r="B9" s="1527"/>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c r="AG9" s="1527"/>
      <c r="AH9" s="1527"/>
      <c r="AI9" s="1527"/>
      <c r="AJ9" s="1527"/>
      <c r="AK9" s="1527"/>
      <c r="AL9" s="1527"/>
      <c r="AM9" s="1527"/>
      <c r="AN9" s="1527"/>
      <c r="AO9" s="1527"/>
      <c r="AP9" s="1527"/>
      <c r="AQ9" s="1530"/>
      <c r="AR9" s="1530"/>
      <c r="AS9" s="1527"/>
      <c r="AT9" s="1527"/>
      <c r="AU9" s="1527"/>
      <c r="AV9" s="1527"/>
      <c r="AW9" s="1527"/>
      <c r="AX9" s="1527"/>
      <c r="AY9" s="1527"/>
      <c r="AZ9" s="1527"/>
      <c r="BA9" s="1527"/>
      <c r="BB9" s="1527"/>
      <c r="BC9" s="1527"/>
      <c r="BD9" s="1527"/>
      <c r="BE9" s="1528"/>
    </row>
    <row r="10" spans="1:58" thickBot="1">
      <c r="A10" s="1815"/>
      <c r="B10" s="1529" t="s">
        <v>2040</v>
      </c>
      <c r="C10" s="1529"/>
      <c r="D10" s="1529"/>
      <c r="E10" s="1529"/>
      <c r="F10" s="1529"/>
      <c r="G10" s="1529"/>
      <c r="H10" s="1529"/>
      <c r="I10" s="1529"/>
      <c r="J10" s="1529"/>
      <c r="K10" s="1529"/>
      <c r="L10" s="1529"/>
      <c r="M10" s="1527"/>
      <c r="N10" s="2962" t="e">
        <f>VLOOKUP("CalHFA Permanent Loan",Application!C564:AS575,37,TRUE)</f>
        <v>#N/A</v>
      </c>
      <c r="O10" s="2963"/>
      <c r="P10" s="2963"/>
      <c r="Q10" s="2963"/>
      <c r="R10" s="2963"/>
      <c r="S10" s="2963"/>
      <c r="T10" s="2964"/>
      <c r="U10" s="1527"/>
      <c r="V10" s="1527"/>
      <c r="W10" s="1527"/>
      <c r="X10" s="2684" t="s">
        <v>2041</v>
      </c>
      <c r="Y10" s="2685"/>
      <c r="Z10" s="2685"/>
      <c r="AA10" s="2685"/>
      <c r="AB10" s="2685"/>
      <c r="AC10" s="2685"/>
      <c r="AD10" s="2685"/>
      <c r="AE10" s="2685"/>
      <c r="AF10" s="2685"/>
      <c r="AG10" s="2685"/>
      <c r="AH10" s="2685"/>
      <c r="AI10" s="2685"/>
      <c r="AJ10" s="2685"/>
      <c r="AK10" s="2686"/>
      <c r="AL10" s="2984">
        <f>Application!W471</f>
        <v>38</v>
      </c>
      <c r="AM10" s="2985"/>
      <c r="AN10" s="2985"/>
      <c r="AO10" s="2985"/>
      <c r="AP10" s="2986"/>
      <c r="AQ10" s="1530"/>
      <c r="AR10" s="1530"/>
      <c r="AS10" s="1530"/>
      <c r="AT10" s="1530"/>
      <c r="AU10" s="1530"/>
      <c r="AV10" s="1530"/>
      <c r="AW10" s="1530"/>
      <c r="AX10" s="1527"/>
      <c r="AY10" s="1527"/>
      <c r="AZ10" s="1527"/>
      <c r="BA10" s="1527"/>
      <c r="BB10" s="1527"/>
      <c r="BC10" s="1527"/>
      <c r="BD10" s="1527"/>
      <c r="BE10" s="1528"/>
    </row>
    <row r="11" spans="1:58" thickBot="1">
      <c r="A11" s="1815"/>
      <c r="B11" s="1529" t="s">
        <v>2042</v>
      </c>
      <c r="C11" s="1529"/>
      <c r="D11" s="1529"/>
      <c r="E11" s="1529"/>
      <c r="F11" s="1529"/>
      <c r="G11" s="1529"/>
      <c r="H11" s="1529"/>
      <c r="I11" s="1529"/>
      <c r="J11" s="1529"/>
      <c r="K11" s="1529"/>
      <c r="L11" s="1529"/>
      <c r="M11" s="1527"/>
      <c r="N11" s="2965">
        <f>Application!AA925</f>
        <v>0</v>
      </c>
      <c r="O11" s="2966"/>
      <c r="P11" s="2966"/>
      <c r="Q11" s="2966"/>
      <c r="R11" s="2966"/>
      <c r="S11" s="2966"/>
      <c r="T11" s="2967"/>
      <c r="U11" s="1527"/>
      <c r="V11" s="1527"/>
      <c r="W11" s="1527"/>
      <c r="X11" s="2968" t="s">
        <v>2043</v>
      </c>
      <c r="Y11" s="2969"/>
      <c r="Z11" s="2969"/>
      <c r="AA11" s="2969"/>
      <c r="AB11" s="2969"/>
      <c r="AC11" s="2969"/>
      <c r="AD11" s="2969"/>
      <c r="AE11" s="2969"/>
      <c r="AF11" s="2969"/>
      <c r="AG11" s="2969"/>
      <c r="AH11" s="2969"/>
      <c r="AI11" s="2969"/>
      <c r="AJ11" s="2969"/>
      <c r="AK11" s="2970"/>
      <c r="AL11" s="2981">
        <v>44197</v>
      </c>
      <c r="AM11" s="2982"/>
      <c r="AN11" s="2982"/>
      <c r="AO11" s="2982"/>
      <c r="AP11" s="2983"/>
      <c r="AQ11" s="1531"/>
      <c r="AR11" s="1532"/>
      <c r="AS11" s="1530"/>
      <c r="AT11" s="1530"/>
      <c r="AU11" s="1530"/>
      <c r="AV11" s="1530"/>
      <c r="AW11" s="1530"/>
      <c r="AX11" s="1527"/>
      <c r="AY11" s="1527"/>
      <c r="AZ11" s="1527"/>
      <c r="BA11" s="1527"/>
      <c r="BB11" s="1527"/>
      <c r="BC11" s="1527"/>
      <c r="BD11" s="1527"/>
      <c r="BE11" s="1528"/>
    </row>
    <row r="12" spans="1:58" thickBot="1">
      <c r="A12" s="1816"/>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2684" t="s">
        <v>2044</v>
      </c>
      <c r="Y12" s="2685"/>
      <c r="Z12" s="2685"/>
      <c r="AA12" s="2685"/>
      <c r="AB12" s="2685"/>
      <c r="AC12" s="2685"/>
      <c r="AD12" s="2685"/>
      <c r="AE12" s="2685"/>
      <c r="AF12" s="2685"/>
      <c r="AG12" s="2685"/>
      <c r="AH12" s="2685"/>
      <c r="AI12" s="2685"/>
      <c r="AJ12" s="2685"/>
      <c r="AK12" s="2686"/>
      <c r="AL12" s="2981">
        <v>44197</v>
      </c>
      <c r="AM12" s="2982"/>
      <c r="AN12" s="2982"/>
      <c r="AO12" s="2982"/>
      <c r="AP12" s="2983"/>
      <c r="AQ12" s="1530"/>
      <c r="AR12" s="1530"/>
      <c r="AS12" s="1530"/>
      <c r="AT12" s="1530"/>
      <c r="AU12" s="1530"/>
      <c r="AV12" s="1527"/>
      <c r="AW12" s="1527"/>
      <c r="AX12" s="1527"/>
      <c r="AY12" s="1527"/>
      <c r="AZ12" s="1527"/>
      <c r="BA12" s="1527"/>
      <c r="BB12" s="1527"/>
      <c r="BC12" s="1527"/>
      <c r="BD12" s="1527"/>
      <c r="BE12" s="1533"/>
    </row>
    <row r="13" spans="1:58" thickBot="1">
      <c r="A13" s="1816"/>
      <c r="B13" s="2684" t="s">
        <v>2045</v>
      </c>
      <c r="C13" s="2685"/>
      <c r="D13" s="2685"/>
      <c r="E13" s="2685"/>
      <c r="F13" s="2685"/>
      <c r="G13" s="2685"/>
      <c r="H13" s="2685"/>
      <c r="I13" s="2685"/>
      <c r="J13" s="2685"/>
      <c r="K13" s="2685"/>
      <c r="L13" s="2685"/>
      <c r="M13" s="2685"/>
      <c r="N13" s="2685"/>
      <c r="O13" s="2685"/>
      <c r="P13" s="2686"/>
      <c r="Q13" s="2949" t="s">
        <v>2039</v>
      </c>
      <c r="R13" s="2950"/>
      <c r="S13" s="2950"/>
      <c r="T13" s="2951"/>
      <c r="U13" s="1530"/>
      <c r="V13" s="1527"/>
      <c r="W13" s="1527"/>
      <c r="X13" s="1527"/>
      <c r="Y13" s="1527"/>
      <c r="Z13" s="1527"/>
      <c r="AA13" s="1530"/>
      <c r="AB13" s="1530"/>
      <c r="AC13" s="1530"/>
      <c r="AD13" s="1530"/>
      <c r="AE13" s="1530"/>
      <c r="AF13" s="1530"/>
      <c r="AG13" s="1530"/>
      <c r="AH13" s="1530"/>
      <c r="AI13" s="1530"/>
      <c r="AJ13" s="1530"/>
      <c r="AK13" s="1530"/>
      <c r="AL13" s="1530"/>
      <c r="AM13" s="1530"/>
      <c r="AN13" s="1530"/>
      <c r="AO13" s="1530"/>
      <c r="AP13" s="1530"/>
      <c r="AQ13" s="1530"/>
      <c r="AR13" s="1530"/>
      <c r="AS13" s="1530"/>
      <c r="AT13" s="1530"/>
      <c r="AU13" s="1530"/>
      <c r="AV13" s="1530"/>
      <c r="AW13" s="1530"/>
      <c r="AX13" s="1530"/>
      <c r="AY13" s="1530"/>
      <c r="AZ13" s="1530"/>
      <c r="BA13" s="1530"/>
      <c r="BB13" s="1530"/>
      <c r="BC13" s="1530"/>
      <c r="BD13" s="1530"/>
      <c r="BE13" s="1533"/>
    </row>
    <row r="14" spans="1:58" thickBot="1">
      <c r="A14" s="1816"/>
      <c r="B14" s="1527"/>
      <c r="C14" s="1527"/>
      <c r="D14" s="1527"/>
      <c r="E14" s="1527"/>
      <c r="F14" s="1527"/>
      <c r="G14" s="1527"/>
      <c r="H14" s="1527"/>
      <c r="I14" s="1527"/>
      <c r="J14" s="1527"/>
      <c r="K14" s="1527"/>
      <c r="L14" s="1527"/>
      <c r="M14" s="1527"/>
      <c r="N14" s="1527"/>
      <c r="O14" s="1527"/>
      <c r="P14" s="1527"/>
      <c r="Q14" s="1527"/>
      <c r="R14" s="1527"/>
      <c r="S14" s="1527"/>
      <c r="T14" s="1527"/>
      <c r="U14" s="1527"/>
      <c r="V14" s="1527"/>
      <c r="W14" s="1527"/>
      <c r="X14" s="1527"/>
      <c r="Y14" s="1527"/>
      <c r="Z14" s="1527"/>
      <c r="AA14" s="1530"/>
      <c r="AB14" s="1530"/>
      <c r="AC14" s="1530"/>
      <c r="AD14" s="1530"/>
      <c r="AE14" s="1530"/>
      <c r="AF14" s="1530"/>
      <c r="AG14" s="1530"/>
      <c r="AH14" s="1530"/>
      <c r="AI14" s="1530"/>
      <c r="AJ14" s="1530"/>
      <c r="AK14" s="1530"/>
      <c r="AL14" s="1530"/>
      <c r="AM14" s="1530"/>
      <c r="AN14" s="1530"/>
      <c r="AO14" s="1530"/>
      <c r="AP14" s="1530"/>
      <c r="AQ14" s="1530"/>
      <c r="AR14" s="1530"/>
      <c r="AS14" s="1530"/>
      <c r="AT14" s="1530"/>
      <c r="AU14" s="1530"/>
      <c r="AV14" s="1530"/>
      <c r="AW14" s="1530"/>
      <c r="AX14" s="1530"/>
      <c r="AY14" s="1530"/>
      <c r="AZ14" s="1530"/>
      <c r="BA14" s="1530"/>
      <c r="BB14" s="1530"/>
      <c r="BC14" s="1530"/>
      <c r="BD14" s="1530"/>
      <c r="BE14" s="1533"/>
    </row>
    <row r="15" spans="1:58" ht="15">
      <c r="A15" s="1816"/>
      <c r="B15" s="2952" t="s">
        <v>2046</v>
      </c>
      <c r="C15" s="2952"/>
      <c r="D15" s="2952"/>
      <c r="E15" s="2952"/>
      <c r="F15" s="2952"/>
      <c r="G15" s="2952"/>
      <c r="H15" s="2952"/>
      <c r="I15" s="2952"/>
      <c r="J15" s="2952"/>
      <c r="K15" s="2952"/>
      <c r="L15" s="2953"/>
      <c r="M15" s="2682" t="s">
        <v>2047</v>
      </c>
      <c r="N15" s="2683"/>
      <c r="O15" s="2683"/>
      <c r="P15" s="2683"/>
      <c r="Q15" s="2683"/>
      <c r="R15" s="2683"/>
      <c r="S15" s="2954" t="str">
        <f>IF(Application!AB214="","",Application!AB214)</f>
        <v/>
      </c>
      <c r="T15" s="2954"/>
      <c r="U15" s="2954"/>
      <c r="V15" s="2954"/>
      <c r="W15" s="2955"/>
      <c r="X15" s="1530"/>
      <c r="Y15" s="1527"/>
      <c r="Z15" s="1527"/>
      <c r="AA15" s="1530"/>
      <c r="AB15" s="1530"/>
      <c r="AC15" s="1530"/>
      <c r="AD15" s="1530"/>
      <c r="AE15" s="1530"/>
      <c r="AF15" s="1530"/>
      <c r="AG15" s="1530"/>
      <c r="AH15" s="1530"/>
      <c r="AI15" s="1530"/>
      <c r="AJ15" s="1530"/>
      <c r="AK15" s="1530"/>
      <c r="AL15" s="1530"/>
      <c r="AM15" s="1530"/>
      <c r="AN15" s="1530"/>
      <c r="AO15" s="1530"/>
      <c r="AP15" s="1530"/>
      <c r="AQ15" s="1530"/>
      <c r="AR15" s="1530"/>
      <c r="AS15" s="1530"/>
      <c r="AT15" s="1530"/>
      <c r="AU15" s="1530"/>
      <c r="AV15" s="1530"/>
      <c r="AW15" s="1530"/>
      <c r="AX15" s="1530"/>
      <c r="AY15" s="1530"/>
      <c r="AZ15" s="1530"/>
      <c r="BA15" s="1530"/>
      <c r="BB15" s="1530"/>
      <c r="BC15" s="1530"/>
      <c r="BD15" s="1530"/>
      <c r="BE15" s="1533"/>
    </row>
    <row r="16" spans="1:58" thickBot="1">
      <c r="A16" s="1815"/>
      <c r="B16" s="1527"/>
      <c r="C16" s="1527"/>
      <c r="D16" s="1527"/>
      <c r="E16" s="1527"/>
      <c r="F16" s="1527"/>
      <c r="G16" s="1527"/>
      <c r="H16" s="1527"/>
      <c r="I16" s="1527"/>
      <c r="J16" s="1527"/>
      <c r="K16" s="1527"/>
      <c r="L16" s="1527"/>
      <c r="M16" s="1527"/>
      <c r="N16" s="1527"/>
      <c r="O16" s="1527"/>
      <c r="P16" s="1527"/>
      <c r="Q16" s="1527"/>
      <c r="R16" s="1527"/>
      <c r="S16" s="1527"/>
      <c r="T16" s="1527"/>
      <c r="U16" s="1527"/>
      <c r="V16" s="1527"/>
      <c r="W16" s="1527"/>
      <c r="X16" s="1527"/>
      <c r="Y16" s="1527"/>
      <c r="Z16" s="1527"/>
      <c r="AA16" s="1527"/>
      <c r="AB16" s="1527"/>
      <c r="AC16" s="1527"/>
      <c r="AD16" s="1527"/>
      <c r="AE16" s="1527"/>
      <c r="AF16" s="1527"/>
      <c r="AG16" s="1527"/>
      <c r="AH16" s="1527"/>
      <c r="AI16" s="1527"/>
      <c r="AJ16" s="1527"/>
      <c r="AK16" s="1527"/>
      <c r="AL16" s="1527"/>
      <c r="AM16" s="1527"/>
      <c r="AN16" s="1527"/>
      <c r="AO16" s="1527"/>
      <c r="AP16" s="1527"/>
      <c r="AQ16" s="1527"/>
      <c r="AR16" s="1527"/>
      <c r="AS16" s="1527"/>
      <c r="AT16" s="1527"/>
      <c r="AU16" s="1527"/>
      <c r="AV16" s="1527"/>
      <c r="AW16" s="1527"/>
      <c r="AX16" s="1527"/>
      <c r="AY16" s="1527"/>
      <c r="AZ16" s="1527"/>
      <c r="BA16" s="1527"/>
      <c r="BB16" s="1527"/>
      <c r="BC16" s="1527"/>
      <c r="BD16" s="1527"/>
      <c r="BE16" s="1533"/>
    </row>
    <row r="17" spans="1:58" ht="15">
      <c r="A17" s="1816"/>
      <c r="B17" s="2753" t="s">
        <v>2048</v>
      </c>
      <c r="C17" s="2754"/>
      <c r="D17" s="2754"/>
      <c r="E17" s="2754"/>
      <c r="F17" s="2754"/>
      <c r="G17" s="2754"/>
      <c r="H17" s="2754"/>
      <c r="I17" s="2754"/>
      <c r="J17" s="2754"/>
      <c r="K17" s="2754"/>
      <c r="L17" s="2754"/>
      <c r="M17" s="2754"/>
      <c r="N17" s="2754"/>
      <c r="O17" s="2754"/>
      <c r="P17" s="2754"/>
      <c r="Q17" s="2754"/>
      <c r="R17" s="2754"/>
      <c r="S17" s="2754"/>
      <c r="T17" s="2754"/>
      <c r="U17" s="2754"/>
      <c r="V17" s="2754"/>
      <c r="W17" s="2754"/>
      <c r="X17" s="2754"/>
      <c r="Y17" s="2754"/>
      <c r="Z17" s="2754"/>
      <c r="AA17" s="2754"/>
      <c r="AB17" s="2754"/>
      <c r="AC17" s="2754"/>
      <c r="AD17" s="2754"/>
      <c r="AE17" s="2754"/>
      <c r="AF17" s="2754"/>
      <c r="AG17" s="2754"/>
      <c r="AH17" s="2754"/>
      <c r="AI17" s="2754"/>
      <c r="AJ17" s="2754"/>
      <c r="AK17" s="2754"/>
      <c r="AL17" s="2754"/>
      <c r="AM17" s="2754"/>
      <c r="AN17" s="2754"/>
      <c r="AO17" s="2754"/>
      <c r="AP17" s="2754"/>
      <c r="AQ17" s="2754"/>
      <c r="AR17" s="2754"/>
      <c r="AS17" s="2754"/>
      <c r="AT17" s="2754"/>
      <c r="AU17" s="2754"/>
      <c r="AV17" s="2754"/>
      <c r="AW17" s="2754"/>
      <c r="AX17" s="2754"/>
      <c r="AY17" s="2815"/>
      <c r="AZ17" s="1527"/>
      <c r="BA17" s="1527"/>
      <c r="BB17" s="1527"/>
      <c r="BC17" s="1527"/>
      <c r="BD17" s="1527"/>
      <c r="BE17" s="1533"/>
      <c r="BF17" s="1525"/>
    </row>
    <row r="18" spans="1:58" ht="15.75" customHeight="1">
      <c r="A18" s="1816"/>
      <c r="B18" s="2945" t="s">
        <v>2049</v>
      </c>
      <c r="C18" s="2946"/>
      <c r="D18" s="2946"/>
      <c r="E18" s="2946"/>
      <c r="F18" s="2946"/>
      <c r="G18" s="2946"/>
      <c r="H18" s="2946"/>
      <c r="I18" s="2947"/>
      <c r="J18" s="2931" t="s">
        <v>1881</v>
      </c>
      <c r="K18" s="2932"/>
      <c r="L18" s="2932"/>
      <c r="M18" s="2932"/>
      <c r="N18" s="2932"/>
      <c r="O18" s="2933"/>
      <c r="P18" s="2931" t="s">
        <v>333</v>
      </c>
      <c r="Q18" s="2932"/>
      <c r="R18" s="2932"/>
      <c r="S18" s="2932"/>
      <c r="T18" s="2932"/>
      <c r="U18" s="2933"/>
      <c r="V18" s="2931" t="s">
        <v>334</v>
      </c>
      <c r="W18" s="2932"/>
      <c r="X18" s="2932"/>
      <c r="Y18" s="2932"/>
      <c r="Z18" s="2932"/>
      <c r="AA18" s="2933"/>
      <c r="AB18" s="2931" t="s">
        <v>168</v>
      </c>
      <c r="AC18" s="2932"/>
      <c r="AD18" s="2932"/>
      <c r="AE18" s="2932"/>
      <c r="AF18" s="2932"/>
      <c r="AG18" s="2933"/>
      <c r="AH18" s="2931" t="s">
        <v>169</v>
      </c>
      <c r="AI18" s="2932"/>
      <c r="AJ18" s="2932"/>
      <c r="AK18" s="2932"/>
      <c r="AL18" s="2932"/>
      <c r="AM18" s="2933"/>
      <c r="AN18" s="2931" t="s">
        <v>170</v>
      </c>
      <c r="AO18" s="2932"/>
      <c r="AP18" s="2932"/>
      <c r="AQ18" s="2932"/>
      <c r="AR18" s="2932"/>
      <c r="AS18" s="2933"/>
      <c r="AT18" s="2931" t="s">
        <v>2050</v>
      </c>
      <c r="AU18" s="2932"/>
      <c r="AV18" s="2932"/>
      <c r="AW18" s="2932"/>
      <c r="AX18" s="2932"/>
      <c r="AY18" s="2948"/>
      <c r="AZ18" s="1527"/>
      <c r="BA18" s="1527"/>
      <c r="BB18" s="1527"/>
      <c r="BC18" s="1527"/>
      <c r="BD18" s="1527"/>
      <c r="BE18" s="1533"/>
    </row>
    <row r="19" spans="1:58" ht="15">
      <c r="A19" s="1816"/>
      <c r="B19" s="2943">
        <v>0.2</v>
      </c>
      <c r="C19" s="2944"/>
      <c r="D19" s="2944"/>
      <c r="E19" s="2944"/>
      <c r="F19" s="2944"/>
      <c r="G19" s="2944"/>
      <c r="H19" s="2944"/>
      <c r="I19" s="2944"/>
      <c r="J19" s="2931">
        <f>SUM(P19:AS19)</f>
        <v>0</v>
      </c>
      <c r="K19" s="2932"/>
      <c r="L19" s="2932"/>
      <c r="M19" s="2932"/>
      <c r="N19" s="2932"/>
      <c r="O19" s="2933"/>
      <c r="P19" s="2937" cm="1">
        <f t="array" ref="P19">SUMPRODUCT((Application!$B$728:$B$752 = 'CalHFA Addendum'!P$18)*(Application!$AH$728:$AH$752 = 'CalHFA Addendum'!$B19),Application!$G$728:$G$752)</f>
        <v>0</v>
      </c>
      <c r="Q19" s="2938"/>
      <c r="R19" s="2938"/>
      <c r="S19" s="2938"/>
      <c r="T19" s="2938"/>
      <c r="U19" s="2939"/>
      <c r="V19" s="2937" cm="1">
        <f t="array" ref="V19">SUMPRODUCT((Application!$B$728:$B$752 = 'CalHFA Addendum'!V$18)*(Application!$AH$728:$AH$752 = 'CalHFA Addendum'!$B19),Application!$G$728:$G$752)</f>
        <v>0</v>
      </c>
      <c r="W19" s="2938"/>
      <c r="X19" s="2938"/>
      <c r="Y19" s="2938"/>
      <c r="Z19" s="2938"/>
      <c r="AA19" s="2939"/>
      <c r="AB19" s="2937" cm="1">
        <f t="array" ref="AB19">SUMPRODUCT((Application!$B$728:$B$752 = 'CalHFA Addendum'!AB$18)*(Application!$AH$728:$AH$752 = 'CalHFA Addendum'!$B19),Application!$G$728:$G$752)</f>
        <v>0</v>
      </c>
      <c r="AC19" s="2938"/>
      <c r="AD19" s="2938"/>
      <c r="AE19" s="2938"/>
      <c r="AF19" s="2938"/>
      <c r="AG19" s="2939"/>
      <c r="AH19" s="2937" cm="1">
        <f t="array" ref="AH19">SUMPRODUCT((Application!$B$728:$B$752 = 'CalHFA Addendum'!AH$18)*(Application!$AH$728:$AH$752 = 'CalHFA Addendum'!$B19),Application!$G$728:$G$752)</f>
        <v>0</v>
      </c>
      <c r="AI19" s="2938"/>
      <c r="AJ19" s="2938"/>
      <c r="AK19" s="2938"/>
      <c r="AL19" s="2938"/>
      <c r="AM19" s="2939"/>
      <c r="AN19" s="2937" cm="1">
        <f t="array" ref="AN19">SUMPRODUCT((Application!$B$728:$B$752 = 'CalHFA Addendum'!AN$18)*(Application!$AH$728:$AH$752 = 'CalHFA Addendum'!$B19),Application!$G$728:$G$752)</f>
        <v>0</v>
      </c>
      <c r="AO19" s="2938"/>
      <c r="AP19" s="2938"/>
      <c r="AQ19" s="2938"/>
      <c r="AR19" s="2938"/>
      <c r="AS19" s="2939"/>
      <c r="AT19" s="2940">
        <f t="shared" ref="AT19:AT27" si="0">J19/$J$29</f>
        <v>0</v>
      </c>
      <c r="AU19" s="2941"/>
      <c r="AV19" s="2941"/>
      <c r="AW19" s="2941"/>
      <c r="AX19" s="2941"/>
      <c r="AY19" s="2942"/>
      <c r="AZ19" s="1534"/>
      <c r="BA19" s="1527"/>
      <c r="BB19" s="1527"/>
      <c r="BC19" s="1527"/>
      <c r="BD19" s="1527"/>
      <c r="BE19" s="1533"/>
    </row>
    <row r="20" spans="1:58" ht="15" customHeight="1">
      <c r="A20" s="1816"/>
      <c r="B20" s="2943">
        <v>0.3</v>
      </c>
      <c r="C20" s="2944"/>
      <c r="D20" s="2944"/>
      <c r="E20" s="2944"/>
      <c r="F20" s="2944"/>
      <c r="G20" s="2944"/>
      <c r="H20" s="2944"/>
      <c r="I20" s="2944"/>
      <c r="J20" s="2931">
        <f t="shared" ref="J20:J27" si="1">SUM(P20:AS20)</f>
        <v>25</v>
      </c>
      <c r="K20" s="2932"/>
      <c r="L20" s="2932"/>
      <c r="M20" s="2932"/>
      <c r="N20" s="2932"/>
      <c r="O20" s="2933"/>
      <c r="P20" s="2937" cm="1">
        <f t="array" ref="P20">SUMPRODUCT((Application!$B$728:$B$752 = 'CalHFA Addendum'!P$18)*(Application!$AH$728:$AH$752 = 'CalHFA Addendum'!$B20),Application!$G$728:$G$752)</f>
        <v>0</v>
      </c>
      <c r="Q20" s="2938"/>
      <c r="R20" s="2938"/>
      <c r="S20" s="2938"/>
      <c r="T20" s="2938"/>
      <c r="U20" s="2939"/>
      <c r="V20" s="2937" cm="1">
        <f t="array" ref="V20">SUMPRODUCT((Application!$B$728:$B$752 = 'CalHFA Addendum'!V$18)*(Application!$AH$728:$AH$752 = 'CalHFA Addendum'!$B20),Application!$G$728:$G$752)</f>
        <v>7</v>
      </c>
      <c r="W20" s="2938"/>
      <c r="X20" s="2938"/>
      <c r="Y20" s="2938"/>
      <c r="Z20" s="2938"/>
      <c r="AA20" s="2939"/>
      <c r="AB20" s="2937" cm="1">
        <f t="array" ref="AB20">SUMPRODUCT((Application!$B$728:$B$752 = 'CalHFA Addendum'!AB$18)*(Application!$AH$728:$AH$752 = 'CalHFA Addendum'!$B20),Application!$G$728:$G$752)</f>
        <v>11</v>
      </c>
      <c r="AC20" s="2938"/>
      <c r="AD20" s="2938"/>
      <c r="AE20" s="2938"/>
      <c r="AF20" s="2938"/>
      <c r="AG20" s="2939"/>
      <c r="AH20" s="2937" cm="1">
        <f t="array" ref="AH20">SUMPRODUCT((Application!$B$728:$B$752 = 'CalHFA Addendum'!AH$18)*(Application!$AH$728:$AH$752 = 'CalHFA Addendum'!$B20),Application!$G$728:$G$752)</f>
        <v>7</v>
      </c>
      <c r="AI20" s="2938"/>
      <c r="AJ20" s="2938"/>
      <c r="AK20" s="2938"/>
      <c r="AL20" s="2938"/>
      <c r="AM20" s="2939"/>
      <c r="AN20" s="2937" cm="1">
        <f t="array" ref="AN20">SUMPRODUCT((Application!$B$728:$B$752 = 'CalHFA Addendum'!AN$18)*(Application!$AH$728:$AH$752 = 'CalHFA Addendum'!$B20),Application!$G$728:$G$752)</f>
        <v>0</v>
      </c>
      <c r="AO20" s="2938"/>
      <c r="AP20" s="2938"/>
      <c r="AQ20" s="2938"/>
      <c r="AR20" s="2938"/>
      <c r="AS20" s="2939"/>
      <c r="AT20" s="2940">
        <f t="shared" si="0"/>
        <v>0.10040160642570281</v>
      </c>
      <c r="AU20" s="2941"/>
      <c r="AV20" s="2941"/>
      <c r="AW20" s="2941"/>
      <c r="AX20" s="2941"/>
      <c r="AY20" s="2942"/>
      <c r="AZ20" s="1527"/>
      <c r="BA20" s="1527"/>
      <c r="BB20" s="1527"/>
      <c r="BC20" s="1527"/>
      <c r="BD20" s="1527"/>
      <c r="BE20" s="1533"/>
    </row>
    <row r="21" spans="1:58" ht="15">
      <c r="A21" s="1816"/>
      <c r="B21" s="2943">
        <v>0.4</v>
      </c>
      <c r="C21" s="2944"/>
      <c r="D21" s="2944"/>
      <c r="E21" s="2944"/>
      <c r="F21" s="2944"/>
      <c r="G21" s="2944"/>
      <c r="H21" s="2944"/>
      <c r="I21" s="2944"/>
      <c r="J21" s="2931">
        <f t="shared" si="1"/>
        <v>0</v>
      </c>
      <c r="K21" s="2932"/>
      <c r="L21" s="2932"/>
      <c r="M21" s="2932"/>
      <c r="N21" s="2932"/>
      <c r="O21" s="2933"/>
      <c r="P21" s="2937" cm="1">
        <f t="array" ref="P21">SUMPRODUCT((Application!$B$728:$B$752 = 'CalHFA Addendum'!P$18)*(Application!$AH$728:$AH$752 = 'CalHFA Addendum'!$B21),Application!$G$728:$G$752)</f>
        <v>0</v>
      </c>
      <c r="Q21" s="2938"/>
      <c r="R21" s="2938"/>
      <c r="S21" s="2938"/>
      <c r="T21" s="2938"/>
      <c r="U21" s="2939"/>
      <c r="V21" s="2937" cm="1">
        <f t="array" ref="V21">SUMPRODUCT((Application!$B$728:$B$752 = 'CalHFA Addendum'!V$18)*(Application!$AH$728:$AH$752 = 'CalHFA Addendum'!$B21),Application!$G$728:$G$752)</f>
        <v>0</v>
      </c>
      <c r="W21" s="2938"/>
      <c r="X21" s="2938"/>
      <c r="Y21" s="2938"/>
      <c r="Z21" s="2938"/>
      <c r="AA21" s="2939"/>
      <c r="AB21" s="2937" cm="1">
        <f t="array" ref="AB21">SUMPRODUCT((Application!$B$728:$B$752 = 'CalHFA Addendum'!AB$18)*(Application!$AH$728:$AH$752 = 'CalHFA Addendum'!$B21),Application!$G$728:$G$752)</f>
        <v>0</v>
      </c>
      <c r="AC21" s="2938"/>
      <c r="AD21" s="2938"/>
      <c r="AE21" s="2938"/>
      <c r="AF21" s="2938"/>
      <c r="AG21" s="2939"/>
      <c r="AH21" s="2937" cm="1">
        <f t="array" ref="AH21">SUMPRODUCT((Application!$B$728:$B$752 = 'CalHFA Addendum'!AH$18)*(Application!$AH$728:$AH$752 = 'CalHFA Addendum'!$B21),Application!$G$728:$G$752)</f>
        <v>0</v>
      </c>
      <c r="AI21" s="2938"/>
      <c r="AJ21" s="2938"/>
      <c r="AK21" s="2938"/>
      <c r="AL21" s="2938"/>
      <c r="AM21" s="2939"/>
      <c r="AN21" s="2937" cm="1">
        <f t="array" ref="AN21">SUMPRODUCT((Application!$B$728:$B$752 = 'CalHFA Addendum'!AN$18)*(Application!$AH$728:$AH$752 = 'CalHFA Addendum'!$B21),Application!$G$728:$G$752)</f>
        <v>0</v>
      </c>
      <c r="AO21" s="2938"/>
      <c r="AP21" s="2938"/>
      <c r="AQ21" s="2938"/>
      <c r="AR21" s="2938"/>
      <c r="AS21" s="2939"/>
      <c r="AT21" s="2940">
        <f t="shared" si="0"/>
        <v>0</v>
      </c>
      <c r="AU21" s="2941"/>
      <c r="AV21" s="2941"/>
      <c r="AW21" s="2941"/>
      <c r="AX21" s="2941"/>
      <c r="AY21" s="2942"/>
      <c r="AZ21" s="1527"/>
      <c r="BA21" s="1527"/>
      <c r="BB21" s="1527"/>
      <c r="BC21" s="1527"/>
      <c r="BD21" s="1527"/>
      <c r="BE21" s="1533"/>
    </row>
    <row r="22" spans="1:58" ht="15">
      <c r="A22" s="1816"/>
      <c r="B22" s="2943">
        <v>0.5</v>
      </c>
      <c r="C22" s="2944"/>
      <c r="D22" s="2944"/>
      <c r="E22" s="2944"/>
      <c r="F22" s="2944"/>
      <c r="G22" s="2944"/>
      <c r="H22" s="2944"/>
      <c r="I22" s="2944"/>
      <c r="J22" s="2931">
        <f t="shared" si="1"/>
        <v>25</v>
      </c>
      <c r="K22" s="2932"/>
      <c r="L22" s="2932"/>
      <c r="M22" s="2932"/>
      <c r="N22" s="2932"/>
      <c r="O22" s="2933"/>
      <c r="P22" s="2937" cm="1">
        <f t="array" ref="P22">SUMPRODUCT((Application!$B$728:$B$752 = 'CalHFA Addendum'!P$18)*(Application!$AH$728:$AH$752 = 'CalHFA Addendum'!$B22),Application!$G$728:$G$752)</f>
        <v>0</v>
      </c>
      <c r="Q22" s="2938"/>
      <c r="R22" s="2938"/>
      <c r="S22" s="2938"/>
      <c r="T22" s="2938"/>
      <c r="U22" s="2939"/>
      <c r="V22" s="2937" cm="1">
        <f t="array" ref="V22">SUMPRODUCT((Application!$B$728:$B$752 = 'CalHFA Addendum'!V$18)*(Application!$AH$728:$AH$752 = 'CalHFA Addendum'!$B22),Application!$G$728:$G$752)</f>
        <v>7</v>
      </c>
      <c r="W22" s="2938"/>
      <c r="X22" s="2938"/>
      <c r="Y22" s="2938"/>
      <c r="Z22" s="2938"/>
      <c r="AA22" s="2939"/>
      <c r="AB22" s="2937" cm="1">
        <f t="array" ref="AB22">SUMPRODUCT((Application!$B$728:$B$752 = 'CalHFA Addendum'!AB$18)*(Application!$AH$728:$AH$752 = 'CalHFA Addendum'!$B22),Application!$G$728:$G$752)</f>
        <v>12</v>
      </c>
      <c r="AC22" s="2938"/>
      <c r="AD22" s="2938"/>
      <c r="AE22" s="2938"/>
      <c r="AF22" s="2938"/>
      <c r="AG22" s="2939"/>
      <c r="AH22" s="2937" cm="1">
        <f t="array" ref="AH22">SUMPRODUCT((Application!$B$728:$B$752 = 'CalHFA Addendum'!AH$18)*(Application!$AH$728:$AH$752 = 'CalHFA Addendum'!$B22),Application!$G$728:$G$752)</f>
        <v>6</v>
      </c>
      <c r="AI22" s="2938"/>
      <c r="AJ22" s="2938"/>
      <c r="AK22" s="2938"/>
      <c r="AL22" s="2938"/>
      <c r="AM22" s="2939"/>
      <c r="AN22" s="2937" cm="1">
        <f t="array" ref="AN22">SUMPRODUCT((Application!$B$728:$B$752 = 'CalHFA Addendum'!AN$18)*(Application!$AH$728:$AH$752 = 'CalHFA Addendum'!$B22),Application!$G$728:$G$752)</f>
        <v>0</v>
      </c>
      <c r="AO22" s="2938"/>
      <c r="AP22" s="2938"/>
      <c r="AQ22" s="2938"/>
      <c r="AR22" s="2938"/>
      <c r="AS22" s="2939"/>
      <c r="AT22" s="2940">
        <f t="shared" si="0"/>
        <v>0.10040160642570281</v>
      </c>
      <c r="AU22" s="2941"/>
      <c r="AV22" s="2941"/>
      <c r="AW22" s="2941"/>
      <c r="AX22" s="2941"/>
      <c r="AY22" s="2942"/>
      <c r="AZ22" s="1527"/>
      <c r="BA22" s="1527"/>
      <c r="BB22" s="1527"/>
      <c r="BC22" s="1527"/>
      <c r="BD22" s="1527"/>
      <c r="BE22" s="1533"/>
    </row>
    <row r="23" spans="1:58" ht="15">
      <c r="A23" s="1816"/>
      <c r="B23" s="2943">
        <v>0.6</v>
      </c>
      <c r="C23" s="2944"/>
      <c r="D23" s="2944"/>
      <c r="E23" s="2944"/>
      <c r="F23" s="2944"/>
      <c r="G23" s="2944"/>
      <c r="H23" s="2944"/>
      <c r="I23" s="2944"/>
      <c r="J23" s="2931">
        <f t="shared" si="1"/>
        <v>196</v>
      </c>
      <c r="K23" s="2932"/>
      <c r="L23" s="2932"/>
      <c r="M23" s="2932"/>
      <c r="N23" s="2932"/>
      <c r="O23" s="2933"/>
      <c r="P23" s="2937" cm="1">
        <f t="array" ref="P23">SUMPRODUCT((Application!$B$728:$B$752 = 'CalHFA Addendum'!P$18)*(Application!$AH$728:$AH$752 = 'CalHFA Addendum'!$B23),Application!$G$728:$G$752)</f>
        <v>0</v>
      </c>
      <c r="Q23" s="2938"/>
      <c r="R23" s="2938"/>
      <c r="S23" s="2938"/>
      <c r="T23" s="2938"/>
      <c r="U23" s="2939"/>
      <c r="V23" s="2937" cm="1">
        <f t="array" ref="V23">SUMPRODUCT((Application!$B$728:$B$752 = 'CalHFA Addendum'!V$18)*(Application!$AH$728:$AH$752 = 'CalHFA Addendum'!$B23),Application!$G$728:$G$752)</f>
        <v>56</v>
      </c>
      <c r="W23" s="2938"/>
      <c r="X23" s="2938"/>
      <c r="Y23" s="2938"/>
      <c r="Z23" s="2938"/>
      <c r="AA23" s="2939"/>
      <c r="AB23" s="2937" cm="1">
        <f t="array" ref="AB23">SUMPRODUCT((Application!$B$728:$B$752 = 'CalHFA Addendum'!AB$18)*(Application!$AH$728:$AH$752 = 'CalHFA Addendum'!$B23),Application!$G$728:$G$752)</f>
        <v>90</v>
      </c>
      <c r="AC23" s="2938"/>
      <c r="AD23" s="2938"/>
      <c r="AE23" s="2938"/>
      <c r="AF23" s="2938"/>
      <c r="AG23" s="2939"/>
      <c r="AH23" s="2937" cm="1">
        <f t="array" ref="AH23">SUMPRODUCT((Application!$B$728:$B$752 = 'CalHFA Addendum'!AH$18)*(Application!$AH$728:$AH$752 = 'CalHFA Addendum'!$B23),Application!$G$728:$G$752)</f>
        <v>50</v>
      </c>
      <c r="AI23" s="2938"/>
      <c r="AJ23" s="2938"/>
      <c r="AK23" s="2938"/>
      <c r="AL23" s="2938"/>
      <c r="AM23" s="2939"/>
      <c r="AN23" s="2937" cm="1">
        <f t="array" ref="AN23">SUMPRODUCT((Application!$B$728:$B$752 = 'CalHFA Addendum'!AN$18)*(Application!$AH$728:$AH$752 = 'CalHFA Addendum'!$B23),Application!$G$728:$G$752)</f>
        <v>0</v>
      </c>
      <c r="AO23" s="2938"/>
      <c r="AP23" s="2938"/>
      <c r="AQ23" s="2938"/>
      <c r="AR23" s="2938"/>
      <c r="AS23" s="2939"/>
      <c r="AT23" s="2940">
        <f t="shared" si="0"/>
        <v>0.78714859437751006</v>
      </c>
      <c r="AU23" s="2941"/>
      <c r="AV23" s="2941"/>
      <c r="AW23" s="2941"/>
      <c r="AX23" s="2941"/>
      <c r="AY23" s="2942"/>
      <c r="AZ23" s="1527"/>
      <c r="BA23" s="1527"/>
      <c r="BB23" s="1527"/>
      <c r="BC23" s="1527"/>
      <c r="BD23" s="1527"/>
      <c r="BE23" s="1533"/>
    </row>
    <row r="24" spans="1:58" ht="15">
      <c r="A24" s="1816"/>
      <c r="B24" s="2943">
        <v>0.7</v>
      </c>
      <c r="C24" s="2944"/>
      <c r="D24" s="2944"/>
      <c r="E24" s="2944"/>
      <c r="F24" s="2944"/>
      <c r="G24" s="2944"/>
      <c r="H24" s="2944"/>
      <c r="I24" s="2944"/>
      <c r="J24" s="2931">
        <f t="shared" si="1"/>
        <v>0</v>
      </c>
      <c r="K24" s="2932"/>
      <c r="L24" s="2932"/>
      <c r="M24" s="2932"/>
      <c r="N24" s="2932"/>
      <c r="O24" s="2933"/>
      <c r="P24" s="2937" cm="1">
        <f t="array" ref="P24">SUMPRODUCT((Application!$B$728:$B$752 = 'CalHFA Addendum'!P$18)*(Application!$AH$728:$AH$752 = 'CalHFA Addendum'!$B24),Application!$G$728:$G$752)</f>
        <v>0</v>
      </c>
      <c r="Q24" s="2938"/>
      <c r="R24" s="2938"/>
      <c r="S24" s="2938"/>
      <c r="T24" s="2938"/>
      <c r="U24" s="2939"/>
      <c r="V24" s="2937" cm="1">
        <f t="array" ref="V24">SUMPRODUCT((Application!$B$728:$B$752 = 'CalHFA Addendum'!V$18)*(Application!$AH$728:$AH$752 = 'CalHFA Addendum'!$B24),Application!$G$728:$G$752)</f>
        <v>0</v>
      </c>
      <c r="W24" s="2938"/>
      <c r="X24" s="2938"/>
      <c r="Y24" s="2938"/>
      <c r="Z24" s="2938"/>
      <c r="AA24" s="2939"/>
      <c r="AB24" s="2937" cm="1">
        <f t="array" ref="AB24">SUMPRODUCT((Application!$B$728:$B$752 = 'CalHFA Addendum'!AB$18)*(Application!$AH$728:$AH$752 = 'CalHFA Addendum'!$B24),Application!$G$728:$G$752)</f>
        <v>0</v>
      </c>
      <c r="AC24" s="2938"/>
      <c r="AD24" s="2938"/>
      <c r="AE24" s="2938"/>
      <c r="AF24" s="2938"/>
      <c r="AG24" s="2939"/>
      <c r="AH24" s="2937" cm="1">
        <f t="array" ref="AH24">SUMPRODUCT((Application!$B$728:$B$752 = 'CalHFA Addendum'!AH$18)*(Application!$AH$728:$AH$752 = 'CalHFA Addendum'!$B24),Application!$G$728:$G$752)</f>
        <v>0</v>
      </c>
      <c r="AI24" s="2938"/>
      <c r="AJ24" s="2938"/>
      <c r="AK24" s="2938"/>
      <c r="AL24" s="2938"/>
      <c r="AM24" s="2939"/>
      <c r="AN24" s="2937" cm="1">
        <f t="array" ref="AN24">SUMPRODUCT((Application!$B$728:$B$752 = 'CalHFA Addendum'!AN$18)*(Application!$AH$728:$AH$752 = 'CalHFA Addendum'!$B24),Application!$G$728:$G$752)</f>
        <v>0</v>
      </c>
      <c r="AO24" s="2938"/>
      <c r="AP24" s="2938"/>
      <c r="AQ24" s="2938"/>
      <c r="AR24" s="2938"/>
      <c r="AS24" s="2939"/>
      <c r="AT24" s="2940">
        <f t="shared" si="0"/>
        <v>0</v>
      </c>
      <c r="AU24" s="2941"/>
      <c r="AV24" s="2941"/>
      <c r="AW24" s="2941"/>
      <c r="AX24" s="2941"/>
      <c r="AY24" s="2942"/>
      <c r="AZ24" s="1527"/>
      <c r="BA24" s="1527"/>
      <c r="BB24" s="1527"/>
      <c r="BC24" s="1527"/>
      <c r="BD24" s="1527"/>
      <c r="BE24" s="1533"/>
    </row>
    <row r="25" spans="1:58" ht="15">
      <c r="A25" s="1816"/>
      <c r="B25" s="2943">
        <v>0.8</v>
      </c>
      <c r="C25" s="2944"/>
      <c r="D25" s="2944"/>
      <c r="E25" s="2944"/>
      <c r="F25" s="2944"/>
      <c r="G25" s="2944"/>
      <c r="H25" s="2944"/>
      <c r="I25" s="2944"/>
      <c r="J25" s="2931">
        <f t="shared" si="1"/>
        <v>0</v>
      </c>
      <c r="K25" s="2932"/>
      <c r="L25" s="2932"/>
      <c r="M25" s="2932"/>
      <c r="N25" s="2932"/>
      <c r="O25" s="2933"/>
      <c r="P25" s="2937" cm="1">
        <f t="array" ref="P25">SUMPRODUCT((Application!$B$728:$B$752 = 'CalHFA Addendum'!P$18)*(Application!$AH$728:$AH$752 = 'CalHFA Addendum'!$B25),Application!$G$728:$G$752)</f>
        <v>0</v>
      </c>
      <c r="Q25" s="2938"/>
      <c r="R25" s="2938"/>
      <c r="S25" s="2938"/>
      <c r="T25" s="2938"/>
      <c r="U25" s="2939"/>
      <c r="V25" s="2937" cm="1">
        <f t="array" ref="V25">SUMPRODUCT((Application!$B$728:$B$752 = 'CalHFA Addendum'!V$18)*(Application!$AH$728:$AH$752 = 'CalHFA Addendum'!$B25),Application!$G$728:$G$752)</f>
        <v>0</v>
      </c>
      <c r="W25" s="2938"/>
      <c r="X25" s="2938"/>
      <c r="Y25" s="2938"/>
      <c r="Z25" s="2938"/>
      <c r="AA25" s="2939"/>
      <c r="AB25" s="2937" cm="1">
        <f t="array" ref="AB25">SUMPRODUCT((Application!$B$728:$B$752 = 'CalHFA Addendum'!AB$18)*(Application!$AH$728:$AH$752 = 'CalHFA Addendum'!$B25),Application!$G$728:$G$752)</f>
        <v>0</v>
      </c>
      <c r="AC25" s="2938"/>
      <c r="AD25" s="2938"/>
      <c r="AE25" s="2938"/>
      <c r="AF25" s="2938"/>
      <c r="AG25" s="2939"/>
      <c r="AH25" s="2937" cm="1">
        <f t="array" ref="AH25">SUMPRODUCT((Application!$B$728:$B$752 = 'CalHFA Addendum'!AH$18)*(Application!$AH$728:$AH$752 = 'CalHFA Addendum'!$B25),Application!$G$728:$G$752)</f>
        <v>0</v>
      </c>
      <c r="AI25" s="2938"/>
      <c r="AJ25" s="2938"/>
      <c r="AK25" s="2938"/>
      <c r="AL25" s="2938"/>
      <c r="AM25" s="2939"/>
      <c r="AN25" s="2937" cm="1">
        <f t="array" ref="AN25">SUMPRODUCT((Application!$B$728:$B$752 = 'CalHFA Addendum'!AN$18)*(Application!$AH$728:$AH$752 = 'CalHFA Addendum'!$B25),Application!$G$728:$G$752)</f>
        <v>0</v>
      </c>
      <c r="AO25" s="2938"/>
      <c r="AP25" s="2938"/>
      <c r="AQ25" s="2938"/>
      <c r="AR25" s="2938"/>
      <c r="AS25" s="2939"/>
      <c r="AT25" s="2940">
        <f t="shared" si="0"/>
        <v>0</v>
      </c>
      <c r="AU25" s="2941"/>
      <c r="AV25" s="2941"/>
      <c r="AW25" s="2941"/>
      <c r="AX25" s="2941"/>
      <c r="AY25" s="2942"/>
      <c r="AZ25" s="1527"/>
      <c r="BA25" s="1527"/>
      <c r="BB25" s="1527"/>
      <c r="BC25" s="1527"/>
      <c r="BD25" s="1527"/>
      <c r="BE25" s="1533"/>
    </row>
    <row r="26" spans="1:58" ht="15">
      <c r="A26" s="1816"/>
      <c r="B26" s="2943">
        <v>0.9</v>
      </c>
      <c r="C26" s="2944"/>
      <c r="D26" s="2944"/>
      <c r="E26" s="2944"/>
      <c r="F26" s="2944"/>
      <c r="G26" s="2944"/>
      <c r="H26" s="2944"/>
      <c r="I26" s="2944"/>
      <c r="J26" s="2931">
        <f t="shared" si="1"/>
        <v>0</v>
      </c>
      <c r="K26" s="2932"/>
      <c r="L26" s="2932"/>
      <c r="M26" s="2932"/>
      <c r="N26" s="2932"/>
      <c r="O26" s="2933"/>
      <c r="P26" s="2937" cm="1">
        <f t="array" ref="P26">SUMPRODUCT((Application!$B$728:$B$752 = 'CalHFA Addendum'!P$18)*(Application!$AH$728:$AH$752 = 'CalHFA Addendum'!$B26),Application!$G$728:$G$752)</f>
        <v>0</v>
      </c>
      <c r="Q26" s="2938"/>
      <c r="R26" s="2938"/>
      <c r="S26" s="2938"/>
      <c r="T26" s="2938"/>
      <c r="U26" s="2939"/>
      <c r="V26" s="2937" cm="1">
        <f t="array" ref="V26">SUMPRODUCT((Application!$B$728:$B$752 = 'CalHFA Addendum'!V$18)*(Application!$AH$728:$AH$752 = 'CalHFA Addendum'!$B26),Application!$G$728:$G$752)</f>
        <v>0</v>
      </c>
      <c r="W26" s="2938"/>
      <c r="X26" s="2938"/>
      <c r="Y26" s="2938"/>
      <c r="Z26" s="2938"/>
      <c r="AA26" s="2939"/>
      <c r="AB26" s="2937" cm="1">
        <f t="array" ref="AB26">SUMPRODUCT((Application!$B$728:$B$752 = 'CalHFA Addendum'!AB$18)*(Application!$AH$728:$AH$752 = 'CalHFA Addendum'!$B26),Application!$G$728:$G$752)</f>
        <v>0</v>
      </c>
      <c r="AC26" s="2938"/>
      <c r="AD26" s="2938"/>
      <c r="AE26" s="2938"/>
      <c r="AF26" s="2938"/>
      <c r="AG26" s="2939"/>
      <c r="AH26" s="2937" cm="1">
        <f t="array" ref="AH26">SUMPRODUCT((Application!$B$728:$B$752 = 'CalHFA Addendum'!AH$18)*(Application!$AH$728:$AH$752 = 'CalHFA Addendum'!$B26),Application!$G$728:$G$752)</f>
        <v>0</v>
      </c>
      <c r="AI26" s="2938"/>
      <c r="AJ26" s="2938"/>
      <c r="AK26" s="2938"/>
      <c r="AL26" s="2938"/>
      <c r="AM26" s="2939"/>
      <c r="AN26" s="2937" cm="1">
        <f t="array" ref="AN26">SUMPRODUCT((Application!$B$728:$B$752 = 'CalHFA Addendum'!AN$18)*(Application!$AH$728:$AH$752 = 'CalHFA Addendum'!$B26),Application!$G$728:$G$752)</f>
        <v>0</v>
      </c>
      <c r="AO26" s="2938"/>
      <c r="AP26" s="2938"/>
      <c r="AQ26" s="2938"/>
      <c r="AR26" s="2938"/>
      <c r="AS26" s="2939"/>
      <c r="AT26" s="2940">
        <f t="shared" si="0"/>
        <v>0</v>
      </c>
      <c r="AU26" s="2941"/>
      <c r="AV26" s="2941"/>
      <c r="AW26" s="2941"/>
      <c r="AX26" s="2941"/>
      <c r="AY26" s="2942"/>
      <c r="AZ26" s="1527"/>
      <c r="BA26" s="1527"/>
      <c r="BB26" s="1527"/>
      <c r="BC26" s="1527"/>
      <c r="BD26" s="1527"/>
      <c r="BE26" s="1533"/>
    </row>
    <row r="27" spans="1:58" ht="15">
      <c r="A27" s="1816"/>
      <c r="B27" s="2943">
        <v>1</v>
      </c>
      <c r="C27" s="2944"/>
      <c r="D27" s="2944"/>
      <c r="E27" s="2944"/>
      <c r="F27" s="2944"/>
      <c r="G27" s="2944"/>
      <c r="H27" s="2944"/>
      <c r="I27" s="2944"/>
      <c r="J27" s="2931">
        <f t="shared" si="1"/>
        <v>0</v>
      </c>
      <c r="K27" s="2932"/>
      <c r="L27" s="2932"/>
      <c r="M27" s="2932"/>
      <c r="N27" s="2932"/>
      <c r="O27" s="2933"/>
      <c r="P27" s="2937" cm="1">
        <f t="array" ref="P27">SUMPRODUCT((Application!$B$728:$B$752 = 'CalHFA Addendum'!P$18)*(Application!$AH$728:$AH$752 = 'CalHFA Addendum'!$B27),Application!$G$728:$G$752)</f>
        <v>0</v>
      </c>
      <c r="Q27" s="2938"/>
      <c r="R27" s="2938"/>
      <c r="S27" s="2938"/>
      <c r="T27" s="2938"/>
      <c r="U27" s="2939"/>
      <c r="V27" s="2937" cm="1">
        <f t="array" ref="V27">SUMPRODUCT((Application!$B$728:$B$752 = 'CalHFA Addendum'!V$18)*(Application!$AH$728:$AH$752 = 'CalHFA Addendum'!$B27),Application!$G$728:$G$752)</f>
        <v>0</v>
      </c>
      <c r="W27" s="2938"/>
      <c r="X27" s="2938"/>
      <c r="Y27" s="2938"/>
      <c r="Z27" s="2938"/>
      <c r="AA27" s="2939"/>
      <c r="AB27" s="2937" cm="1">
        <f t="array" ref="AB27">SUMPRODUCT((Application!$B$728:$B$752 = 'CalHFA Addendum'!AB$18)*(Application!$AH$728:$AH$752 = 'CalHFA Addendum'!$B27),Application!$G$728:$G$752)</f>
        <v>0</v>
      </c>
      <c r="AC27" s="2938"/>
      <c r="AD27" s="2938"/>
      <c r="AE27" s="2938"/>
      <c r="AF27" s="2938"/>
      <c r="AG27" s="2939"/>
      <c r="AH27" s="2937" cm="1">
        <f t="array" ref="AH27">SUMPRODUCT((Application!$B$728:$B$752 = 'CalHFA Addendum'!AH$18)*(Application!$AH$728:$AH$752 = 'CalHFA Addendum'!$B27),Application!$G$728:$G$752)</f>
        <v>0</v>
      </c>
      <c r="AI27" s="2938"/>
      <c r="AJ27" s="2938"/>
      <c r="AK27" s="2938"/>
      <c r="AL27" s="2938"/>
      <c r="AM27" s="2939"/>
      <c r="AN27" s="2937" cm="1">
        <f t="array" ref="AN27">SUMPRODUCT((Application!$B$728:$B$752 = 'CalHFA Addendum'!AN$18)*(Application!$AH$728:$AH$752 = 'CalHFA Addendum'!$B27),Application!$G$728:$G$752)</f>
        <v>0</v>
      </c>
      <c r="AO27" s="2938"/>
      <c r="AP27" s="2938"/>
      <c r="AQ27" s="2938"/>
      <c r="AR27" s="2938"/>
      <c r="AS27" s="2939"/>
      <c r="AT27" s="2940">
        <f t="shared" si="0"/>
        <v>0</v>
      </c>
      <c r="AU27" s="2941"/>
      <c r="AV27" s="2941"/>
      <c r="AW27" s="2941"/>
      <c r="AX27" s="2941"/>
      <c r="AY27" s="2942"/>
      <c r="AZ27" s="1527"/>
      <c r="BA27" s="1527"/>
      <c r="BB27" s="1527"/>
      <c r="BC27" s="1527"/>
      <c r="BD27" s="1527"/>
      <c r="BE27" s="1533"/>
      <c r="BF27" s="1698"/>
    </row>
    <row r="28" spans="1:58" thickBot="1">
      <c r="A28" s="1816"/>
      <c r="B28" s="2928" t="s">
        <v>2051</v>
      </c>
      <c r="C28" s="2929"/>
      <c r="D28" s="2929"/>
      <c r="E28" s="2929"/>
      <c r="F28" s="2929"/>
      <c r="G28" s="2929"/>
      <c r="H28" s="2929"/>
      <c r="I28" s="2930"/>
      <c r="J28" s="2931">
        <f t="shared" ref="J28" si="2">SUM(P28:AS28)</f>
        <v>3</v>
      </c>
      <c r="K28" s="2932"/>
      <c r="L28" s="2932"/>
      <c r="M28" s="2932"/>
      <c r="N28" s="2932"/>
      <c r="O28" s="2933"/>
      <c r="P28" s="2934">
        <f>_xlfn.IFNA(VLOOKUP(P$18,Application!$J$772:$S$775,6,FALSE), 0)</f>
        <v>0</v>
      </c>
      <c r="Q28" s="2935"/>
      <c r="R28" s="2935"/>
      <c r="S28" s="2935"/>
      <c r="T28" s="2935"/>
      <c r="U28" s="2936"/>
      <c r="V28" s="2934">
        <f>_xlfn.IFNA(VLOOKUP(V$18,Application!$J$772:$S$775,6,FALSE), 0)</f>
        <v>0</v>
      </c>
      <c r="W28" s="2935"/>
      <c r="X28" s="2935"/>
      <c r="Y28" s="2935"/>
      <c r="Z28" s="2935"/>
      <c r="AA28" s="2936"/>
      <c r="AB28" s="2934">
        <f>_xlfn.IFNA(VLOOKUP(AB$18,Application!$J$772:$S$775,6,FALSE), 0)</f>
        <v>3</v>
      </c>
      <c r="AC28" s="2935"/>
      <c r="AD28" s="2935"/>
      <c r="AE28" s="2935"/>
      <c r="AF28" s="2935"/>
      <c r="AG28" s="2936"/>
      <c r="AH28" s="2934">
        <f>_xlfn.IFNA(VLOOKUP(AH$18,Application!$J$772:$S$775,6,FALSE), 0)</f>
        <v>0</v>
      </c>
      <c r="AI28" s="2935"/>
      <c r="AJ28" s="2935"/>
      <c r="AK28" s="2935"/>
      <c r="AL28" s="2935"/>
      <c r="AM28" s="2936"/>
      <c r="AN28" s="2934">
        <f>_xlfn.IFNA(VLOOKUP(AN$18,Application!$J$772:$S$775,6,FALSE), 0)</f>
        <v>0</v>
      </c>
      <c r="AO28" s="2935"/>
      <c r="AP28" s="2935"/>
      <c r="AQ28" s="2935"/>
      <c r="AR28" s="2935"/>
      <c r="AS28" s="2936"/>
      <c r="AT28" s="2940">
        <f t="shared" ref="AT28" si="3">J28/$J$29</f>
        <v>1.2048192771084338E-2</v>
      </c>
      <c r="AU28" s="2941"/>
      <c r="AV28" s="2941"/>
      <c r="AW28" s="2941"/>
      <c r="AX28" s="2941"/>
      <c r="AY28" s="2942"/>
      <c r="AZ28" s="1527"/>
      <c r="BA28" s="1527"/>
      <c r="BB28" s="1527"/>
      <c r="BC28" s="1527"/>
      <c r="BD28" s="1527"/>
      <c r="BE28" s="1533"/>
    </row>
    <row r="29" spans="1:58" thickBot="1">
      <c r="A29" s="1816"/>
      <c r="B29" s="2921" t="s">
        <v>1881</v>
      </c>
      <c r="C29" s="2922"/>
      <c r="D29" s="2922"/>
      <c r="E29" s="2922"/>
      <c r="F29" s="2922"/>
      <c r="G29" s="2922"/>
      <c r="H29" s="2922"/>
      <c r="I29" s="2923"/>
      <c r="J29" s="2924">
        <f>SUM(J19:O28)</f>
        <v>249</v>
      </c>
      <c r="K29" s="2922"/>
      <c r="L29" s="2922"/>
      <c r="M29" s="2922"/>
      <c r="N29" s="2922"/>
      <c r="O29" s="2923"/>
      <c r="P29" s="2924">
        <f>SUM(P19:U28)</f>
        <v>0</v>
      </c>
      <c r="Q29" s="2922"/>
      <c r="R29" s="2922"/>
      <c r="S29" s="2922"/>
      <c r="T29" s="2922"/>
      <c r="U29" s="2923"/>
      <c r="V29" s="2924">
        <f>SUM(V19:AA28)</f>
        <v>70</v>
      </c>
      <c r="W29" s="2922"/>
      <c r="X29" s="2922"/>
      <c r="Y29" s="2922"/>
      <c r="Z29" s="2922"/>
      <c r="AA29" s="2923"/>
      <c r="AB29" s="2924">
        <f>SUM(AB19:AG28)</f>
        <v>116</v>
      </c>
      <c r="AC29" s="2922"/>
      <c r="AD29" s="2922"/>
      <c r="AE29" s="2922"/>
      <c r="AF29" s="2922"/>
      <c r="AG29" s="2923"/>
      <c r="AH29" s="2924">
        <f>SUM(AH19:AM28)</f>
        <v>63</v>
      </c>
      <c r="AI29" s="2922"/>
      <c r="AJ29" s="2922"/>
      <c r="AK29" s="2922"/>
      <c r="AL29" s="2922"/>
      <c r="AM29" s="2923"/>
      <c r="AN29" s="2924">
        <f>SUM(AN19:AS28)</f>
        <v>0</v>
      </c>
      <c r="AO29" s="2922"/>
      <c r="AP29" s="2922"/>
      <c r="AQ29" s="2922"/>
      <c r="AR29" s="2922"/>
      <c r="AS29" s="2923"/>
      <c r="AT29" s="2925">
        <f>J29/$J$29</f>
        <v>1</v>
      </c>
      <c r="AU29" s="2926"/>
      <c r="AV29" s="2926"/>
      <c r="AW29" s="2926"/>
      <c r="AX29" s="2926"/>
      <c r="AY29" s="2927"/>
      <c r="AZ29" s="1527"/>
      <c r="BA29" s="1527"/>
      <c r="BB29" s="1527"/>
      <c r="BC29" s="1527"/>
      <c r="BD29" s="1527"/>
      <c r="BE29" s="1533"/>
    </row>
    <row r="30" spans="1:58" thickBot="1">
      <c r="A30" s="1815"/>
      <c r="B30" s="1527"/>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527"/>
      <c r="AM30" s="1527"/>
      <c r="AN30" s="1527"/>
      <c r="AO30" s="1527"/>
      <c r="AP30" s="1527"/>
      <c r="AQ30" s="1527"/>
      <c r="AR30" s="1527"/>
      <c r="AS30" s="1527"/>
      <c r="AT30" s="1527"/>
      <c r="AU30" s="1527"/>
      <c r="AV30" s="1527"/>
      <c r="AW30" s="1527"/>
      <c r="AX30" s="1527"/>
      <c r="AY30" s="1527"/>
      <c r="AZ30" s="1527"/>
      <c r="BA30" s="1527"/>
      <c r="BB30" s="1527"/>
      <c r="BC30" s="1527"/>
      <c r="BD30" s="1527"/>
      <c r="BE30" s="1533"/>
    </row>
    <row r="31" spans="1:58" thickBot="1">
      <c r="A31" s="1816"/>
      <c r="B31" s="2901" t="s">
        <v>2052</v>
      </c>
      <c r="C31" s="2902"/>
      <c r="D31" s="2902"/>
      <c r="E31" s="2902"/>
      <c r="F31" s="2902"/>
      <c r="G31" s="2902"/>
      <c r="H31" s="2902"/>
      <c r="I31" s="2902"/>
      <c r="J31" s="2902"/>
      <c r="K31" s="2902"/>
      <c r="L31" s="2902"/>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2902"/>
      <c r="AT31" s="2902"/>
      <c r="AU31" s="2902"/>
      <c r="AV31" s="2902"/>
      <c r="AW31" s="2902"/>
      <c r="AX31" s="2902"/>
      <c r="AY31" s="2902"/>
      <c r="AZ31" s="2903"/>
      <c r="BA31" s="1527"/>
      <c r="BB31" s="1527"/>
      <c r="BC31" s="1527"/>
      <c r="BD31" s="1527"/>
      <c r="BE31" s="1533"/>
    </row>
    <row r="32" spans="1:58" thickBot="1">
      <c r="A32" s="1816"/>
      <c r="B32" s="2904" t="s">
        <v>2053</v>
      </c>
      <c r="C32" s="2905"/>
      <c r="D32" s="2905"/>
      <c r="E32" s="2905"/>
      <c r="F32" s="2905"/>
      <c r="G32" s="2905"/>
      <c r="H32" s="2905"/>
      <c r="I32" s="2906"/>
      <c r="J32" s="2908" t="s">
        <v>2054</v>
      </c>
      <c r="K32" s="2909"/>
      <c r="L32" s="2909"/>
      <c r="M32" s="2910"/>
      <c r="N32" s="2908" t="s">
        <v>2055</v>
      </c>
      <c r="O32" s="2909"/>
      <c r="P32" s="2909"/>
      <c r="Q32" s="2909"/>
      <c r="R32" s="2912" t="s">
        <v>2056</v>
      </c>
      <c r="S32" s="2913"/>
      <c r="T32" s="2913"/>
      <c r="U32" s="2913"/>
      <c r="V32" s="2913"/>
      <c r="W32" s="2913"/>
      <c r="X32" s="2913"/>
      <c r="Y32" s="2913"/>
      <c r="Z32" s="2913"/>
      <c r="AA32" s="2913"/>
      <c r="AB32" s="2913"/>
      <c r="AC32" s="2913"/>
      <c r="AD32" s="2913"/>
      <c r="AE32" s="2913"/>
      <c r="AF32" s="2913"/>
      <c r="AG32" s="2913"/>
      <c r="AH32" s="2913"/>
      <c r="AI32" s="2913"/>
      <c r="AJ32" s="2913"/>
      <c r="AK32" s="2913"/>
      <c r="AL32" s="2913"/>
      <c r="AM32" s="2913"/>
      <c r="AN32" s="2913"/>
      <c r="AO32" s="2913"/>
      <c r="AP32" s="2913"/>
      <c r="AQ32" s="2913"/>
      <c r="AR32" s="2913"/>
      <c r="AS32" s="2913"/>
      <c r="AT32" s="2913"/>
      <c r="AU32" s="2913"/>
      <c r="AV32" s="2913"/>
      <c r="AW32" s="2913"/>
      <c r="AX32" s="2913"/>
      <c r="AY32" s="2913"/>
      <c r="AZ32" s="2914"/>
      <c r="BA32" s="1527"/>
      <c r="BB32" s="1527"/>
      <c r="BC32" s="1527"/>
      <c r="BD32" s="1527"/>
      <c r="BE32" s="1533"/>
    </row>
    <row r="33" spans="1:58" ht="15" customHeight="1">
      <c r="A33" s="1816"/>
      <c r="B33" s="2907"/>
      <c r="C33" s="2905"/>
      <c r="D33" s="2905"/>
      <c r="E33" s="2905"/>
      <c r="F33" s="2905"/>
      <c r="G33" s="2905"/>
      <c r="H33" s="2905"/>
      <c r="I33" s="2906"/>
      <c r="J33" s="2911"/>
      <c r="K33" s="2909"/>
      <c r="L33" s="2909"/>
      <c r="M33" s="2910"/>
      <c r="N33" s="2911"/>
      <c r="O33" s="2909"/>
      <c r="P33" s="2909"/>
      <c r="Q33" s="2909"/>
      <c r="R33" s="2915" t="s">
        <v>2057</v>
      </c>
      <c r="S33" s="2916"/>
      <c r="T33" s="2916"/>
      <c r="U33" s="2916"/>
      <c r="V33" s="2916"/>
      <c r="W33" s="2916"/>
      <c r="X33" s="2916"/>
      <c r="Y33" s="2916"/>
      <c r="Z33" s="2916"/>
      <c r="AA33" s="2916"/>
      <c r="AB33" s="2916"/>
      <c r="AC33" s="2916"/>
      <c r="AD33" s="2916"/>
      <c r="AE33" s="2916"/>
      <c r="AF33" s="2916"/>
      <c r="AG33" s="2916"/>
      <c r="AH33" s="2916"/>
      <c r="AI33" s="2916"/>
      <c r="AJ33" s="2916"/>
      <c r="AK33" s="2916"/>
      <c r="AL33" s="2916"/>
      <c r="AM33" s="2916"/>
      <c r="AN33" s="2916"/>
      <c r="AO33" s="2916"/>
      <c r="AP33" s="2916"/>
      <c r="AQ33" s="2916"/>
      <c r="AR33" s="2916"/>
      <c r="AS33" s="2916"/>
      <c r="AT33" s="2916"/>
      <c r="AU33" s="2916"/>
      <c r="AV33" s="2916"/>
      <c r="AW33" s="2916"/>
      <c r="AX33" s="2916"/>
      <c r="AY33" s="2916"/>
      <c r="AZ33" s="2917"/>
      <c r="BA33" s="1534"/>
      <c r="BB33" s="1527"/>
      <c r="BC33" s="1527"/>
      <c r="BD33" s="1527"/>
      <c r="BE33" s="1533"/>
    </row>
    <row r="34" spans="1:58" ht="15.75" customHeight="1" thickBot="1">
      <c r="A34" s="1816"/>
      <c r="B34" s="2907"/>
      <c r="C34" s="2905"/>
      <c r="D34" s="2905"/>
      <c r="E34" s="2905"/>
      <c r="F34" s="2905"/>
      <c r="G34" s="2905"/>
      <c r="H34" s="2905"/>
      <c r="I34" s="2906"/>
      <c r="J34" s="2911"/>
      <c r="K34" s="2909"/>
      <c r="L34" s="2909"/>
      <c r="M34" s="2910"/>
      <c r="N34" s="2911"/>
      <c r="O34" s="2909"/>
      <c r="P34" s="2909"/>
      <c r="Q34" s="2909"/>
      <c r="R34" s="2918"/>
      <c r="S34" s="2919"/>
      <c r="T34" s="2919"/>
      <c r="U34" s="2919"/>
      <c r="V34" s="2919"/>
      <c r="W34" s="2919"/>
      <c r="X34" s="2919"/>
      <c r="Y34" s="2919"/>
      <c r="Z34" s="2919"/>
      <c r="AA34" s="2919"/>
      <c r="AB34" s="2919"/>
      <c r="AC34" s="2919"/>
      <c r="AD34" s="2919"/>
      <c r="AE34" s="2919"/>
      <c r="AF34" s="2919"/>
      <c r="AG34" s="2919"/>
      <c r="AH34" s="2919"/>
      <c r="AI34" s="2919"/>
      <c r="AJ34" s="2919"/>
      <c r="AK34" s="2919"/>
      <c r="AL34" s="2919"/>
      <c r="AM34" s="2919"/>
      <c r="AN34" s="2919"/>
      <c r="AO34" s="2919"/>
      <c r="AP34" s="2919"/>
      <c r="AQ34" s="2919"/>
      <c r="AR34" s="2919"/>
      <c r="AS34" s="2919"/>
      <c r="AT34" s="2919"/>
      <c r="AU34" s="2919"/>
      <c r="AV34" s="2919"/>
      <c r="AW34" s="2919"/>
      <c r="AX34" s="2919"/>
      <c r="AY34" s="2919"/>
      <c r="AZ34" s="2920"/>
      <c r="BA34" s="1534"/>
      <c r="BB34" s="1527"/>
      <c r="BC34" s="1527"/>
      <c r="BD34" s="1527"/>
      <c r="BE34" s="1533"/>
    </row>
    <row r="35" spans="1:58" ht="15.75" customHeight="1" thickBot="1">
      <c r="A35" s="1816"/>
      <c r="B35" s="2907"/>
      <c r="C35" s="2905"/>
      <c r="D35" s="2905"/>
      <c r="E35" s="2905"/>
      <c r="F35" s="2905"/>
      <c r="G35" s="2905"/>
      <c r="H35" s="2905"/>
      <c r="I35" s="2906"/>
      <c r="J35" s="2911"/>
      <c r="K35" s="2909"/>
      <c r="L35" s="2909"/>
      <c r="M35" s="2910"/>
      <c r="N35" s="2911"/>
      <c r="O35" s="2909"/>
      <c r="P35" s="2909"/>
      <c r="Q35" s="2909"/>
      <c r="R35" s="2884">
        <v>0.5</v>
      </c>
      <c r="S35" s="2885"/>
      <c r="T35" s="2885"/>
      <c r="U35" s="2886"/>
      <c r="V35" s="2884">
        <v>0.6</v>
      </c>
      <c r="W35" s="2885"/>
      <c r="X35" s="2885"/>
      <c r="Y35" s="2886"/>
      <c r="Z35" s="2884">
        <v>0.7</v>
      </c>
      <c r="AA35" s="2885"/>
      <c r="AB35" s="2885"/>
      <c r="AC35" s="2886"/>
      <c r="AD35" s="2884">
        <v>0.8</v>
      </c>
      <c r="AE35" s="2885"/>
      <c r="AF35" s="2885"/>
      <c r="AG35" s="2886"/>
      <c r="AH35" s="2884">
        <v>1</v>
      </c>
      <c r="AI35" s="2885"/>
      <c r="AJ35" s="2885"/>
      <c r="AK35" s="2886"/>
      <c r="AL35" s="2884">
        <v>1.2</v>
      </c>
      <c r="AM35" s="2885"/>
      <c r="AN35" s="2886"/>
      <c r="AO35" s="2887" t="s">
        <v>2058</v>
      </c>
      <c r="AP35" s="2888"/>
      <c r="AQ35" s="2888"/>
      <c r="AR35" s="2888"/>
      <c r="AS35" s="2888"/>
      <c r="AT35" s="2889"/>
      <c r="AU35" s="2887" t="s">
        <v>2059</v>
      </c>
      <c r="AV35" s="2888"/>
      <c r="AW35" s="2888"/>
      <c r="AX35" s="2888"/>
      <c r="AY35" s="2888"/>
      <c r="AZ35" s="2889"/>
      <c r="BA35" s="1534"/>
      <c r="BB35" s="1527"/>
      <c r="BC35" s="1527"/>
      <c r="BD35" s="1527"/>
      <c r="BE35" s="1533"/>
      <c r="BF35" s="1525"/>
    </row>
    <row r="36" spans="1:58" ht="15.75" customHeight="1">
      <c r="A36" s="1816"/>
      <c r="B36" s="2890" t="s">
        <v>2060</v>
      </c>
      <c r="C36" s="2891"/>
      <c r="D36" s="2891"/>
      <c r="E36" s="2891"/>
      <c r="F36" s="2891"/>
      <c r="G36" s="2891"/>
      <c r="H36" s="2891"/>
      <c r="I36" s="2892"/>
      <c r="J36" s="2893" t="s">
        <v>2061</v>
      </c>
      <c r="K36" s="2894"/>
      <c r="L36" s="2894"/>
      <c r="M36" s="2895"/>
      <c r="N36" s="2896">
        <v>55</v>
      </c>
      <c r="O36" s="2897"/>
      <c r="P36" s="2897"/>
      <c r="Q36" s="2898"/>
      <c r="R36" s="2899">
        <v>10</v>
      </c>
      <c r="S36" s="2899"/>
      <c r="T36" s="2899"/>
      <c r="U36" s="2899"/>
      <c r="V36" s="2899">
        <v>30</v>
      </c>
      <c r="W36" s="2899"/>
      <c r="X36" s="2899"/>
      <c r="Y36" s="2899"/>
      <c r="Z36" s="2899"/>
      <c r="AA36" s="2899"/>
      <c r="AB36" s="2899"/>
      <c r="AC36" s="2899"/>
      <c r="AD36" s="2899">
        <v>59</v>
      </c>
      <c r="AE36" s="2899"/>
      <c r="AF36" s="2899"/>
      <c r="AG36" s="2899"/>
      <c r="AH36" s="2900"/>
      <c r="AI36" s="2900"/>
      <c r="AJ36" s="2900"/>
      <c r="AK36" s="2900"/>
      <c r="AL36" s="2900"/>
      <c r="AM36" s="2900"/>
      <c r="AN36" s="2900"/>
      <c r="AO36" s="2858">
        <f>SUM(R36:AN36)</f>
        <v>99</v>
      </c>
      <c r="AP36" s="2858"/>
      <c r="AQ36" s="2858"/>
      <c r="AR36" s="2858"/>
      <c r="AS36" s="2858"/>
      <c r="AT36" s="2858"/>
      <c r="AU36" s="2859">
        <f>AO36/$J$29</f>
        <v>0.39759036144578314</v>
      </c>
      <c r="AV36" s="2859"/>
      <c r="AW36" s="2859"/>
      <c r="AX36" s="2859"/>
      <c r="AY36" s="2859"/>
      <c r="AZ36" s="2859"/>
      <c r="BA36" s="1527"/>
      <c r="BB36" s="1527"/>
      <c r="BC36" s="1527"/>
      <c r="BD36" s="1527"/>
      <c r="BE36" s="1533"/>
      <c r="BF36" s="1525"/>
    </row>
    <row r="37" spans="1:58" ht="15.75" customHeight="1">
      <c r="A37" s="1816"/>
      <c r="B37" s="2879" t="s">
        <v>2062</v>
      </c>
      <c r="C37" s="2880"/>
      <c r="D37" s="2880"/>
      <c r="E37" s="2880"/>
      <c r="F37" s="2880"/>
      <c r="G37" s="2880"/>
      <c r="H37" s="2880"/>
      <c r="I37" s="2881"/>
      <c r="J37" s="2882" t="s">
        <v>2063</v>
      </c>
      <c r="K37" s="2870"/>
      <c r="L37" s="2870"/>
      <c r="M37" s="2883"/>
      <c r="N37" s="2869">
        <v>55</v>
      </c>
      <c r="O37" s="2870"/>
      <c r="P37" s="2870"/>
      <c r="Q37" s="2871"/>
      <c r="R37" s="2857"/>
      <c r="S37" s="2857"/>
      <c r="T37" s="2857"/>
      <c r="U37" s="2857"/>
      <c r="V37" s="2857"/>
      <c r="W37" s="2857"/>
      <c r="X37" s="2857"/>
      <c r="Y37" s="2857"/>
      <c r="Z37" s="2857"/>
      <c r="AA37" s="2857"/>
      <c r="AB37" s="2857"/>
      <c r="AC37" s="2857"/>
      <c r="AD37" s="2857"/>
      <c r="AE37" s="2857"/>
      <c r="AF37" s="2857"/>
      <c r="AG37" s="2857"/>
      <c r="AH37" s="2857"/>
      <c r="AI37" s="2857"/>
      <c r="AJ37" s="2857"/>
      <c r="AK37" s="2857"/>
      <c r="AL37" s="2857"/>
      <c r="AM37" s="2857"/>
      <c r="AN37" s="2857"/>
      <c r="AO37" s="2858">
        <f t="shared" ref="AO37:AO47" si="4">SUM(R37:AN37)</f>
        <v>0</v>
      </c>
      <c r="AP37" s="2858"/>
      <c r="AQ37" s="2858"/>
      <c r="AR37" s="2858"/>
      <c r="AS37" s="2858"/>
      <c r="AT37" s="2858"/>
      <c r="AU37" s="2859">
        <f t="shared" ref="AU37:AU47" si="5">AO37/$J$29</f>
        <v>0</v>
      </c>
      <c r="AV37" s="2859"/>
      <c r="AW37" s="2859"/>
      <c r="AX37" s="2859"/>
      <c r="AY37" s="2859"/>
      <c r="AZ37" s="2859"/>
      <c r="BA37" s="1527"/>
      <c r="BB37" s="1527"/>
      <c r="BC37" s="1527"/>
      <c r="BD37" s="1527"/>
      <c r="BE37" s="1533"/>
      <c r="BF37" s="1525"/>
    </row>
    <row r="38" spans="1:58" ht="15.75" customHeight="1">
      <c r="A38" s="1816"/>
      <c r="B38" s="2879" t="s">
        <v>2064</v>
      </c>
      <c r="C38" s="2880"/>
      <c r="D38" s="2880"/>
      <c r="E38" s="2880"/>
      <c r="F38" s="2880"/>
      <c r="G38" s="2880"/>
      <c r="H38" s="2880"/>
      <c r="I38" s="2881"/>
      <c r="J38" s="2882" t="s">
        <v>2065</v>
      </c>
      <c r="K38" s="2870"/>
      <c r="L38" s="2870"/>
      <c r="M38" s="2883"/>
      <c r="N38" s="2869">
        <v>55</v>
      </c>
      <c r="O38" s="2870"/>
      <c r="P38" s="2870"/>
      <c r="Q38" s="2871"/>
      <c r="R38" s="2857"/>
      <c r="S38" s="2857"/>
      <c r="T38" s="2857"/>
      <c r="U38" s="2857"/>
      <c r="V38" s="2857"/>
      <c r="W38" s="2857"/>
      <c r="X38" s="2857"/>
      <c r="Y38" s="2857"/>
      <c r="Z38" s="2857"/>
      <c r="AA38" s="2857"/>
      <c r="AB38" s="2857"/>
      <c r="AC38" s="2857"/>
      <c r="AD38" s="2857"/>
      <c r="AE38" s="2857"/>
      <c r="AF38" s="2857"/>
      <c r="AG38" s="2857"/>
      <c r="AH38" s="2857"/>
      <c r="AI38" s="2857"/>
      <c r="AJ38" s="2857"/>
      <c r="AK38" s="2857"/>
      <c r="AL38" s="2857"/>
      <c r="AM38" s="2857"/>
      <c r="AN38" s="2857"/>
      <c r="AO38" s="2858">
        <f t="shared" si="4"/>
        <v>0</v>
      </c>
      <c r="AP38" s="2858"/>
      <c r="AQ38" s="2858"/>
      <c r="AR38" s="2858"/>
      <c r="AS38" s="2858"/>
      <c r="AT38" s="2858"/>
      <c r="AU38" s="2859">
        <f t="shared" si="5"/>
        <v>0</v>
      </c>
      <c r="AV38" s="2859"/>
      <c r="AW38" s="2859"/>
      <c r="AX38" s="2859"/>
      <c r="AY38" s="2859"/>
      <c r="AZ38" s="2859"/>
      <c r="BA38" s="1527"/>
      <c r="BB38" s="1527"/>
      <c r="BC38" s="1527"/>
      <c r="BD38" s="1527"/>
      <c r="BE38" s="1533"/>
      <c r="BF38" s="1525"/>
    </row>
    <row r="39" spans="1:58" ht="15.75" customHeight="1">
      <c r="A39" s="1816"/>
      <c r="B39" s="2879" t="s">
        <v>2066</v>
      </c>
      <c r="C39" s="2880"/>
      <c r="D39" s="2880"/>
      <c r="E39" s="2880"/>
      <c r="F39" s="2880"/>
      <c r="G39" s="2880"/>
      <c r="H39" s="2880"/>
      <c r="I39" s="2881"/>
      <c r="J39" s="2868"/>
      <c r="K39" s="2672"/>
      <c r="L39" s="2672"/>
      <c r="M39" s="2800"/>
      <c r="N39" s="2794"/>
      <c r="O39" s="2672"/>
      <c r="P39" s="2672"/>
      <c r="Q39" s="2872"/>
      <c r="R39" s="2857"/>
      <c r="S39" s="2857"/>
      <c r="T39" s="2857"/>
      <c r="U39" s="2857"/>
      <c r="V39" s="2857"/>
      <c r="W39" s="2857"/>
      <c r="X39" s="2857"/>
      <c r="Y39" s="2857"/>
      <c r="Z39" s="2857"/>
      <c r="AA39" s="2857"/>
      <c r="AB39" s="2857"/>
      <c r="AC39" s="2857"/>
      <c r="AD39" s="2857"/>
      <c r="AE39" s="2857"/>
      <c r="AF39" s="2857"/>
      <c r="AG39" s="2857"/>
      <c r="AH39" s="2857"/>
      <c r="AI39" s="2857"/>
      <c r="AJ39" s="2857"/>
      <c r="AK39" s="2857"/>
      <c r="AL39" s="2857"/>
      <c r="AM39" s="2857"/>
      <c r="AN39" s="2857"/>
      <c r="AO39" s="2858">
        <f t="shared" si="4"/>
        <v>0</v>
      </c>
      <c r="AP39" s="2858"/>
      <c r="AQ39" s="2858"/>
      <c r="AR39" s="2858"/>
      <c r="AS39" s="2858"/>
      <c r="AT39" s="2858"/>
      <c r="AU39" s="2859">
        <f t="shared" si="5"/>
        <v>0</v>
      </c>
      <c r="AV39" s="2859"/>
      <c r="AW39" s="2859"/>
      <c r="AX39" s="2859"/>
      <c r="AY39" s="2859"/>
      <c r="AZ39" s="2859"/>
      <c r="BA39" s="1527"/>
      <c r="BB39" s="1527"/>
      <c r="BC39" s="1527"/>
      <c r="BD39" s="1527"/>
      <c r="BE39" s="1533"/>
    </row>
    <row r="40" spans="1:58" ht="15.75" customHeight="1">
      <c r="A40" s="1816"/>
      <c r="B40" s="2879" t="s">
        <v>2066</v>
      </c>
      <c r="C40" s="2880"/>
      <c r="D40" s="2880"/>
      <c r="E40" s="2880"/>
      <c r="F40" s="2880"/>
      <c r="G40" s="2880"/>
      <c r="H40" s="2880"/>
      <c r="I40" s="2881"/>
      <c r="J40" s="2868"/>
      <c r="K40" s="2672"/>
      <c r="L40" s="2672"/>
      <c r="M40" s="2800"/>
      <c r="N40" s="2794"/>
      <c r="O40" s="2672"/>
      <c r="P40" s="2672"/>
      <c r="Q40" s="2872"/>
      <c r="R40" s="2857"/>
      <c r="S40" s="2857"/>
      <c r="T40" s="2857"/>
      <c r="U40" s="2857"/>
      <c r="V40" s="2857"/>
      <c r="W40" s="2857"/>
      <c r="X40" s="2857"/>
      <c r="Y40" s="2857"/>
      <c r="Z40" s="2857"/>
      <c r="AA40" s="2857"/>
      <c r="AB40" s="2857"/>
      <c r="AC40" s="2857"/>
      <c r="AD40" s="2857"/>
      <c r="AE40" s="2857"/>
      <c r="AF40" s="2857"/>
      <c r="AG40" s="2857"/>
      <c r="AH40" s="2857"/>
      <c r="AI40" s="2857"/>
      <c r="AJ40" s="2857"/>
      <c r="AK40" s="2857"/>
      <c r="AL40" s="2857"/>
      <c r="AM40" s="2857"/>
      <c r="AN40" s="2857"/>
      <c r="AO40" s="2858">
        <f t="shared" si="4"/>
        <v>0</v>
      </c>
      <c r="AP40" s="2858"/>
      <c r="AQ40" s="2858"/>
      <c r="AR40" s="2858"/>
      <c r="AS40" s="2858"/>
      <c r="AT40" s="2858"/>
      <c r="AU40" s="2859">
        <f t="shared" si="5"/>
        <v>0</v>
      </c>
      <c r="AV40" s="2859"/>
      <c r="AW40" s="2859"/>
      <c r="AX40" s="2859"/>
      <c r="AY40" s="2859"/>
      <c r="AZ40" s="2859"/>
      <c r="BA40" s="1527"/>
      <c r="BB40" s="1527"/>
      <c r="BC40" s="1527"/>
      <c r="BD40" s="1527"/>
      <c r="BE40" s="1533"/>
    </row>
    <row r="41" spans="1:58" ht="15.75" customHeight="1">
      <c r="A41" s="1816"/>
      <c r="B41" s="2876" t="s">
        <v>2067</v>
      </c>
      <c r="C41" s="2877"/>
      <c r="D41" s="2877"/>
      <c r="E41" s="2877"/>
      <c r="F41" s="2877"/>
      <c r="G41" s="2877"/>
      <c r="H41" s="2877"/>
      <c r="I41" s="2878"/>
      <c r="J41" s="2868"/>
      <c r="K41" s="2672"/>
      <c r="L41" s="2672"/>
      <c r="M41" s="2800"/>
      <c r="N41" s="2794"/>
      <c r="O41" s="2672"/>
      <c r="P41" s="2672"/>
      <c r="Q41" s="2872"/>
      <c r="R41" s="2857"/>
      <c r="S41" s="2857"/>
      <c r="T41" s="2857"/>
      <c r="U41" s="2857"/>
      <c r="V41" s="2857"/>
      <c r="W41" s="2857"/>
      <c r="X41" s="2857"/>
      <c r="Y41" s="2857"/>
      <c r="Z41" s="2857"/>
      <c r="AA41" s="2857"/>
      <c r="AB41" s="2857"/>
      <c r="AC41" s="2857"/>
      <c r="AD41" s="2857"/>
      <c r="AE41" s="2857"/>
      <c r="AF41" s="2857"/>
      <c r="AG41" s="2857"/>
      <c r="AH41" s="2857"/>
      <c r="AI41" s="2857"/>
      <c r="AJ41" s="2857"/>
      <c r="AK41" s="2857"/>
      <c r="AL41" s="2857"/>
      <c r="AM41" s="2857"/>
      <c r="AN41" s="2857"/>
      <c r="AO41" s="2858">
        <f t="shared" si="4"/>
        <v>0</v>
      </c>
      <c r="AP41" s="2858"/>
      <c r="AQ41" s="2858"/>
      <c r="AR41" s="2858"/>
      <c r="AS41" s="2858"/>
      <c r="AT41" s="2858"/>
      <c r="AU41" s="2859">
        <f t="shared" si="5"/>
        <v>0</v>
      </c>
      <c r="AV41" s="2859"/>
      <c r="AW41" s="2859"/>
      <c r="AX41" s="2859"/>
      <c r="AY41" s="2859"/>
      <c r="AZ41" s="2859"/>
      <c r="BA41" s="1527"/>
      <c r="BB41" s="1527"/>
      <c r="BC41" s="1527"/>
      <c r="BD41" s="1527"/>
      <c r="BE41" s="1533"/>
    </row>
    <row r="42" spans="1:58" ht="15.75" customHeight="1">
      <c r="A42" s="1816"/>
      <c r="B42" s="2876" t="s">
        <v>2067</v>
      </c>
      <c r="C42" s="2877"/>
      <c r="D42" s="2877"/>
      <c r="E42" s="2877"/>
      <c r="F42" s="2877"/>
      <c r="G42" s="2877"/>
      <c r="H42" s="2877"/>
      <c r="I42" s="2878"/>
      <c r="J42" s="2868"/>
      <c r="K42" s="2672"/>
      <c r="L42" s="2672"/>
      <c r="M42" s="2800"/>
      <c r="N42" s="2794"/>
      <c r="O42" s="2672"/>
      <c r="P42" s="2672"/>
      <c r="Q42" s="2872"/>
      <c r="R42" s="2857"/>
      <c r="S42" s="2857"/>
      <c r="T42" s="2857"/>
      <c r="U42" s="2857"/>
      <c r="V42" s="2857"/>
      <c r="W42" s="2857"/>
      <c r="X42" s="2857"/>
      <c r="Y42" s="2857"/>
      <c r="Z42" s="2857"/>
      <c r="AA42" s="2857"/>
      <c r="AB42" s="2857"/>
      <c r="AC42" s="2857"/>
      <c r="AD42" s="2857"/>
      <c r="AE42" s="2857"/>
      <c r="AF42" s="2857"/>
      <c r="AG42" s="2857"/>
      <c r="AH42" s="2857"/>
      <c r="AI42" s="2857"/>
      <c r="AJ42" s="2857"/>
      <c r="AK42" s="2857"/>
      <c r="AL42" s="2857"/>
      <c r="AM42" s="2857"/>
      <c r="AN42" s="2857"/>
      <c r="AO42" s="2858">
        <f t="shared" si="4"/>
        <v>0</v>
      </c>
      <c r="AP42" s="2858"/>
      <c r="AQ42" s="2858"/>
      <c r="AR42" s="2858"/>
      <c r="AS42" s="2858"/>
      <c r="AT42" s="2858"/>
      <c r="AU42" s="2859">
        <f t="shared" si="5"/>
        <v>0</v>
      </c>
      <c r="AV42" s="2859"/>
      <c r="AW42" s="2859"/>
      <c r="AX42" s="2859"/>
      <c r="AY42" s="2859"/>
      <c r="AZ42" s="2859"/>
      <c r="BA42" s="1527"/>
      <c r="BB42" s="1527"/>
      <c r="BC42" s="1527"/>
      <c r="BD42" s="1527"/>
      <c r="BE42" s="1533"/>
    </row>
    <row r="43" spans="1:58" ht="15.75" customHeight="1">
      <c r="A43" s="1816"/>
      <c r="B43" s="2873" t="s">
        <v>2068</v>
      </c>
      <c r="C43" s="2874"/>
      <c r="D43" s="2874"/>
      <c r="E43" s="2874"/>
      <c r="F43" s="2874"/>
      <c r="G43" s="2874"/>
      <c r="H43" s="2874"/>
      <c r="I43" s="2875"/>
      <c r="J43" s="2868"/>
      <c r="K43" s="2672"/>
      <c r="L43" s="2672"/>
      <c r="M43" s="2800"/>
      <c r="N43" s="2794"/>
      <c r="O43" s="2672"/>
      <c r="P43" s="2672"/>
      <c r="Q43" s="2872"/>
      <c r="R43" s="2857"/>
      <c r="S43" s="2857"/>
      <c r="T43" s="2857"/>
      <c r="U43" s="2857"/>
      <c r="V43" s="2857"/>
      <c r="W43" s="2857"/>
      <c r="X43" s="2857"/>
      <c r="Y43" s="2857"/>
      <c r="Z43" s="2857"/>
      <c r="AA43" s="2857"/>
      <c r="AB43" s="2857"/>
      <c r="AC43" s="2857"/>
      <c r="AD43" s="2857"/>
      <c r="AE43" s="2857"/>
      <c r="AF43" s="2857"/>
      <c r="AG43" s="2857"/>
      <c r="AH43" s="2857"/>
      <c r="AI43" s="2857"/>
      <c r="AJ43" s="2857"/>
      <c r="AK43" s="2857"/>
      <c r="AL43" s="2857"/>
      <c r="AM43" s="2857"/>
      <c r="AN43" s="2857"/>
      <c r="AO43" s="2858">
        <f t="shared" si="4"/>
        <v>0</v>
      </c>
      <c r="AP43" s="2858"/>
      <c r="AQ43" s="2858"/>
      <c r="AR43" s="2858"/>
      <c r="AS43" s="2858"/>
      <c r="AT43" s="2858"/>
      <c r="AU43" s="2859">
        <f t="shared" si="5"/>
        <v>0</v>
      </c>
      <c r="AV43" s="2859"/>
      <c r="AW43" s="2859"/>
      <c r="AX43" s="2859"/>
      <c r="AY43" s="2859"/>
      <c r="AZ43" s="2859"/>
      <c r="BA43" s="1527"/>
      <c r="BB43" s="1527"/>
      <c r="BC43" s="1527"/>
      <c r="BD43" s="1527"/>
      <c r="BE43" s="1533"/>
    </row>
    <row r="44" spans="1:58" ht="15.75" customHeight="1">
      <c r="A44" s="1816"/>
      <c r="B44" s="2873" t="s">
        <v>2069</v>
      </c>
      <c r="C44" s="2874"/>
      <c r="D44" s="2874"/>
      <c r="E44" s="2874"/>
      <c r="F44" s="2874"/>
      <c r="G44" s="2874"/>
      <c r="H44" s="2874"/>
      <c r="I44" s="2875"/>
      <c r="J44" s="2868"/>
      <c r="K44" s="2672"/>
      <c r="L44" s="2672"/>
      <c r="M44" s="2800"/>
      <c r="N44" s="2794"/>
      <c r="O44" s="2672"/>
      <c r="P44" s="2672"/>
      <c r="Q44" s="2872"/>
      <c r="R44" s="2857"/>
      <c r="S44" s="2857"/>
      <c r="T44" s="2857"/>
      <c r="U44" s="2857"/>
      <c r="V44" s="2857"/>
      <c r="W44" s="2857"/>
      <c r="X44" s="2857"/>
      <c r="Y44" s="2857"/>
      <c r="Z44" s="2857"/>
      <c r="AA44" s="2857"/>
      <c r="AB44" s="2857"/>
      <c r="AC44" s="2857"/>
      <c r="AD44" s="2857"/>
      <c r="AE44" s="2857"/>
      <c r="AF44" s="2857"/>
      <c r="AG44" s="2857"/>
      <c r="AH44" s="2857"/>
      <c r="AI44" s="2857"/>
      <c r="AJ44" s="2857"/>
      <c r="AK44" s="2857"/>
      <c r="AL44" s="2857"/>
      <c r="AM44" s="2857"/>
      <c r="AN44" s="2857"/>
      <c r="AO44" s="2858">
        <f t="shared" si="4"/>
        <v>0</v>
      </c>
      <c r="AP44" s="2858"/>
      <c r="AQ44" s="2858"/>
      <c r="AR44" s="2858"/>
      <c r="AS44" s="2858"/>
      <c r="AT44" s="2858"/>
      <c r="AU44" s="2859">
        <f t="shared" si="5"/>
        <v>0</v>
      </c>
      <c r="AV44" s="2859"/>
      <c r="AW44" s="2859"/>
      <c r="AX44" s="2859"/>
      <c r="AY44" s="2859"/>
      <c r="AZ44" s="2859"/>
      <c r="BA44" s="1527"/>
      <c r="BB44" s="1527"/>
      <c r="BC44" s="1527"/>
      <c r="BD44" s="1527"/>
      <c r="BE44" s="1533"/>
    </row>
    <row r="45" spans="1:58" ht="15.75" customHeight="1">
      <c r="A45" s="1816"/>
      <c r="B45" s="2865" t="s">
        <v>2070</v>
      </c>
      <c r="C45" s="2866"/>
      <c r="D45" s="2866"/>
      <c r="E45" s="2866"/>
      <c r="F45" s="2866"/>
      <c r="G45" s="2866"/>
      <c r="H45" s="2866"/>
      <c r="I45" s="2867"/>
      <c r="J45" s="2868"/>
      <c r="K45" s="2672"/>
      <c r="L45" s="2672"/>
      <c r="M45" s="2800"/>
      <c r="N45" s="2794"/>
      <c r="O45" s="2672"/>
      <c r="P45" s="2672"/>
      <c r="Q45" s="2872"/>
      <c r="R45" s="2857"/>
      <c r="S45" s="2857"/>
      <c r="T45" s="2857"/>
      <c r="U45" s="2857"/>
      <c r="V45" s="2857"/>
      <c r="W45" s="2857"/>
      <c r="X45" s="2857"/>
      <c r="Y45" s="2857"/>
      <c r="Z45" s="2857"/>
      <c r="AA45" s="2857"/>
      <c r="AB45" s="2857"/>
      <c r="AC45" s="2857"/>
      <c r="AD45" s="2857"/>
      <c r="AE45" s="2857"/>
      <c r="AF45" s="2857"/>
      <c r="AG45" s="2857"/>
      <c r="AH45" s="2857"/>
      <c r="AI45" s="2857"/>
      <c r="AJ45" s="2857"/>
      <c r="AK45" s="2857"/>
      <c r="AL45" s="2857"/>
      <c r="AM45" s="2857"/>
      <c r="AN45" s="2857"/>
      <c r="AO45" s="2858">
        <f t="shared" si="4"/>
        <v>0</v>
      </c>
      <c r="AP45" s="2858"/>
      <c r="AQ45" s="2858"/>
      <c r="AR45" s="2858"/>
      <c r="AS45" s="2858"/>
      <c r="AT45" s="2858"/>
      <c r="AU45" s="2859">
        <f t="shared" si="5"/>
        <v>0</v>
      </c>
      <c r="AV45" s="2859"/>
      <c r="AW45" s="2859"/>
      <c r="AX45" s="2859"/>
      <c r="AY45" s="2859"/>
      <c r="AZ45" s="2859"/>
      <c r="BA45" s="1527"/>
      <c r="BB45" s="1527"/>
      <c r="BC45" s="1527"/>
      <c r="BD45" s="1527"/>
      <c r="BE45" s="1533"/>
    </row>
    <row r="46" spans="1:58" ht="15.75" customHeight="1">
      <c r="A46" s="1816"/>
      <c r="B46" s="2865" t="s">
        <v>2071</v>
      </c>
      <c r="C46" s="2866"/>
      <c r="D46" s="2866"/>
      <c r="E46" s="2866"/>
      <c r="F46" s="2866"/>
      <c r="G46" s="2866"/>
      <c r="H46" s="2866"/>
      <c r="I46" s="2867"/>
      <c r="J46" s="2868"/>
      <c r="K46" s="2672"/>
      <c r="L46" s="2672"/>
      <c r="M46" s="2800"/>
      <c r="N46" s="2869">
        <v>99</v>
      </c>
      <c r="O46" s="2870"/>
      <c r="P46" s="2870"/>
      <c r="Q46" s="2871"/>
      <c r="R46" s="2857"/>
      <c r="S46" s="2857"/>
      <c r="T46" s="2857"/>
      <c r="U46" s="2857"/>
      <c r="V46" s="2857"/>
      <c r="W46" s="2857"/>
      <c r="X46" s="2857"/>
      <c r="Y46" s="2857"/>
      <c r="Z46" s="2857"/>
      <c r="AA46" s="2857"/>
      <c r="AB46" s="2857"/>
      <c r="AC46" s="2857"/>
      <c r="AD46" s="2857"/>
      <c r="AE46" s="2857"/>
      <c r="AF46" s="2857"/>
      <c r="AG46" s="2857"/>
      <c r="AH46" s="2857"/>
      <c r="AI46" s="2857"/>
      <c r="AJ46" s="2857"/>
      <c r="AK46" s="2857"/>
      <c r="AL46" s="2857"/>
      <c r="AM46" s="2857"/>
      <c r="AN46" s="2857"/>
      <c r="AO46" s="2858">
        <f t="shared" si="4"/>
        <v>0</v>
      </c>
      <c r="AP46" s="2858"/>
      <c r="AQ46" s="2858"/>
      <c r="AR46" s="2858"/>
      <c r="AS46" s="2858"/>
      <c r="AT46" s="2858"/>
      <c r="AU46" s="2859">
        <f t="shared" si="5"/>
        <v>0</v>
      </c>
      <c r="AV46" s="2859"/>
      <c r="AW46" s="2859"/>
      <c r="AX46" s="2859"/>
      <c r="AY46" s="2859"/>
      <c r="AZ46" s="2859"/>
      <c r="BA46" s="1527"/>
      <c r="BB46" s="1527"/>
      <c r="BC46" s="1527"/>
      <c r="BD46" s="1527"/>
      <c r="BE46" s="1533"/>
    </row>
    <row r="47" spans="1:58" ht="15.75" customHeight="1" thickBot="1">
      <c r="A47" s="1816"/>
      <c r="B47" s="2860" t="s">
        <v>308</v>
      </c>
      <c r="C47" s="2861"/>
      <c r="D47" s="2861"/>
      <c r="E47" s="2861"/>
      <c r="F47" s="2861"/>
      <c r="G47" s="2861"/>
      <c r="H47" s="2861"/>
      <c r="I47" s="2862"/>
      <c r="J47" s="2863"/>
      <c r="K47" s="2785"/>
      <c r="L47" s="2785"/>
      <c r="M47" s="2786"/>
      <c r="N47" s="2801"/>
      <c r="O47" s="2785"/>
      <c r="P47" s="2785"/>
      <c r="Q47" s="2864"/>
      <c r="R47" s="2857"/>
      <c r="S47" s="2857"/>
      <c r="T47" s="2857"/>
      <c r="U47" s="2857"/>
      <c r="V47" s="2857"/>
      <c r="W47" s="2857"/>
      <c r="X47" s="2857"/>
      <c r="Y47" s="2857"/>
      <c r="Z47" s="2857"/>
      <c r="AA47" s="2857"/>
      <c r="AB47" s="2857"/>
      <c r="AC47" s="2857"/>
      <c r="AD47" s="2857"/>
      <c r="AE47" s="2857"/>
      <c r="AF47" s="2857"/>
      <c r="AG47" s="2857"/>
      <c r="AH47" s="2857"/>
      <c r="AI47" s="2857"/>
      <c r="AJ47" s="2857"/>
      <c r="AK47" s="2857"/>
      <c r="AL47" s="2857"/>
      <c r="AM47" s="2857"/>
      <c r="AN47" s="2857"/>
      <c r="AO47" s="2858">
        <f t="shared" si="4"/>
        <v>0</v>
      </c>
      <c r="AP47" s="2858"/>
      <c r="AQ47" s="2858"/>
      <c r="AR47" s="2858"/>
      <c r="AS47" s="2858"/>
      <c r="AT47" s="2858"/>
      <c r="AU47" s="2859">
        <f t="shared" si="5"/>
        <v>0</v>
      </c>
      <c r="AV47" s="2859"/>
      <c r="AW47" s="2859"/>
      <c r="AX47" s="2859"/>
      <c r="AY47" s="2859"/>
      <c r="AZ47" s="2859"/>
      <c r="BA47" s="1527"/>
      <c r="BB47" s="1527"/>
      <c r="BC47" s="1527"/>
      <c r="BD47" s="1527"/>
      <c r="BE47" s="1533"/>
    </row>
    <row r="48" spans="1:58" ht="15.75" customHeight="1">
      <c r="A48" s="1816"/>
      <c r="B48" s="1535" t="s">
        <v>2072</v>
      </c>
      <c r="C48" s="1527"/>
      <c r="D48" s="1527"/>
      <c r="E48" s="1527"/>
      <c r="F48" s="1527"/>
      <c r="G48" s="1527"/>
      <c r="H48" s="1527"/>
      <c r="I48" s="1527"/>
      <c r="J48" s="1527"/>
      <c r="K48" s="1527"/>
      <c r="L48" s="1527"/>
      <c r="M48" s="1527"/>
      <c r="N48" s="1527"/>
      <c r="O48" s="1527"/>
      <c r="P48" s="1527"/>
      <c r="Q48" s="1527"/>
      <c r="R48" s="1527"/>
      <c r="S48" s="1527"/>
      <c r="T48" s="1527"/>
      <c r="U48" s="1527"/>
      <c r="V48" s="1527"/>
      <c r="W48" s="1527"/>
      <c r="X48" s="1527"/>
      <c r="Y48" s="1527"/>
      <c r="Z48" s="1527"/>
      <c r="AA48" s="1527"/>
      <c r="AB48" s="1527"/>
      <c r="AC48" s="1527"/>
      <c r="AD48" s="1527"/>
      <c r="AE48" s="1527"/>
      <c r="AF48" s="1527"/>
      <c r="AG48" s="1527"/>
      <c r="AH48" s="1527"/>
      <c r="AI48" s="1527"/>
      <c r="AJ48" s="1527"/>
      <c r="AK48" s="1527"/>
      <c r="AL48" s="1527"/>
      <c r="AM48" s="1527"/>
      <c r="AN48" s="1527"/>
      <c r="AO48" s="1527"/>
      <c r="AP48" s="1527"/>
      <c r="AQ48" s="1527"/>
      <c r="AR48" s="1527"/>
      <c r="AS48" s="1527"/>
      <c r="AT48" s="1527"/>
      <c r="AU48" s="1527"/>
      <c r="AV48" s="1527"/>
      <c r="AW48" s="1527"/>
      <c r="AX48" s="1527"/>
      <c r="AY48" s="1527"/>
      <c r="AZ48" s="1527"/>
      <c r="BA48" s="1527"/>
      <c r="BB48" s="1527"/>
      <c r="BC48" s="1527"/>
      <c r="BD48" s="1527"/>
      <c r="BE48" s="1533"/>
      <c r="BF48" s="1525"/>
    </row>
    <row r="49" spans="1:58" ht="15.75" customHeight="1" thickBot="1">
      <c r="A49" s="1816"/>
      <c r="B49" s="1535" t="s">
        <v>2073</v>
      </c>
      <c r="C49" s="1527"/>
      <c r="D49" s="1527"/>
      <c r="E49" s="1527"/>
      <c r="F49" s="1527"/>
      <c r="G49" s="1527"/>
      <c r="H49" s="1527"/>
      <c r="I49" s="1527"/>
      <c r="J49" s="1527"/>
      <c r="K49" s="1527"/>
      <c r="L49" s="1527"/>
      <c r="M49" s="1527"/>
      <c r="N49" s="1527"/>
      <c r="O49" s="1527"/>
      <c r="P49" s="1527"/>
      <c r="Q49" s="1527"/>
      <c r="R49" s="1527"/>
      <c r="S49" s="1527"/>
      <c r="T49" s="1527"/>
      <c r="U49" s="1527"/>
      <c r="V49" s="1527"/>
      <c r="W49" s="1527"/>
      <c r="X49" s="1527"/>
      <c r="Y49" s="1527"/>
      <c r="Z49" s="1527"/>
      <c r="AA49" s="1527"/>
      <c r="AB49" s="1527"/>
      <c r="AC49" s="1527"/>
      <c r="AD49" s="1527"/>
      <c r="AE49" s="1527"/>
      <c r="AF49" s="1527"/>
      <c r="AG49" s="1527"/>
      <c r="AH49" s="1527"/>
      <c r="AI49" s="1527"/>
      <c r="AJ49" s="1527"/>
      <c r="AK49" s="1527"/>
      <c r="AL49" s="1527"/>
      <c r="AM49" s="1527"/>
      <c r="AN49" s="1527"/>
      <c r="AO49" s="1527"/>
      <c r="AP49" s="1529"/>
      <c r="AQ49" s="1529"/>
      <c r="AR49" s="1529"/>
      <c r="AS49" s="1529"/>
      <c r="AT49" s="1529"/>
      <c r="AU49" s="1529"/>
      <c r="AV49" s="1529"/>
      <c r="AW49" s="1529"/>
      <c r="AX49" s="1527"/>
      <c r="AY49" s="1527"/>
      <c r="AZ49" s="1527"/>
      <c r="BA49" s="1527"/>
      <c r="BB49" s="1527"/>
      <c r="BC49" s="1527"/>
      <c r="BD49" s="1527"/>
      <c r="BE49" s="1533"/>
      <c r="BF49" s="1525"/>
    </row>
    <row r="50" spans="1:58" ht="15.75" customHeight="1" thickBot="1">
      <c r="A50" s="1816"/>
      <c r="B50" s="2845" t="s">
        <v>2074</v>
      </c>
      <c r="C50" s="2846"/>
      <c r="D50" s="2846"/>
      <c r="E50" s="2846"/>
      <c r="F50" s="2846"/>
      <c r="G50" s="2846"/>
      <c r="H50" s="2846"/>
      <c r="I50" s="2846"/>
      <c r="J50" s="2846"/>
      <c r="K50" s="2846"/>
      <c r="L50" s="2846"/>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7"/>
      <c r="AP50" s="1529"/>
      <c r="AQ50" s="1529"/>
      <c r="AR50" s="1529"/>
      <c r="AS50" s="1529"/>
      <c r="AT50" s="1529"/>
      <c r="AU50" s="1529"/>
      <c r="AV50" s="1529"/>
      <c r="AW50" s="1529"/>
      <c r="AX50" s="1527"/>
      <c r="AY50" s="1527"/>
      <c r="AZ50" s="1527"/>
      <c r="BA50" s="1527"/>
      <c r="BB50" s="1527"/>
      <c r="BC50" s="1527"/>
      <c r="BD50" s="1527"/>
      <c r="BE50" s="1533"/>
    </row>
    <row r="51" spans="1:58" ht="33.75" customHeight="1">
      <c r="A51" s="1816"/>
      <c r="B51" s="2848" t="s">
        <v>2075</v>
      </c>
      <c r="C51" s="2849"/>
      <c r="D51" s="2849"/>
      <c r="E51" s="2849"/>
      <c r="F51" s="2849"/>
      <c r="G51" s="2849"/>
      <c r="H51" s="2849"/>
      <c r="I51" s="2850"/>
      <c r="J51" s="2848" t="s">
        <v>2076</v>
      </c>
      <c r="K51" s="2849"/>
      <c r="L51" s="2849"/>
      <c r="M51" s="2849"/>
      <c r="N51" s="2849"/>
      <c r="O51" s="2849"/>
      <c r="P51" s="2849"/>
      <c r="Q51" s="2850"/>
      <c r="R51" s="2851" t="s">
        <v>2077</v>
      </c>
      <c r="S51" s="2852"/>
      <c r="T51" s="2852"/>
      <c r="U51" s="2852"/>
      <c r="V51" s="2852"/>
      <c r="W51" s="2852"/>
      <c r="X51" s="2852"/>
      <c r="Y51" s="2853"/>
      <c r="Z51" s="2854" t="s">
        <v>2078</v>
      </c>
      <c r="AA51" s="2855"/>
      <c r="AB51" s="2855"/>
      <c r="AC51" s="2855"/>
      <c r="AD51" s="2855"/>
      <c r="AE51" s="2855"/>
      <c r="AF51" s="2855"/>
      <c r="AG51" s="2856"/>
      <c r="AH51" s="2854" t="s">
        <v>2079</v>
      </c>
      <c r="AI51" s="2855"/>
      <c r="AJ51" s="2855"/>
      <c r="AK51" s="2855"/>
      <c r="AL51" s="2855"/>
      <c r="AM51" s="2855"/>
      <c r="AN51" s="2855"/>
      <c r="AO51" s="2856"/>
      <c r="AP51" s="1529"/>
      <c r="AQ51" s="1529"/>
      <c r="AR51" s="1529"/>
      <c r="AS51" s="1529"/>
      <c r="AT51" s="1529"/>
      <c r="AU51" s="1529"/>
      <c r="AV51" s="1529"/>
      <c r="AW51" s="1529"/>
      <c r="AX51" s="1534"/>
      <c r="AY51" s="1527"/>
      <c r="AZ51" s="1527"/>
      <c r="BA51" s="1527"/>
      <c r="BB51" s="1527"/>
      <c r="BC51" s="1527"/>
      <c r="BD51" s="1527"/>
      <c r="BE51" s="1533"/>
    </row>
    <row r="52" spans="1:58" ht="15.75" customHeight="1">
      <c r="A52" s="1816"/>
      <c r="B52" s="2843"/>
      <c r="C52" s="2827"/>
      <c r="D52" s="2827"/>
      <c r="E52" s="2827"/>
      <c r="F52" s="2827"/>
      <c r="G52" s="2827"/>
      <c r="H52" s="2827"/>
      <c r="I52" s="2827"/>
      <c r="J52" s="2827"/>
      <c r="K52" s="2827"/>
      <c r="L52" s="2827"/>
      <c r="M52" s="2827"/>
      <c r="N52" s="2827"/>
      <c r="O52" s="2827"/>
      <c r="P52" s="2827"/>
      <c r="Q52" s="2827"/>
      <c r="R52" s="2844"/>
      <c r="S52" s="2844"/>
      <c r="T52" s="2844"/>
      <c r="U52" s="2844"/>
      <c r="V52" s="2844"/>
      <c r="W52" s="2844"/>
      <c r="X52" s="2844"/>
      <c r="Y52" s="2844"/>
      <c r="Z52" s="2827"/>
      <c r="AA52" s="2827"/>
      <c r="AB52" s="2827"/>
      <c r="AC52" s="2827"/>
      <c r="AD52" s="2827"/>
      <c r="AE52" s="2827"/>
      <c r="AF52" s="2827"/>
      <c r="AG52" s="2827"/>
      <c r="AH52" s="2827"/>
      <c r="AI52" s="2827"/>
      <c r="AJ52" s="2827"/>
      <c r="AK52" s="2827"/>
      <c r="AL52" s="2827"/>
      <c r="AM52" s="2827"/>
      <c r="AN52" s="2827"/>
      <c r="AO52" s="2828"/>
      <c r="AP52" s="1529"/>
      <c r="AQ52" s="1529"/>
      <c r="AR52" s="1529"/>
      <c r="AS52" s="1529"/>
      <c r="AT52" s="1529"/>
      <c r="AU52" s="1529"/>
      <c r="AV52" s="1529"/>
      <c r="AW52" s="1529"/>
      <c r="AX52" s="1534"/>
      <c r="AY52" s="1527"/>
      <c r="AZ52" s="1527"/>
      <c r="BA52" s="1527"/>
      <c r="BB52" s="1527"/>
      <c r="BC52" s="1527"/>
      <c r="BD52" s="1527"/>
      <c r="BE52" s="1533"/>
    </row>
    <row r="53" spans="1:58" ht="15.75" customHeight="1">
      <c r="A53" s="1816"/>
      <c r="B53" s="2843"/>
      <c r="C53" s="2827"/>
      <c r="D53" s="2827"/>
      <c r="E53" s="2827"/>
      <c r="F53" s="2827"/>
      <c r="G53" s="2827"/>
      <c r="H53" s="2827"/>
      <c r="I53" s="2827"/>
      <c r="J53" s="2827"/>
      <c r="K53" s="2827"/>
      <c r="L53" s="2827"/>
      <c r="M53" s="2827"/>
      <c r="N53" s="2827"/>
      <c r="O53" s="2827"/>
      <c r="P53" s="2827"/>
      <c r="Q53" s="2827"/>
      <c r="R53" s="2844"/>
      <c r="S53" s="2844"/>
      <c r="T53" s="2844"/>
      <c r="U53" s="2844"/>
      <c r="V53" s="2844"/>
      <c r="W53" s="2844"/>
      <c r="X53" s="2844"/>
      <c r="Y53" s="2844"/>
      <c r="Z53" s="2827"/>
      <c r="AA53" s="2827"/>
      <c r="AB53" s="2827"/>
      <c r="AC53" s="2827"/>
      <c r="AD53" s="2827"/>
      <c r="AE53" s="2827"/>
      <c r="AF53" s="2827"/>
      <c r="AG53" s="2827"/>
      <c r="AH53" s="2827"/>
      <c r="AI53" s="2827"/>
      <c r="AJ53" s="2827"/>
      <c r="AK53" s="2827"/>
      <c r="AL53" s="2827"/>
      <c r="AM53" s="2827"/>
      <c r="AN53" s="2827"/>
      <c r="AO53" s="2828"/>
      <c r="AP53" s="1529"/>
      <c r="AQ53" s="1529"/>
      <c r="AR53" s="1529"/>
      <c r="AS53" s="1529"/>
      <c r="AT53" s="1529"/>
      <c r="AU53" s="1529"/>
      <c r="AV53" s="1529"/>
      <c r="AW53" s="1529"/>
      <c r="AX53" s="1527"/>
      <c r="AY53" s="1527"/>
      <c r="AZ53" s="1527"/>
      <c r="BA53" s="1527"/>
      <c r="BB53" s="1527"/>
      <c r="BC53" s="1527"/>
      <c r="BD53" s="1527"/>
      <c r="BE53" s="1533"/>
    </row>
    <row r="54" spans="1:58" ht="15.75" customHeight="1">
      <c r="A54" s="1816"/>
      <c r="B54" s="2843"/>
      <c r="C54" s="2827"/>
      <c r="D54" s="2827"/>
      <c r="E54" s="2827"/>
      <c r="F54" s="2827"/>
      <c r="G54" s="2827"/>
      <c r="H54" s="2827"/>
      <c r="I54" s="2827"/>
      <c r="J54" s="2827"/>
      <c r="K54" s="2827"/>
      <c r="L54" s="2827"/>
      <c r="M54" s="2827"/>
      <c r="N54" s="2827"/>
      <c r="O54" s="2827"/>
      <c r="P54" s="2827"/>
      <c r="Q54" s="2827"/>
      <c r="R54" s="2844"/>
      <c r="S54" s="2844"/>
      <c r="T54" s="2844"/>
      <c r="U54" s="2844"/>
      <c r="V54" s="2844"/>
      <c r="W54" s="2844"/>
      <c r="X54" s="2844"/>
      <c r="Y54" s="2844"/>
      <c r="Z54" s="2827"/>
      <c r="AA54" s="2827"/>
      <c r="AB54" s="2827"/>
      <c r="AC54" s="2827"/>
      <c r="AD54" s="2827"/>
      <c r="AE54" s="2827"/>
      <c r="AF54" s="2827"/>
      <c r="AG54" s="2827"/>
      <c r="AH54" s="2827"/>
      <c r="AI54" s="2827"/>
      <c r="AJ54" s="2827"/>
      <c r="AK54" s="2827"/>
      <c r="AL54" s="2827"/>
      <c r="AM54" s="2827"/>
      <c r="AN54" s="2827"/>
      <c r="AO54" s="2828"/>
      <c r="AP54" s="1529"/>
      <c r="AQ54" s="1529"/>
      <c r="AR54" s="1529"/>
      <c r="AS54" s="1529"/>
      <c r="AT54" s="1529"/>
      <c r="AU54" s="1529"/>
      <c r="AV54" s="1529"/>
      <c r="AW54" s="1529"/>
      <c r="AX54" s="1527"/>
      <c r="AY54" s="1527"/>
      <c r="AZ54" s="1527"/>
      <c r="BA54" s="1527"/>
      <c r="BB54" s="1527"/>
      <c r="BC54" s="1527"/>
      <c r="BD54" s="1527"/>
      <c r="BE54" s="1533"/>
    </row>
    <row r="55" spans="1:58" ht="15.75" customHeight="1">
      <c r="A55" s="1816"/>
      <c r="B55" s="2843"/>
      <c r="C55" s="2827"/>
      <c r="D55" s="2827"/>
      <c r="E55" s="2827"/>
      <c r="F55" s="2827"/>
      <c r="G55" s="2827"/>
      <c r="H55" s="2827"/>
      <c r="I55" s="2827"/>
      <c r="J55" s="2827"/>
      <c r="K55" s="2827"/>
      <c r="L55" s="2827"/>
      <c r="M55" s="2827"/>
      <c r="N55" s="2827"/>
      <c r="O55" s="2827"/>
      <c r="P55" s="2827"/>
      <c r="Q55" s="2827"/>
      <c r="R55" s="2844"/>
      <c r="S55" s="2844"/>
      <c r="T55" s="2844"/>
      <c r="U55" s="2844"/>
      <c r="V55" s="2844"/>
      <c r="W55" s="2844"/>
      <c r="X55" s="2844"/>
      <c r="Y55" s="2844"/>
      <c r="Z55" s="2827"/>
      <c r="AA55" s="2827"/>
      <c r="AB55" s="2827"/>
      <c r="AC55" s="2827"/>
      <c r="AD55" s="2827"/>
      <c r="AE55" s="2827"/>
      <c r="AF55" s="2827"/>
      <c r="AG55" s="2827"/>
      <c r="AH55" s="2827"/>
      <c r="AI55" s="2827"/>
      <c r="AJ55" s="2827"/>
      <c r="AK55" s="2827"/>
      <c r="AL55" s="2827"/>
      <c r="AM55" s="2827"/>
      <c r="AN55" s="2827"/>
      <c r="AO55" s="2828"/>
      <c r="AP55" s="1529"/>
      <c r="AQ55" s="1529"/>
      <c r="AR55" s="1529"/>
      <c r="AS55" s="1529"/>
      <c r="AT55" s="1529" t="s">
        <v>256</v>
      </c>
      <c r="AU55" s="1529"/>
      <c r="AV55" s="1529"/>
      <c r="AW55" s="1529"/>
      <c r="AX55" s="1527"/>
      <c r="AY55" s="1527"/>
      <c r="AZ55" s="1527"/>
      <c r="BA55" s="1527"/>
      <c r="BB55" s="1527"/>
      <c r="BC55" s="1527"/>
      <c r="BD55" s="1527"/>
      <c r="BE55" s="1533"/>
    </row>
    <row r="56" spans="1:58" ht="15.75" customHeight="1" thickBot="1">
      <c r="A56" s="1816"/>
      <c r="B56" s="2838"/>
      <c r="C56" s="2833"/>
      <c r="D56" s="2833"/>
      <c r="E56" s="2833"/>
      <c r="F56" s="2833"/>
      <c r="G56" s="2833"/>
      <c r="H56" s="2833"/>
      <c r="I56" s="2833"/>
      <c r="J56" s="2833"/>
      <c r="K56" s="2833"/>
      <c r="L56" s="2833"/>
      <c r="M56" s="2833"/>
      <c r="N56" s="2833"/>
      <c r="O56" s="2833"/>
      <c r="P56" s="2833"/>
      <c r="Q56" s="2833"/>
      <c r="R56" s="2839"/>
      <c r="S56" s="2839"/>
      <c r="T56" s="2839"/>
      <c r="U56" s="2839"/>
      <c r="V56" s="2839"/>
      <c r="W56" s="2839"/>
      <c r="X56" s="2839"/>
      <c r="Y56" s="2839"/>
      <c r="Z56" s="2833"/>
      <c r="AA56" s="2833"/>
      <c r="AB56" s="2833"/>
      <c r="AC56" s="2833"/>
      <c r="AD56" s="2833"/>
      <c r="AE56" s="2833"/>
      <c r="AF56" s="2833"/>
      <c r="AG56" s="2833"/>
      <c r="AH56" s="2833"/>
      <c r="AI56" s="2833"/>
      <c r="AJ56" s="2833"/>
      <c r="AK56" s="2833"/>
      <c r="AL56" s="2833"/>
      <c r="AM56" s="2833"/>
      <c r="AN56" s="2833"/>
      <c r="AO56" s="2834"/>
      <c r="AP56" s="1529"/>
      <c r="AQ56" s="1529"/>
      <c r="AR56" s="1529"/>
      <c r="AS56" s="1529"/>
      <c r="AT56" s="1529"/>
      <c r="AU56" s="1529"/>
      <c r="AV56" s="1529"/>
      <c r="AW56" s="1529"/>
      <c r="AX56" s="1527"/>
      <c r="AY56" s="1527"/>
      <c r="AZ56" s="1527"/>
      <c r="BA56" s="1527"/>
      <c r="BB56" s="1527"/>
      <c r="BC56" s="1527"/>
      <c r="BD56" s="1527"/>
      <c r="BE56" s="1533"/>
    </row>
    <row r="57" spans="1:58" s="1537" customFormat="1" ht="15.75" customHeight="1" thickBot="1">
      <c r="A57" s="1817"/>
      <c r="B57" s="2840" t="s">
        <v>1881</v>
      </c>
      <c r="C57" s="2841"/>
      <c r="D57" s="2841"/>
      <c r="E57" s="2841"/>
      <c r="F57" s="2841"/>
      <c r="G57" s="2841"/>
      <c r="H57" s="2841"/>
      <c r="I57" s="2841"/>
      <c r="J57" s="2841"/>
      <c r="K57" s="2841"/>
      <c r="L57" s="2841"/>
      <c r="M57" s="2841"/>
      <c r="N57" s="2841"/>
      <c r="O57" s="2841"/>
      <c r="P57" s="2841"/>
      <c r="Q57" s="2841"/>
      <c r="R57" s="2842">
        <f>SUM(R52:Y56)</f>
        <v>0</v>
      </c>
      <c r="S57" s="2842"/>
      <c r="T57" s="2842"/>
      <c r="U57" s="2842"/>
      <c r="V57" s="2842"/>
      <c r="W57" s="2842"/>
      <c r="X57" s="2842"/>
      <c r="Y57" s="2842"/>
      <c r="Z57" s="2842">
        <f t="shared" ref="Z57" si="6">SUM(Z52:AG56)</f>
        <v>0</v>
      </c>
      <c r="AA57" s="2842"/>
      <c r="AB57" s="2842"/>
      <c r="AC57" s="2842"/>
      <c r="AD57" s="2842"/>
      <c r="AE57" s="2842"/>
      <c r="AF57" s="2842"/>
      <c r="AG57" s="2842"/>
      <c r="AH57" s="2842">
        <f t="shared" ref="AH57" si="7">SUM(AH52:AO56)</f>
        <v>0</v>
      </c>
      <c r="AI57" s="2842"/>
      <c r="AJ57" s="2842"/>
      <c r="AK57" s="2842"/>
      <c r="AL57" s="2842"/>
      <c r="AM57" s="2842"/>
      <c r="AN57" s="2842"/>
      <c r="AO57" s="2842"/>
      <c r="AP57" s="1529"/>
      <c r="AQ57" s="1529"/>
      <c r="AR57" s="1529"/>
      <c r="AS57" s="1529"/>
      <c r="AT57" s="1529"/>
      <c r="AU57" s="1529"/>
      <c r="AV57" s="1529"/>
      <c r="AW57" s="1529"/>
      <c r="AX57" s="1529"/>
      <c r="AY57" s="1529"/>
      <c r="AZ57" s="1529"/>
      <c r="BA57" s="1529"/>
      <c r="BB57" s="1529"/>
      <c r="BC57" s="1529"/>
      <c r="BD57" s="1529"/>
      <c r="BE57" s="1536"/>
    </row>
    <row r="58" spans="1:58" ht="15.75" customHeight="1" thickBot="1">
      <c r="A58" s="1816"/>
      <c r="B58" s="1527"/>
      <c r="C58" s="1527"/>
      <c r="D58" s="1527"/>
      <c r="E58" s="1527"/>
      <c r="F58" s="1527"/>
      <c r="G58" s="1527"/>
      <c r="H58" s="1527"/>
      <c r="I58" s="1527"/>
      <c r="J58" s="1527"/>
      <c r="K58" s="1527"/>
      <c r="L58" s="1527"/>
      <c r="M58" s="1527"/>
      <c r="N58" s="1527"/>
      <c r="O58" s="1527"/>
      <c r="P58" s="1527"/>
      <c r="Q58" s="1527"/>
      <c r="R58" s="1527"/>
      <c r="S58" s="1527"/>
      <c r="T58" s="1527"/>
      <c r="U58" s="1527"/>
      <c r="V58" s="1527"/>
      <c r="W58" s="1527"/>
      <c r="X58" s="1527"/>
      <c r="Y58" s="1527"/>
      <c r="Z58" s="1527"/>
      <c r="AA58" s="1527"/>
      <c r="AB58" s="1527"/>
      <c r="AC58" s="1527"/>
      <c r="AD58" s="1527"/>
      <c r="AE58" s="1527"/>
      <c r="AF58" s="1527"/>
      <c r="AG58" s="1527"/>
      <c r="AH58" s="1527"/>
      <c r="AI58" s="1527"/>
      <c r="AJ58" s="1527"/>
      <c r="AK58" s="1527"/>
      <c r="AL58" s="1527"/>
      <c r="AM58" s="1527"/>
      <c r="AN58" s="1527"/>
      <c r="AO58" s="1527"/>
      <c r="AP58" s="1527"/>
      <c r="AQ58" s="1527"/>
      <c r="AR58" s="1527"/>
      <c r="AS58" s="1527"/>
      <c r="AT58" s="1527"/>
      <c r="AU58" s="1527"/>
      <c r="AV58" s="1527"/>
      <c r="AW58" s="1527"/>
      <c r="AX58" s="1527"/>
      <c r="AY58" s="1527"/>
      <c r="AZ58" s="1527"/>
      <c r="BA58" s="1527"/>
      <c r="BB58" s="1527"/>
      <c r="BC58" s="1527"/>
      <c r="BD58" s="1527"/>
      <c r="BE58" s="1533"/>
    </row>
    <row r="59" spans="1:58" ht="15.75" customHeight="1">
      <c r="A59" s="1816"/>
      <c r="B59" s="2835" t="s">
        <v>2075</v>
      </c>
      <c r="C59" s="2836"/>
      <c r="D59" s="2836"/>
      <c r="E59" s="2836"/>
      <c r="F59" s="2836"/>
      <c r="G59" s="2836"/>
      <c r="H59" s="2836"/>
      <c r="I59" s="2837"/>
      <c r="J59" s="2680" t="s">
        <v>2080</v>
      </c>
      <c r="K59" s="2680"/>
      <c r="L59" s="2680"/>
      <c r="M59" s="2680"/>
      <c r="N59" s="2680"/>
      <c r="O59" s="2680"/>
      <c r="P59" s="2680"/>
      <c r="Q59" s="2680"/>
      <c r="R59" s="2680"/>
      <c r="S59" s="2680"/>
      <c r="T59" s="2680"/>
      <c r="U59" s="2680"/>
      <c r="V59" s="2680"/>
      <c r="W59" s="2680"/>
      <c r="X59" s="2680"/>
      <c r="Y59" s="2680"/>
      <c r="Z59" s="2680"/>
      <c r="AA59" s="2680"/>
      <c r="AB59" s="2680"/>
      <c r="AC59" s="2680"/>
      <c r="AD59" s="2680"/>
      <c r="AE59" s="2680"/>
      <c r="AF59" s="2680"/>
      <c r="AG59" s="2680"/>
      <c r="AH59" s="2680"/>
      <c r="AI59" s="2680"/>
      <c r="AJ59" s="2680"/>
      <c r="AK59" s="2680"/>
      <c r="AL59" s="2680"/>
      <c r="AM59" s="2680"/>
      <c r="AN59" s="2680"/>
      <c r="AO59" s="2680"/>
      <c r="AP59" s="2680"/>
      <c r="AQ59" s="2680"/>
      <c r="AR59" s="2680"/>
      <c r="AS59" s="2680"/>
      <c r="AT59" s="2680"/>
      <c r="AU59" s="2680"/>
      <c r="AV59" s="2680"/>
      <c r="AW59" s="2681"/>
      <c r="AX59" s="1527"/>
      <c r="AY59" s="1527"/>
      <c r="AZ59" s="1527"/>
      <c r="BA59" s="1527"/>
      <c r="BB59" s="1527"/>
      <c r="BC59" s="1527"/>
      <c r="BD59" s="1527"/>
      <c r="BE59" s="1533"/>
    </row>
    <row r="60" spans="1:58" ht="15.75" customHeight="1">
      <c r="A60" s="1816"/>
      <c r="B60" s="2823" t="str">
        <f>IF(B52="", "", B52)</f>
        <v/>
      </c>
      <c r="C60" s="2824"/>
      <c r="D60" s="2824"/>
      <c r="E60" s="2824"/>
      <c r="F60" s="2824"/>
      <c r="G60" s="2824"/>
      <c r="H60" s="2824"/>
      <c r="I60" s="2825"/>
      <c r="J60" s="2826"/>
      <c r="K60" s="2827"/>
      <c r="L60" s="2827"/>
      <c r="M60" s="2827"/>
      <c r="N60" s="2827"/>
      <c r="O60" s="2827"/>
      <c r="P60" s="2827"/>
      <c r="Q60" s="2827"/>
      <c r="R60" s="2827"/>
      <c r="S60" s="2827"/>
      <c r="T60" s="2827"/>
      <c r="U60" s="2827"/>
      <c r="V60" s="2827"/>
      <c r="W60" s="2827"/>
      <c r="X60" s="2827"/>
      <c r="Y60" s="2827"/>
      <c r="Z60" s="2827"/>
      <c r="AA60" s="2827"/>
      <c r="AB60" s="2827"/>
      <c r="AC60" s="2827"/>
      <c r="AD60" s="2827"/>
      <c r="AE60" s="2827"/>
      <c r="AF60" s="2827"/>
      <c r="AG60" s="2827"/>
      <c r="AH60" s="2827"/>
      <c r="AI60" s="2827"/>
      <c r="AJ60" s="2827"/>
      <c r="AK60" s="2827"/>
      <c r="AL60" s="2827"/>
      <c r="AM60" s="2827"/>
      <c r="AN60" s="2827"/>
      <c r="AO60" s="2827"/>
      <c r="AP60" s="2827"/>
      <c r="AQ60" s="2827"/>
      <c r="AR60" s="2827"/>
      <c r="AS60" s="2827"/>
      <c r="AT60" s="2827"/>
      <c r="AU60" s="2827"/>
      <c r="AV60" s="2827"/>
      <c r="AW60" s="2828"/>
      <c r="AX60" s="1527"/>
      <c r="AY60" s="1527"/>
      <c r="AZ60" s="1527"/>
      <c r="BA60" s="1527"/>
      <c r="BB60" s="1527"/>
      <c r="BC60" s="1527"/>
      <c r="BD60" s="1527"/>
      <c r="BE60" s="1533"/>
    </row>
    <row r="61" spans="1:58" ht="15.75" customHeight="1">
      <c r="A61" s="1816"/>
      <c r="B61" s="2823" t="str">
        <f t="shared" ref="B61:B64" si="8">IF(B53="", "", B53)</f>
        <v/>
      </c>
      <c r="C61" s="2824"/>
      <c r="D61" s="2824"/>
      <c r="E61" s="2824"/>
      <c r="F61" s="2824"/>
      <c r="G61" s="2824"/>
      <c r="H61" s="2824"/>
      <c r="I61" s="2825"/>
      <c r="J61" s="2826"/>
      <c r="K61" s="2827"/>
      <c r="L61" s="2827"/>
      <c r="M61" s="2827"/>
      <c r="N61" s="2827"/>
      <c r="O61" s="2827"/>
      <c r="P61" s="2827"/>
      <c r="Q61" s="2827"/>
      <c r="R61" s="2827"/>
      <c r="S61" s="2827"/>
      <c r="T61" s="2827"/>
      <c r="U61" s="2827"/>
      <c r="V61" s="2827"/>
      <c r="W61" s="2827"/>
      <c r="X61" s="2827"/>
      <c r="Y61" s="2827"/>
      <c r="Z61" s="2827"/>
      <c r="AA61" s="2827"/>
      <c r="AB61" s="2827"/>
      <c r="AC61" s="2827"/>
      <c r="AD61" s="2827"/>
      <c r="AE61" s="2827"/>
      <c r="AF61" s="2827"/>
      <c r="AG61" s="2827"/>
      <c r="AH61" s="2827"/>
      <c r="AI61" s="2827"/>
      <c r="AJ61" s="2827"/>
      <c r="AK61" s="2827"/>
      <c r="AL61" s="2827"/>
      <c r="AM61" s="2827"/>
      <c r="AN61" s="2827"/>
      <c r="AO61" s="2827"/>
      <c r="AP61" s="2827"/>
      <c r="AQ61" s="2827"/>
      <c r="AR61" s="2827"/>
      <c r="AS61" s="2827"/>
      <c r="AT61" s="2827"/>
      <c r="AU61" s="2827"/>
      <c r="AV61" s="2827"/>
      <c r="AW61" s="2828"/>
      <c r="AX61" s="1527"/>
      <c r="AY61" s="1527"/>
      <c r="AZ61" s="1527"/>
      <c r="BA61" s="1527"/>
      <c r="BB61" s="1527"/>
      <c r="BC61" s="1527"/>
      <c r="BD61" s="1527"/>
      <c r="BE61" s="1533"/>
    </row>
    <row r="62" spans="1:58" ht="15.75" customHeight="1">
      <c r="A62" s="1816"/>
      <c r="B62" s="2823" t="str">
        <f t="shared" si="8"/>
        <v/>
      </c>
      <c r="C62" s="2824"/>
      <c r="D62" s="2824"/>
      <c r="E62" s="2824"/>
      <c r="F62" s="2824"/>
      <c r="G62" s="2824"/>
      <c r="H62" s="2824"/>
      <c r="I62" s="2825"/>
      <c r="J62" s="2826"/>
      <c r="K62" s="2827"/>
      <c r="L62" s="2827"/>
      <c r="M62" s="2827"/>
      <c r="N62" s="2827"/>
      <c r="O62" s="2827"/>
      <c r="P62" s="2827"/>
      <c r="Q62" s="2827"/>
      <c r="R62" s="2827"/>
      <c r="S62" s="2827"/>
      <c r="T62" s="2827"/>
      <c r="U62" s="2827"/>
      <c r="V62" s="2827"/>
      <c r="W62" s="2827"/>
      <c r="X62" s="2827"/>
      <c r="Y62" s="2827"/>
      <c r="Z62" s="2827"/>
      <c r="AA62" s="2827"/>
      <c r="AB62" s="2827"/>
      <c r="AC62" s="2827"/>
      <c r="AD62" s="2827"/>
      <c r="AE62" s="2827"/>
      <c r="AF62" s="2827"/>
      <c r="AG62" s="2827"/>
      <c r="AH62" s="2827"/>
      <c r="AI62" s="2827"/>
      <c r="AJ62" s="2827"/>
      <c r="AK62" s="2827"/>
      <c r="AL62" s="2827"/>
      <c r="AM62" s="2827"/>
      <c r="AN62" s="2827"/>
      <c r="AO62" s="2827"/>
      <c r="AP62" s="2827"/>
      <c r="AQ62" s="2827"/>
      <c r="AR62" s="2827"/>
      <c r="AS62" s="2827"/>
      <c r="AT62" s="2827"/>
      <c r="AU62" s="2827"/>
      <c r="AV62" s="2827"/>
      <c r="AW62" s="2828"/>
      <c r="AX62" s="1527"/>
      <c r="AY62" s="1527"/>
      <c r="AZ62" s="1527"/>
      <c r="BA62" s="1527"/>
      <c r="BB62" s="1527"/>
      <c r="BC62" s="1527"/>
      <c r="BD62" s="1527"/>
      <c r="BE62" s="1533"/>
    </row>
    <row r="63" spans="1:58" ht="15.75" customHeight="1">
      <c r="A63" s="1816"/>
      <c r="B63" s="2823" t="str">
        <f t="shared" si="8"/>
        <v/>
      </c>
      <c r="C63" s="2824"/>
      <c r="D63" s="2824"/>
      <c r="E63" s="2824"/>
      <c r="F63" s="2824"/>
      <c r="G63" s="2824"/>
      <c r="H63" s="2824"/>
      <c r="I63" s="2825"/>
      <c r="J63" s="2826"/>
      <c r="K63" s="2827"/>
      <c r="L63" s="2827"/>
      <c r="M63" s="2827"/>
      <c r="N63" s="2827"/>
      <c r="O63" s="2827"/>
      <c r="P63" s="2827"/>
      <c r="Q63" s="2827"/>
      <c r="R63" s="2827"/>
      <c r="S63" s="2827"/>
      <c r="T63" s="2827"/>
      <c r="U63" s="2827"/>
      <c r="V63" s="2827"/>
      <c r="W63" s="2827"/>
      <c r="X63" s="2827"/>
      <c r="Y63" s="2827"/>
      <c r="Z63" s="2827"/>
      <c r="AA63" s="2827"/>
      <c r="AB63" s="2827"/>
      <c r="AC63" s="2827"/>
      <c r="AD63" s="2827"/>
      <c r="AE63" s="2827"/>
      <c r="AF63" s="2827"/>
      <c r="AG63" s="2827"/>
      <c r="AH63" s="2827"/>
      <c r="AI63" s="2827"/>
      <c r="AJ63" s="2827"/>
      <c r="AK63" s="2827"/>
      <c r="AL63" s="2827"/>
      <c r="AM63" s="2827"/>
      <c r="AN63" s="2827"/>
      <c r="AO63" s="2827"/>
      <c r="AP63" s="2827"/>
      <c r="AQ63" s="2827"/>
      <c r="AR63" s="2827"/>
      <c r="AS63" s="2827"/>
      <c r="AT63" s="2827"/>
      <c r="AU63" s="2827"/>
      <c r="AV63" s="2827"/>
      <c r="AW63" s="2828"/>
      <c r="AX63" s="1527"/>
      <c r="AY63" s="1527"/>
      <c r="AZ63" s="1527"/>
      <c r="BA63" s="1527"/>
      <c r="BB63" s="1527"/>
      <c r="BC63" s="1527"/>
      <c r="BD63" s="1527"/>
      <c r="BE63" s="1533"/>
    </row>
    <row r="64" spans="1:58" ht="15.75" customHeight="1" thickBot="1">
      <c r="A64" s="1816"/>
      <c r="B64" s="2829" t="str">
        <f t="shared" si="8"/>
        <v/>
      </c>
      <c r="C64" s="2830"/>
      <c r="D64" s="2830"/>
      <c r="E64" s="2830"/>
      <c r="F64" s="2830"/>
      <c r="G64" s="2830"/>
      <c r="H64" s="2830"/>
      <c r="I64" s="2831"/>
      <c r="J64" s="2832"/>
      <c r="K64" s="2833"/>
      <c r="L64" s="2833"/>
      <c r="M64" s="2833"/>
      <c r="N64" s="2833"/>
      <c r="O64" s="2833"/>
      <c r="P64" s="2833"/>
      <c r="Q64" s="2833"/>
      <c r="R64" s="2833"/>
      <c r="S64" s="2833"/>
      <c r="T64" s="2833"/>
      <c r="U64" s="2833"/>
      <c r="V64" s="2833"/>
      <c r="W64" s="2833"/>
      <c r="X64" s="2833"/>
      <c r="Y64" s="2833"/>
      <c r="Z64" s="2833"/>
      <c r="AA64" s="2833"/>
      <c r="AB64" s="2833"/>
      <c r="AC64" s="2833"/>
      <c r="AD64" s="2833"/>
      <c r="AE64" s="2833"/>
      <c r="AF64" s="2833"/>
      <c r="AG64" s="2833"/>
      <c r="AH64" s="2833"/>
      <c r="AI64" s="2833"/>
      <c r="AJ64" s="2833"/>
      <c r="AK64" s="2833"/>
      <c r="AL64" s="2833"/>
      <c r="AM64" s="2833"/>
      <c r="AN64" s="2833"/>
      <c r="AO64" s="2833"/>
      <c r="AP64" s="2833"/>
      <c r="AQ64" s="2833"/>
      <c r="AR64" s="2833"/>
      <c r="AS64" s="2833"/>
      <c r="AT64" s="2833"/>
      <c r="AU64" s="2833"/>
      <c r="AV64" s="2833"/>
      <c r="AW64" s="2834"/>
      <c r="AX64" s="1527"/>
      <c r="AY64" s="1527"/>
      <c r="AZ64" s="1527"/>
      <c r="BA64" s="1527"/>
      <c r="BB64" s="1527"/>
      <c r="BC64" s="1527"/>
      <c r="BD64" s="1527"/>
      <c r="BE64" s="1533"/>
    </row>
    <row r="65" spans="1:57" ht="15.75" customHeight="1">
      <c r="A65" s="1816"/>
      <c r="B65" s="1527"/>
      <c r="C65" s="1527"/>
      <c r="D65" s="1527"/>
      <c r="E65" s="1527"/>
      <c r="F65" s="1527"/>
      <c r="G65" s="1527"/>
      <c r="H65" s="1527"/>
      <c r="I65" s="1527"/>
      <c r="J65" s="1527"/>
      <c r="K65" s="1527"/>
      <c r="L65" s="1527"/>
      <c r="M65" s="1527"/>
      <c r="N65" s="1527"/>
      <c r="O65" s="1527"/>
      <c r="P65" s="1527"/>
      <c r="Q65" s="1527"/>
      <c r="R65" s="1527"/>
      <c r="S65" s="1527"/>
      <c r="T65" s="1527"/>
      <c r="U65" s="1527"/>
      <c r="V65" s="1527"/>
      <c r="W65" s="1527"/>
      <c r="X65" s="1527"/>
      <c r="Y65" s="1527"/>
      <c r="Z65" s="1527"/>
      <c r="AA65" s="1527"/>
      <c r="AB65" s="1527"/>
      <c r="AC65" s="1527"/>
      <c r="AD65" s="1527"/>
      <c r="AE65" s="1527"/>
      <c r="AF65" s="1527"/>
      <c r="AG65" s="1527"/>
      <c r="AH65" s="1527"/>
      <c r="AI65" s="1527"/>
      <c r="AJ65" s="1527"/>
      <c r="AK65" s="1527"/>
      <c r="AL65" s="1527"/>
      <c r="AM65" s="1527"/>
      <c r="AN65" s="1527"/>
      <c r="AO65" s="1527"/>
      <c r="AP65" s="1527"/>
      <c r="AQ65" s="1527"/>
      <c r="AR65" s="1527"/>
      <c r="AS65" s="1527"/>
      <c r="AT65" s="1527"/>
      <c r="AU65" s="1527"/>
      <c r="AV65" s="1527"/>
      <c r="AW65" s="1527"/>
      <c r="AX65" s="1527"/>
      <c r="AY65" s="1527"/>
      <c r="AZ65" s="1527"/>
      <c r="BA65" s="1527"/>
      <c r="BB65" s="1527"/>
      <c r="BC65" s="1527"/>
      <c r="BD65" s="1527"/>
      <c r="BE65" s="1533"/>
    </row>
    <row r="66" spans="1:57" ht="15.75" customHeight="1">
      <c r="A66" s="1818"/>
      <c r="B66" s="1537" t="s">
        <v>2081</v>
      </c>
      <c r="C66" s="1537"/>
      <c r="D66" s="1537"/>
      <c r="E66" s="1537"/>
      <c r="F66" s="1537"/>
      <c r="G66" s="1537"/>
      <c r="H66" s="1537"/>
      <c r="I66" s="1537"/>
      <c r="J66" s="1537"/>
      <c r="K66" s="1537"/>
      <c r="L66" s="1527"/>
      <c r="M66" s="1527"/>
      <c r="N66" s="1527"/>
      <c r="O66" s="1527"/>
      <c r="P66" s="1527"/>
      <c r="Q66" s="1527"/>
      <c r="R66" s="1527"/>
      <c r="S66" s="1527"/>
      <c r="T66" s="1527"/>
      <c r="U66" s="1527"/>
      <c r="V66" s="1527"/>
      <c r="W66" s="1527"/>
      <c r="X66" s="1527"/>
      <c r="Y66" s="1527"/>
      <c r="Z66" s="1527"/>
      <c r="AA66" s="1527"/>
      <c r="AB66" s="1527"/>
      <c r="AC66" s="1527"/>
      <c r="AD66" s="1527"/>
      <c r="AE66" s="1527"/>
      <c r="AF66" s="1527"/>
      <c r="AG66" s="1527"/>
      <c r="AH66" s="1527"/>
      <c r="AI66" s="1527"/>
      <c r="AJ66" s="1527"/>
      <c r="AK66" s="1527"/>
      <c r="AL66" s="1527"/>
      <c r="AM66" s="1527"/>
      <c r="AN66" s="1527"/>
      <c r="AO66" s="1527"/>
      <c r="AP66" s="1527"/>
      <c r="AQ66" s="1527"/>
      <c r="AR66" s="1527"/>
      <c r="AS66" s="1527"/>
      <c r="AT66" s="1527"/>
      <c r="AU66" s="1527"/>
      <c r="AV66" s="1527"/>
      <c r="AW66" s="1527"/>
      <c r="AX66" s="1527"/>
      <c r="AY66" s="1527"/>
      <c r="AZ66" s="1527"/>
      <c r="BA66" s="1527"/>
      <c r="BB66" s="1527"/>
      <c r="BC66" s="1527"/>
      <c r="BD66" s="1527"/>
      <c r="BE66" s="1533"/>
    </row>
    <row r="67" spans="1:57" ht="15.75" customHeight="1" thickBot="1">
      <c r="A67" s="1816"/>
      <c r="B67" s="1527"/>
      <c r="C67" s="1527"/>
      <c r="D67" s="1527"/>
      <c r="E67" s="1527"/>
      <c r="F67" s="1527"/>
      <c r="G67" s="1527"/>
      <c r="H67" s="1527"/>
      <c r="I67" s="1527"/>
      <c r="J67" s="1527"/>
      <c r="K67" s="1527"/>
      <c r="L67" s="1527"/>
      <c r="M67" s="1527"/>
      <c r="N67" s="1527"/>
      <c r="O67" s="1527"/>
      <c r="P67" s="1527"/>
      <c r="Q67" s="1527"/>
      <c r="R67" s="1527"/>
      <c r="S67" s="1527"/>
      <c r="T67" s="1527"/>
      <c r="U67" s="1527"/>
      <c r="V67" s="1527"/>
      <c r="W67" s="1527"/>
      <c r="X67" s="1527"/>
      <c r="Y67" s="1527"/>
      <c r="Z67" s="1527"/>
      <c r="AA67" s="1527"/>
      <c r="AB67" s="1527"/>
      <c r="AC67" s="1527"/>
      <c r="AD67" s="1527"/>
      <c r="AE67" s="1527"/>
      <c r="AF67" s="1527"/>
      <c r="AG67" s="1527"/>
      <c r="AH67" s="1527"/>
      <c r="AI67" s="1527"/>
      <c r="AJ67" s="1527"/>
      <c r="AK67" s="1527"/>
      <c r="AL67" s="1527"/>
      <c r="AM67" s="1527"/>
      <c r="AN67" s="1527"/>
      <c r="AO67" s="1527"/>
      <c r="AP67" s="1527"/>
      <c r="AQ67" s="1527"/>
      <c r="AR67" s="1527"/>
      <c r="AS67" s="1527"/>
      <c r="AT67" s="1527"/>
      <c r="AU67" s="1527"/>
      <c r="AV67" s="1527"/>
      <c r="AW67" s="1527"/>
      <c r="AX67" s="1527"/>
      <c r="AY67" s="1527"/>
      <c r="AZ67" s="1527"/>
      <c r="BA67" s="1527"/>
      <c r="BB67" s="1527"/>
      <c r="BC67" s="1527"/>
      <c r="BD67" s="1527"/>
      <c r="BE67" s="1533"/>
    </row>
    <row r="68" spans="1:57" ht="15.75" customHeight="1">
      <c r="A68" s="1816"/>
      <c r="B68" s="2753" t="s">
        <v>2082</v>
      </c>
      <c r="C68" s="2754"/>
      <c r="D68" s="2754"/>
      <c r="E68" s="2754"/>
      <c r="F68" s="2754"/>
      <c r="G68" s="2754"/>
      <c r="H68" s="2754"/>
      <c r="I68" s="2754"/>
      <c r="J68" s="2754"/>
      <c r="K68" s="2754"/>
      <c r="L68" s="2754"/>
      <c r="M68" s="2754"/>
      <c r="N68" s="2754"/>
      <c r="O68" s="2754"/>
      <c r="P68" s="2754"/>
      <c r="Q68" s="2754"/>
      <c r="R68" s="2754"/>
      <c r="S68" s="2754"/>
      <c r="T68" s="2754"/>
      <c r="U68" s="2754"/>
      <c r="V68" s="2754"/>
      <c r="W68" s="2754"/>
      <c r="X68" s="2754"/>
      <c r="Y68" s="2754"/>
      <c r="Z68" s="2754"/>
      <c r="AA68" s="2815"/>
      <c r="AB68" s="1527"/>
      <c r="AC68" s="2816" t="s">
        <v>2083</v>
      </c>
      <c r="AD68" s="2817"/>
      <c r="AE68" s="2817"/>
      <c r="AF68" s="2817"/>
      <c r="AG68" s="2817"/>
      <c r="AH68" s="2817"/>
      <c r="AI68" s="2817"/>
      <c r="AJ68" s="2817"/>
      <c r="AK68" s="2817"/>
      <c r="AL68" s="2817"/>
      <c r="AM68" s="2817"/>
      <c r="AN68" s="2817"/>
      <c r="AO68" s="2817"/>
      <c r="AP68" s="2817"/>
      <c r="AQ68" s="2817"/>
      <c r="AR68" s="2817"/>
      <c r="AS68" s="2817"/>
      <c r="AT68" s="2817"/>
      <c r="AU68" s="2817"/>
      <c r="AV68" s="2818" t="s">
        <v>2039</v>
      </c>
      <c r="AW68" s="2818"/>
      <c r="AX68" s="2818"/>
      <c r="AY68" s="2818"/>
      <c r="AZ68" s="2818"/>
      <c r="BA68" s="2818"/>
      <c r="BB68" s="2818"/>
      <c r="BC68" s="2819"/>
      <c r="BD68" s="1527"/>
      <c r="BE68" s="1533"/>
    </row>
    <row r="69" spans="1:57" ht="15.75" customHeight="1" thickBot="1">
      <c r="A69" s="1816"/>
      <c r="B69" s="2820" t="s">
        <v>2084</v>
      </c>
      <c r="C69" s="2821"/>
      <c r="D69" s="2821"/>
      <c r="E69" s="2821"/>
      <c r="F69" s="2821"/>
      <c r="G69" s="2821"/>
      <c r="H69" s="2821"/>
      <c r="I69" s="2821"/>
      <c r="J69" s="2821"/>
      <c r="K69" s="2821"/>
      <c r="L69" s="2821"/>
      <c r="M69" s="2821"/>
      <c r="N69" s="2821"/>
      <c r="O69" s="2759" t="s">
        <v>2085</v>
      </c>
      <c r="P69" s="2658"/>
      <c r="Q69" s="2658"/>
      <c r="R69" s="2658"/>
      <c r="S69" s="2658"/>
      <c r="T69" s="2658"/>
      <c r="U69" s="2658"/>
      <c r="V69" s="2658"/>
      <c r="W69" s="2658"/>
      <c r="X69" s="2658"/>
      <c r="Y69" s="2658"/>
      <c r="Z69" s="2658"/>
      <c r="AA69" s="2659"/>
      <c r="AB69" s="1527"/>
      <c r="AC69" s="2601" t="s">
        <v>2086</v>
      </c>
      <c r="AD69" s="2602"/>
      <c r="AE69" s="2602"/>
      <c r="AF69" s="2602"/>
      <c r="AG69" s="2602"/>
      <c r="AH69" s="2602"/>
      <c r="AI69" s="2602"/>
      <c r="AJ69" s="2602"/>
      <c r="AK69" s="2602"/>
      <c r="AL69" s="2602"/>
      <c r="AM69" s="2602"/>
      <c r="AN69" s="2602"/>
      <c r="AO69" s="2602"/>
      <c r="AP69" s="2602"/>
      <c r="AQ69" s="2602"/>
      <c r="AR69" s="2602"/>
      <c r="AS69" s="2602"/>
      <c r="AT69" s="2602"/>
      <c r="AU69" s="2602"/>
      <c r="AV69" s="2707">
        <v>44197</v>
      </c>
      <c r="AW69" s="2706"/>
      <c r="AX69" s="2706"/>
      <c r="AY69" s="2706"/>
      <c r="AZ69" s="2706"/>
      <c r="BA69" s="2706"/>
      <c r="BB69" s="2706"/>
      <c r="BC69" s="2822"/>
      <c r="BD69" s="1527"/>
      <c r="BE69" s="1533"/>
    </row>
    <row r="70" spans="1:57" ht="15.75" customHeight="1">
      <c r="A70" s="1816"/>
      <c r="B70" s="2809"/>
      <c r="C70" s="2810"/>
      <c r="D70" s="2810"/>
      <c r="E70" s="2810"/>
      <c r="F70" s="2810"/>
      <c r="G70" s="2810"/>
      <c r="H70" s="2810"/>
      <c r="I70" s="2810"/>
      <c r="J70" s="2810"/>
      <c r="K70" s="2810"/>
      <c r="L70" s="2810"/>
      <c r="M70" s="2810"/>
      <c r="N70" s="2810"/>
      <c r="O70" s="2795"/>
      <c r="P70" s="2795"/>
      <c r="Q70" s="2795"/>
      <c r="R70" s="2795"/>
      <c r="S70" s="2795"/>
      <c r="T70" s="2795"/>
      <c r="U70" s="2795"/>
      <c r="V70" s="2795"/>
      <c r="W70" s="2795"/>
      <c r="X70" s="2795"/>
      <c r="Y70" s="2795"/>
      <c r="Z70" s="2795"/>
      <c r="AA70" s="2796"/>
      <c r="AB70" s="1527"/>
      <c r="AC70" s="2811" t="s">
        <v>2087</v>
      </c>
      <c r="AD70" s="2812"/>
      <c r="AE70" s="2812"/>
      <c r="AF70" s="2780"/>
      <c r="AG70" s="2780"/>
      <c r="AH70" s="2780"/>
      <c r="AI70" s="2780"/>
      <c r="AJ70" s="2780"/>
      <c r="AK70" s="2780"/>
      <c r="AL70" s="2780"/>
      <c r="AM70" s="2780"/>
      <c r="AN70" s="2780"/>
      <c r="AO70" s="2780"/>
      <c r="AP70" s="2780"/>
      <c r="AQ70" s="2780"/>
      <c r="AR70" s="2780"/>
      <c r="AS70" s="2780"/>
      <c r="AT70" s="2780"/>
      <c r="AU70" s="2781"/>
      <c r="AV70" s="1527"/>
      <c r="AW70" s="1527"/>
      <c r="AX70" s="1527"/>
      <c r="AY70" s="1527"/>
      <c r="AZ70" s="1527"/>
      <c r="BA70" s="1527"/>
      <c r="BB70" s="1527"/>
      <c r="BC70" s="1527"/>
      <c r="BD70" s="1527"/>
      <c r="BE70" s="1533"/>
    </row>
    <row r="71" spans="1:57" ht="15.75" customHeight="1" thickBot="1">
      <c r="A71" s="1816"/>
      <c r="B71" s="2794"/>
      <c r="C71" s="2672"/>
      <c r="D71" s="2672"/>
      <c r="E71" s="2672"/>
      <c r="F71" s="2672"/>
      <c r="G71" s="2672"/>
      <c r="H71" s="2672"/>
      <c r="I71" s="2672"/>
      <c r="J71" s="2672"/>
      <c r="K71" s="2672"/>
      <c r="L71" s="2672"/>
      <c r="M71" s="2672"/>
      <c r="N71" s="2672"/>
      <c r="O71" s="2795"/>
      <c r="P71" s="2795"/>
      <c r="Q71" s="2795"/>
      <c r="R71" s="2795"/>
      <c r="S71" s="2795"/>
      <c r="T71" s="2795"/>
      <c r="U71" s="2795"/>
      <c r="V71" s="2795"/>
      <c r="W71" s="2795"/>
      <c r="X71" s="2795"/>
      <c r="Y71" s="2795"/>
      <c r="Z71" s="2795"/>
      <c r="AA71" s="2796"/>
      <c r="AB71" s="1527"/>
      <c r="AC71" s="2813" t="s">
        <v>2088</v>
      </c>
      <c r="AD71" s="2814"/>
      <c r="AE71" s="2814"/>
      <c r="AF71" s="2785"/>
      <c r="AG71" s="2785"/>
      <c r="AH71" s="2785"/>
      <c r="AI71" s="2785"/>
      <c r="AJ71" s="2785"/>
      <c r="AK71" s="2785"/>
      <c r="AL71" s="2785"/>
      <c r="AM71" s="2785"/>
      <c r="AN71" s="2785"/>
      <c r="AO71" s="2785"/>
      <c r="AP71" s="2785"/>
      <c r="AQ71" s="2785"/>
      <c r="AR71" s="2785"/>
      <c r="AS71" s="2785"/>
      <c r="AT71" s="2785"/>
      <c r="AU71" s="2786"/>
      <c r="AV71" s="1527"/>
      <c r="AW71" s="1527"/>
      <c r="AX71" s="1527"/>
      <c r="AY71" s="1527"/>
      <c r="AZ71" s="1527"/>
      <c r="BA71" s="1527"/>
      <c r="BB71" s="1527"/>
      <c r="BC71" s="1527"/>
      <c r="BD71" s="1527"/>
      <c r="BE71" s="1533"/>
    </row>
    <row r="72" spans="1:57" ht="15.75" customHeight="1">
      <c r="A72" s="1816"/>
      <c r="B72" s="2794"/>
      <c r="C72" s="2672"/>
      <c r="D72" s="2672"/>
      <c r="E72" s="2672"/>
      <c r="F72" s="2672"/>
      <c r="G72" s="2672"/>
      <c r="H72" s="2672"/>
      <c r="I72" s="2672"/>
      <c r="J72" s="2672"/>
      <c r="K72" s="2672"/>
      <c r="L72" s="2672"/>
      <c r="M72" s="2672"/>
      <c r="N72" s="2672"/>
      <c r="O72" s="2795"/>
      <c r="P72" s="2795"/>
      <c r="Q72" s="2795"/>
      <c r="R72" s="2795"/>
      <c r="S72" s="2795"/>
      <c r="T72" s="2795"/>
      <c r="U72" s="2795"/>
      <c r="V72" s="2795"/>
      <c r="W72" s="2795"/>
      <c r="X72" s="2795"/>
      <c r="Y72" s="2795"/>
      <c r="Z72" s="2795"/>
      <c r="AA72" s="2796"/>
      <c r="AB72" s="1527"/>
      <c r="AC72" s="2797" t="s">
        <v>2089</v>
      </c>
      <c r="AD72" s="2798"/>
      <c r="AE72" s="2798"/>
      <c r="AF72" s="2798"/>
      <c r="AG72" s="2798"/>
      <c r="AH72" s="2798"/>
      <c r="AI72" s="2798"/>
      <c r="AJ72" s="2798"/>
      <c r="AK72" s="2798"/>
      <c r="AL72" s="2798"/>
      <c r="AM72" s="2798"/>
      <c r="AN72" s="2798"/>
      <c r="AO72" s="2798"/>
      <c r="AP72" s="2798"/>
      <c r="AQ72" s="2798"/>
      <c r="AR72" s="2798"/>
      <c r="AS72" s="2798"/>
      <c r="AT72" s="2798"/>
      <c r="AU72" s="2798"/>
      <c r="AV72" s="2798"/>
      <c r="AW72" s="2798"/>
      <c r="AX72" s="2798"/>
      <c r="AY72" s="2798"/>
      <c r="AZ72" s="2798"/>
      <c r="BA72" s="2798"/>
      <c r="BB72" s="2798"/>
      <c r="BC72" s="2799"/>
      <c r="BD72" s="1527"/>
      <c r="BE72" s="1533"/>
    </row>
    <row r="73" spans="1:57" ht="15.75" customHeight="1">
      <c r="A73" s="1816"/>
      <c r="B73" s="2794"/>
      <c r="C73" s="2672"/>
      <c r="D73" s="2672"/>
      <c r="E73" s="2672"/>
      <c r="F73" s="2672"/>
      <c r="G73" s="2672"/>
      <c r="H73" s="2672"/>
      <c r="I73" s="2672"/>
      <c r="J73" s="2672"/>
      <c r="K73" s="2672"/>
      <c r="L73" s="2672"/>
      <c r="M73" s="2672"/>
      <c r="N73" s="2672"/>
      <c r="O73" s="2795"/>
      <c r="P73" s="2795"/>
      <c r="Q73" s="2795"/>
      <c r="R73" s="2795"/>
      <c r="S73" s="2795"/>
      <c r="T73" s="2795"/>
      <c r="U73" s="2795"/>
      <c r="V73" s="2795"/>
      <c r="W73" s="2795"/>
      <c r="X73" s="2795"/>
      <c r="Y73" s="2795"/>
      <c r="Z73" s="2795"/>
      <c r="AA73" s="2796"/>
      <c r="AB73" s="1527"/>
      <c r="AC73" s="2794"/>
      <c r="AD73" s="2672"/>
      <c r="AE73" s="2672"/>
      <c r="AF73" s="2672"/>
      <c r="AG73" s="2672"/>
      <c r="AH73" s="2672"/>
      <c r="AI73" s="2672"/>
      <c r="AJ73" s="2672"/>
      <c r="AK73" s="2672"/>
      <c r="AL73" s="2672"/>
      <c r="AM73" s="2672"/>
      <c r="AN73" s="2672"/>
      <c r="AO73" s="2672"/>
      <c r="AP73" s="2672"/>
      <c r="AQ73" s="2672"/>
      <c r="AR73" s="2672"/>
      <c r="AS73" s="2672"/>
      <c r="AT73" s="2672"/>
      <c r="AU73" s="2672"/>
      <c r="AV73" s="2672"/>
      <c r="AW73" s="2672"/>
      <c r="AX73" s="2672"/>
      <c r="AY73" s="2672"/>
      <c r="AZ73" s="2672"/>
      <c r="BA73" s="2672"/>
      <c r="BB73" s="2672"/>
      <c r="BC73" s="2800"/>
      <c r="BD73" s="1527"/>
      <c r="BE73" s="1533"/>
    </row>
    <row r="74" spans="1:57" ht="15.75" customHeight="1" thickBot="1">
      <c r="A74" s="1816"/>
      <c r="B74" s="2794"/>
      <c r="C74" s="2672"/>
      <c r="D74" s="2672"/>
      <c r="E74" s="2672"/>
      <c r="F74" s="2672"/>
      <c r="G74" s="2672"/>
      <c r="H74" s="2672"/>
      <c r="I74" s="2672"/>
      <c r="J74" s="2672"/>
      <c r="K74" s="2672"/>
      <c r="L74" s="2672"/>
      <c r="M74" s="2672"/>
      <c r="N74" s="2672"/>
      <c r="O74" s="2802"/>
      <c r="P74" s="2802"/>
      <c r="Q74" s="2802"/>
      <c r="R74" s="2802"/>
      <c r="S74" s="2802"/>
      <c r="T74" s="2802"/>
      <c r="U74" s="2802"/>
      <c r="V74" s="2802"/>
      <c r="W74" s="2802"/>
      <c r="X74" s="2802"/>
      <c r="Y74" s="2802"/>
      <c r="Z74" s="2802"/>
      <c r="AA74" s="2803"/>
      <c r="AB74" s="1527"/>
      <c r="AC74" s="2794"/>
      <c r="AD74" s="2672"/>
      <c r="AE74" s="2672"/>
      <c r="AF74" s="2672"/>
      <c r="AG74" s="2672"/>
      <c r="AH74" s="2672"/>
      <c r="AI74" s="2672"/>
      <c r="AJ74" s="2672"/>
      <c r="AK74" s="2672"/>
      <c r="AL74" s="2672"/>
      <c r="AM74" s="2672"/>
      <c r="AN74" s="2672"/>
      <c r="AO74" s="2672"/>
      <c r="AP74" s="2672"/>
      <c r="AQ74" s="2672"/>
      <c r="AR74" s="2672"/>
      <c r="AS74" s="2672"/>
      <c r="AT74" s="2672"/>
      <c r="AU74" s="2672"/>
      <c r="AV74" s="2672"/>
      <c r="AW74" s="2672"/>
      <c r="AX74" s="2672"/>
      <c r="AY74" s="2672"/>
      <c r="AZ74" s="2672"/>
      <c r="BA74" s="2672"/>
      <c r="BB74" s="2672"/>
      <c r="BC74" s="2800"/>
      <c r="BD74" s="1527"/>
      <c r="BE74" s="1533"/>
    </row>
    <row r="75" spans="1:57" ht="15.75" customHeight="1" thickTop="1" thickBot="1">
      <c r="A75" s="1816"/>
      <c r="B75" s="2804" t="s">
        <v>129</v>
      </c>
      <c r="C75" s="2805"/>
      <c r="D75" s="2805"/>
      <c r="E75" s="2805"/>
      <c r="F75" s="2805"/>
      <c r="G75" s="2805"/>
      <c r="H75" s="2805"/>
      <c r="I75" s="2805"/>
      <c r="J75" s="2805"/>
      <c r="K75" s="2805"/>
      <c r="L75" s="2805"/>
      <c r="M75" s="2805"/>
      <c r="N75" s="2805"/>
      <c r="O75" s="2806">
        <f>SUM(O70:AA74)</f>
        <v>0</v>
      </c>
      <c r="P75" s="2807"/>
      <c r="Q75" s="2807"/>
      <c r="R75" s="2807"/>
      <c r="S75" s="2807"/>
      <c r="T75" s="2807"/>
      <c r="U75" s="2807"/>
      <c r="V75" s="2807"/>
      <c r="W75" s="2807"/>
      <c r="X75" s="2807"/>
      <c r="Y75" s="2807"/>
      <c r="Z75" s="2807"/>
      <c r="AA75" s="2808"/>
      <c r="AB75" s="1527"/>
      <c r="AC75" s="2794"/>
      <c r="AD75" s="2672"/>
      <c r="AE75" s="2672"/>
      <c r="AF75" s="2672"/>
      <c r="AG75" s="2672"/>
      <c r="AH75" s="2672"/>
      <c r="AI75" s="2672"/>
      <c r="AJ75" s="2672"/>
      <c r="AK75" s="2672"/>
      <c r="AL75" s="2672"/>
      <c r="AM75" s="2672"/>
      <c r="AN75" s="2672"/>
      <c r="AO75" s="2672"/>
      <c r="AP75" s="2672"/>
      <c r="AQ75" s="2672"/>
      <c r="AR75" s="2672"/>
      <c r="AS75" s="2672"/>
      <c r="AT75" s="2672"/>
      <c r="AU75" s="2672"/>
      <c r="AV75" s="2672"/>
      <c r="AW75" s="2672"/>
      <c r="AX75" s="2672"/>
      <c r="AY75" s="2672"/>
      <c r="AZ75" s="2672"/>
      <c r="BA75" s="2672"/>
      <c r="BB75" s="2672"/>
      <c r="BC75" s="2800"/>
      <c r="BD75" s="1527"/>
      <c r="BE75" s="1533"/>
    </row>
    <row r="76" spans="1:57" ht="15.75" customHeight="1">
      <c r="A76" s="1816"/>
      <c r="B76" s="1527"/>
      <c r="C76" s="1527"/>
      <c r="D76" s="1527"/>
      <c r="E76" s="1527"/>
      <c r="F76" s="1527"/>
      <c r="G76" s="1527"/>
      <c r="H76" s="1527"/>
      <c r="I76" s="1527"/>
      <c r="J76" s="1527"/>
      <c r="K76" s="1527"/>
      <c r="L76" s="1527"/>
      <c r="M76" s="1527"/>
      <c r="N76" s="1527"/>
      <c r="O76" s="1527"/>
      <c r="P76" s="1527"/>
      <c r="Q76" s="1527"/>
      <c r="R76" s="1527"/>
      <c r="S76" s="1527"/>
      <c r="T76" s="1527"/>
      <c r="U76" s="1527"/>
      <c r="V76" s="1527"/>
      <c r="W76" s="1527"/>
      <c r="X76" s="1527"/>
      <c r="Y76" s="1527"/>
      <c r="Z76" s="1527"/>
      <c r="AA76" s="1527"/>
      <c r="AB76" s="1527"/>
      <c r="AC76" s="2794"/>
      <c r="AD76" s="2672"/>
      <c r="AE76" s="2672"/>
      <c r="AF76" s="2672"/>
      <c r="AG76" s="2672"/>
      <c r="AH76" s="2672"/>
      <c r="AI76" s="2672"/>
      <c r="AJ76" s="2672"/>
      <c r="AK76" s="2672"/>
      <c r="AL76" s="2672"/>
      <c r="AM76" s="2672"/>
      <c r="AN76" s="2672"/>
      <c r="AO76" s="2672"/>
      <c r="AP76" s="2672"/>
      <c r="AQ76" s="2672"/>
      <c r="AR76" s="2672"/>
      <c r="AS76" s="2672"/>
      <c r="AT76" s="2672"/>
      <c r="AU76" s="2672"/>
      <c r="AV76" s="2672"/>
      <c r="AW76" s="2672"/>
      <c r="AX76" s="2672"/>
      <c r="AY76" s="2672"/>
      <c r="AZ76" s="2672"/>
      <c r="BA76" s="2672"/>
      <c r="BB76" s="2672"/>
      <c r="BC76" s="2800"/>
      <c r="BD76" s="1527"/>
      <c r="BE76" s="1533"/>
    </row>
    <row r="77" spans="1:57" ht="15.75" customHeight="1" thickBot="1">
      <c r="A77" s="1816"/>
      <c r="B77" s="1538" t="s">
        <v>2090</v>
      </c>
      <c r="C77" s="1539"/>
      <c r="D77" s="1539"/>
      <c r="E77" s="1539"/>
      <c r="F77" s="1539"/>
      <c r="G77" s="1539"/>
      <c r="H77" s="1539"/>
      <c r="I77" s="1539"/>
      <c r="J77" s="1539"/>
      <c r="K77" s="1539"/>
      <c r="L77" s="1539"/>
      <c r="M77" s="1539"/>
      <c r="N77" s="1539"/>
      <c r="O77" s="1539"/>
      <c r="P77" s="1539"/>
      <c r="Q77" s="1527"/>
      <c r="R77" s="1527"/>
      <c r="S77" s="1527"/>
      <c r="T77" s="1527"/>
      <c r="U77" s="1527"/>
      <c r="V77" s="1527"/>
      <c r="W77" s="1527"/>
      <c r="X77" s="1527"/>
      <c r="Y77" s="1527"/>
      <c r="Z77" s="1527"/>
      <c r="AA77" s="1527"/>
      <c r="AB77" s="1527"/>
      <c r="AC77" s="2801"/>
      <c r="AD77" s="2785"/>
      <c r="AE77" s="2785"/>
      <c r="AF77" s="2785"/>
      <c r="AG77" s="2785"/>
      <c r="AH77" s="2785"/>
      <c r="AI77" s="2785"/>
      <c r="AJ77" s="2785"/>
      <c r="AK77" s="2785"/>
      <c r="AL77" s="2785"/>
      <c r="AM77" s="2785"/>
      <c r="AN77" s="2785"/>
      <c r="AO77" s="2785"/>
      <c r="AP77" s="2785"/>
      <c r="AQ77" s="2785"/>
      <c r="AR77" s="2785"/>
      <c r="AS77" s="2785"/>
      <c r="AT77" s="2785"/>
      <c r="AU77" s="2785"/>
      <c r="AV77" s="2785"/>
      <c r="AW77" s="2785"/>
      <c r="AX77" s="2785"/>
      <c r="AY77" s="2785"/>
      <c r="AZ77" s="2785"/>
      <c r="BA77" s="2785"/>
      <c r="BB77" s="2785"/>
      <c r="BC77" s="2786"/>
      <c r="BD77" s="1527"/>
      <c r="BE77" s="1533"/>
    </row>
    <row r="78" spans="1:57" ht="15.75" customHeight="1" thickBot="1">
      <c r="A78" s="1816"/>
      <c r="B78" s="1527"/>
      <c r="C78" s="1527"/>
      <c r="D78" s="1527"/>
      <c r="E78" s="1527"/>
      <c r="F78" s="1527"/>
      <c r="G78" s="1527"/>
      <c r="H78" s="1527"/>
      <c r="I78" s="1527"/>
      <c r="J78" s="1527"/>
      <c r="K78" s="1527"/>
      <c r="L78" s="1527"/>
      <c r="M78" s="1527"/>
      <c r="N78" s="1527"/>
      <c r="O78" s="1527"/>
      <c r="P78" s="1527"/>
      <c r="Q78" s="1527"/>
      <c r="R78" s="1527"/>
      <c r="S78" s="1527"/>
      <c r="T78" s="1527"/>
      <c r="U78" s="1527"/>
      <c r="V78" s="1527"/>
      <c r="W78" s="1527"/>
      <c r="X78" s="1527"/>
      <c r="Y78" s="1527"/>
      <c r="Z78" s="1527"/>
      <c r="AA78" s="1527"/>
      <c r="AB78" s="1527"/>
      <c r="AC78" s="1527"/>
      <c r="AD78" s="1527"/>
      <c r="AE78" s="1527"/>
      <c r="AF78" s="1527"/>
      <c r="AG78" s="1527"/>
      <c r="AH78" s="1527"/>
      <c r="AI78" s="1527"/>
      <c r="AJ78" s="1527"/>
      <c r="AK78" s="1527"/>
      <c r="AL78" s="1527"/>
      <c r="AM78" s="1527"/>
      <c r="AN78" s="1527"/>
      <c r="AO78" s="1527"/>
      <c r="AP78" s="1527"/>
      <c r="AQ78" s="1527"/>
      <c r="AR78" s="1527"/>
      <c r="AS78" s="1527"/>
      <c r="AT78" s="1527"/>
      <c r="AU78" s="1527"/>
      <c r="AV78" s="1527"/>
      <c r="AW78" s="1527"/>
      <c r="AX78" s="1527"/>
      <c r="AY78" s="1527"/>
      <c r="AZ78" s="1527"/>
      <c r="BA78" s="1527"/>
      <c r="BB78" s="1527"/>
      <c r="BC78" s="1527"/>
      <c r="BD78" s="1527"/>
      <c r="BE78" s="1533"/>
    </row>
    <row r="79" spans="1:57" ht="15.75" customHeight="1" thickBot="1">
      <c r="A79" s="1816"/>
      <c r="B79" s="2684" t="s">
        <v>2091</v>
      </c>
      <c r="C79" s="2685"/>
      <c r="D79" s="2685"/>
      <c r="E79" s="2685"/>
      <c r="F79" s="2685"/>
      <c r="G79" s="2685"/>
      <c r="H79" s="2685"/>
      <c r="I79" s="2685"/>
      <c r="J79" s="2685"/>
      <c r="K79" s="2685"/>
      <c r="L79" s="2685"/>
      <c r="M79" s="2685"/>
      <c r="N79" s="2685"/>
      <c r="O79" s="2685"/>
      <c r="P79" s="2685"/>
      <c r="Q79" s="2685"/>
      <c r="R79" s="2685"/>
      <c r="S79" s="2685"/>
      <c r="T79" s="2685"/>
      <c r="U79" s="2685"/>
      <c r="V79" s="2685"/>
      <c r="W79" s="2685"/>
      <c r="X79" s="2685"/>
      <c r="Y79" s="2685"/>
      <c r="Z79" s="2685"/>
      <c r="AA79" s="2685"/>
      <c r="AB79" s="2792"/>
      <c r="AC79" s="2792"/>
      <c r="AD79" s="2792"/>
      <c r="AE79" s="2792"/>
      <c r="AF79" s="2792"/>
      <c r="AG79" s="2793"/>
      <c r="AH79" s="1527"/>
      <c r="AI79" s="1527"/>
      <c r="AJ79" s="1527"/>
      <c r="AK79" s="1527"/>
      <c r="AL79" s="1527"/>
      <c r="AM79" s="1527"/>
      <c r="AN79" s="1527"/>
      <c r="AO79" s="1527"/>
      <c r="AP79" s="1527"/>
      <c r="AQ79" s="1527"/>
      <c r="AR79" s="1527"/>
      <c r="AS79" s="1527"/>
      <c r="AT79" s="1527"/>
      <c r="AU79" s="1527"/>
      <c r="AV79" s="1527"/>
      <c r="AW79" s="1527"/>
      <c r="AX79" s="1527"/>
      <c r="AY79" s="1527"/>
      <c r="AZ79" s="1527"/>
      <c r="BA79" s="1527"/>
      <c r="BB79" s="1527"/>
      <c r="BC79" s="1527"/>
      <c r="BD79" s="1527"/>
      <c r="BE79" s="1533"/>
    </row>
    <row r="80" spans="1:57" ht="15.75" customHeight="1" thickBot="1">
      <c r="A80" s="1816"/>
      <c r="B80" s="2684"/>
      <c r="C80" s="2685"/>
      <c r="D80" s="2685"/>
      <c r="E80" s="2685"/>
      <c r="F80" s="2685"/>
      <c r="G80" s="2685"/>
      <c r="H80" s="2686"/>
      <c r="I80" s="2774" t="s">
        <v>2092</v>
      </c>
      <c r="J80" s="2775"/>
      <c r="K80" s="2775"/>
      <c r="L80" s="2775"/>
      <c r="M80" s="2775"/>
      <c r="N80" s="2776"/>
      <c r="O80" s="2774" t="s">
        <v>2093</v>
      </c>
      <c r="P80" s="2775"/>
      <c r="Q80" s="2775"/>
      <c r="R80" s="2775"/>
      <c r="S80" s="2775"/>
      <c r="T80" s="2775"/>
      <c r="U80" s="2776"/>
      <c r="V80" s="2774" t="s">
        <v>2094</v>
      </c>
      <c r="W80" s="2775"/>
      <c r="X80" s="2775"/>
      <c r="Y80" s="2775"/>
      <c r="Z80" s="2775"/>
      <c r="AA80" s="2776"/>
      <c r="AB80" s="2774" t="s">
        <v>2095</v>
      </c>
      <c r="AC80" s="2775"/>
      <c r="AD80" s="2775"/>
      <c r="AE80" s="2775"/>
      <c r="AF80" s="2775"/>
      <c r="AG80" s="2776"/>
      <c r="AH80" s="1527"/>
      <c r="AI80" s="1527"/>
      <c r="AJ80" s="1527"/>
      <c r="AK80" s="1527"/>
      <c r="AL80" s="1527"/>
      <c r="AM80" s="1527"/>
      <c r="AN80" s="1527"/>
      <c r="AO80" s="1527"/>
      <c r="AP80" s="1527"/>
      <c r="AQ80" s="1527"/>
      <c r="AR80" s="1527"/>
      <c r="AS80" s="1527"/>
      <c r="AT80" s="1527"/>
      <c r="AU80" s="1527"/>
      <c r="AV80" s="1527"/>
      <c r="AW80" s="1527"/>
      <c r="AX80" s="1527"/>
      <c r="AY80" s="1527"/>
      <c r="AZ80" s="1527"/>
      <c r="BA80" s="1527"/>
      <c r="BB80" s="1527"/>
      <c r="BC80" s="1527"/>
      <c r="BD80" s="1527"/>
      <c r="BE80" s="1533"/>
    </row>
    <row r="81" spans="1:57" ht="15.75" customHeight="1" thickBot="1">
      <c r="A81" s="1816"/>
      <c r="B81" s="2774" t="s">
        <v>2096</v>
      </c>
      <c r="C81" s="2775"/>
      <c r="D81" s="2775"/>
      <c r="E81" s="2775"/>
      <c r="F81" s="2775"/>
      <c r="G81" s="2775"/>
      <c r="H81" s="2776"/>
      <c r="I81" s="2777"/>
      <c r="J81" s="2778"/>
      <c r="K81" s="2778"/>
      <c r="L81" s="2778"/>
      <c r="M81" s="2778"/>
      <c r="N81" s="2778"/>
      <c r="O81" s="2778"/>
      <c r="P81" s="2778"/>
      <c r="Q81" s="2778"/>
      <c r="R81" s="2778"/>
      <c r="S81" s="2778"/>
      <c r="T81" s="2778"/>
      <c r="U81" s="2778"/>
      <c r="V81" s="2778"/>
      <c r="W81" s="2778"/>
      <c r="X81" s="2778"/>
      <c r="Y81" s="2778"/>
      <c r="Z81" s="2778"/>
      <c r="AA81" s="2779"/>
      <c r="AB81" s="2778"/>
      <c r="AC81" s="2778"/>
      <c r="AD81" s="2778"/>
      <c r="AE81" s="2778"/>
      <c r="AF81" s="2778"/>
      <c r="AG81" s="2779"/>
      <c r="AH81" s="1527"/>
      <c r="AI81" s="1527"/>
      <c r="AJ81" s="1527"/>
      <c r="AK81" s="1527" t="s">
        <v>256</v>
      </c>
      <c r="AL81" s="1527"/>
      <c r="AM81" s="1527"/>
      <c r="AN81" s="1527"/>
      <c r="AO81" s="1527"/>
      <c r="AP81" s="1527"/>
      <c r="AQ81" s="1527"/>
      <c r="AR81" s="1527"/>
      <c r="AS81" s="1527"/>
      <c r="AT81" s="1527"/>
      <c r="AU81" s="1527"/>
      <c r="AV81" s="1527"/>
      <c r="AW81" s="1527"/>
      <c r="AX81" s="1527"/>
      <c r="AY81" s="1527"/>
      <c r="AZ81" s="1527"/>
      <c r="BA81" s="1527"/>
      <c r="BB81" s="1527"/>
      <c r="BC81" s="1527"/>
      <c r="BD81" s="1527"/>
      <c r="BE81" s="1533"/>
    </row>
    <row r="82" spans="1:57" ht="15.75" customHeight="1" thickBot="1">
      <c r="A82" s="1816"/>
      <c r="B82" s="2774" t="s">
        <v>2097</v>
      </c>
      <c r="C82" s="2775"/>
      <c r="D82" s="2775"/>
      <c r="E82" s="2775"/>
      <c r="F82" s="2775"/>
      <c r="G82" s="2775"/>
      <c r="H82" s="2776"/>
      <c r="I82" s="2782"/>
      <c r="J82" s="2783"/>
      <c r="K82" s="2783"/>
      <c r="L82" s="2783"/>
      <c r="M82" s="2783"/>
      <c r="N82" s="2783"/>
      <c r="O82" s="2783"/>
      <c r="P82" s="2783"/>
      <c r="Q82" s="2783"/>
      <c r="R82" s="2783"/>
      <c r="S82" s="2783"/>
      <c r="T82" s="2783"/>
      <c r="U82" s="2783"/>
      <c r="V82" s="2783"/>
      <c r="W82" s="2783"/>
      <c r="X82" s="2783"/>
      <c r="Y82" s="2783"/>
      <c r="Z82" s="2783"/>
      <c r="AA82" s="2784"/>
      <c r="AB82" s="2783"/>
      <c r="AC82" s="2783"/>
      <c r="AD82" s="2783"/>
      <c r="AE82" s="2783"/>
      <c r="AF82" s="2783"/>
      <c r="AG82" s="2784"/>
      <c r="AH82" s="1527"/>
      <c r="AI82" s="1527"/>
      <c r="AJ82" s="1527"/>
      <c r="AK82" s="1527"/>
      <c r="AL82" s="1527"/>
      <c r="AM82" s="1527"/>
      <c r="AN82" s="1527"/>
      <c r="AO82" s="1527"/>
      <c r="AP82" s="1527"/>
      <c r="AQ82" s="1527"/>
      <c r="AR82" s="1527"/>
      <c r="AS82" s="1527"/>
      <c r="AT82" s="1527"/>
      <c r="AU82" s="1527"/>
      <c r="AV82" s="1527"/>
      <c r="AW82" s="1527"/>
      <c r="AX82" s="1527"/>
      <c r="AY82" s="1527"/>
      <c r="AZ82" s="1527"/>
      <c r="BA82" s="1527"/>
      <c r="BB82" s="1527"/>
      <c r="BC82" s="1527"/>
      <c r="BD82" s="1527"/>
      <c r="BE82" s="1533"/>
    </row>
    <row r="83" spans="1:57" ht="15.75" customHeight="1">
      <c r="A83" s="1816"/>
      <c r="B83" s="1527"/>
      <c r="C83" s="1527"/>
      <c r="D83" s="1527"/>
      <c r="E83" s="1527"/>
      <c r="F83" s="1527"/>
      <c r="G83" s="1527"/>
      <c r="H83" s="1527"/>
      <c r="I83" s="1527"/>
      <c r="J83" s="1527"/>
      <c r="K83" s="1527"/>
      <c r="L83" s="1527"/>
      <c r="M83" s="1527"/>
      <c r="N83" s="1527"/>
      <c r="O83" s="1527"/>
      <c r="P83" s="1527"/>
      <c r="Q83" s="1527"/>
      <c r="R83" s="1527"/>
      <c r="S83" s="1527"/>
      <c r="T83" s="1527"/>
      <c r="U83" s="1527"/>
      <c r="V83" s="1527"/>
      <c r="W83" s="1527"/>
      <c r="X83" s="1527"/>
      <c r="Y83" s="1527"/>
      <c r="Z83" s="1527"/>
      <c r="AA83" s="1527"/>
      <c r="AB83" s="1527"/>
      <c r="AC83" s="1527"/>
      <c r="AD83" s="1527"/>
      <c r="AE83" s="1527"/>
      <c r="AF83" s="1527"/>
      <c r="AG83" s="1527"/>
      <c r="AH83" s="1527"/>
      <c r="AI83" s="1527"/>
      <c r="AJ83" s="1527"/>
      <c r="AK83" s="1527"/>
      <c r="AL83" s="1527"/>
      <c r="AM83" s="1527"/>
      <c r="AN83" s="1527"/>
      <c r="AO83" s="1527"/>
      <c r="AP83" s="1527"/>
      <c r="AQ83" s="1527"/>
      <c r="AR83" s="1527"/>
      <c r="AS83" s="1527"/>
      <c r="AT83" s="1527"/>
      <c r="AU83" s="1527"/>
      <c r="AV83" s="1527"/>
      <c r="AW83" s="1527"/>
      <c r="AX83" s="1527"/>
      <c r="AY83" s="1527"/>
      <c r="AZ83" s="1527"/>
      <c r="BA83" s="1527"/>
      <c r="BB83" s="1527"/>
      <c r="BC83" s="1527"/>
      <c r="BD83" s="1527"/>
      <c r="BE83" s="1533"/>
    </row>
    <row r="84" spans="1:57" ht="15.75" customHeight="1">
      <c r="A84" s="1816"/>
      <c r="B84" s="1537" t="s">
        <v>2098</v>
      </c>
      <c r="P84" s="1527"/>
      <c r="Q84" s="1527"/>
      <c r="R84" s="1527"/>
      <c r="S84" s="1527"/>
      <c r="T84" s="1527"/>
      <c r="U84" s="1527"/>
      <c r="V84" s="1527"/>
      <c r="W84" s="1527"/>
      <c r="X84" s="1527"/>
      <c r="Y84" s="1527"/>
      <c r="Z84" s="1527"/>
      <c r="AA84" s="1527"/>
      <c r="AB84" s="1527"/>
      <c r="AC84" s="1527"/>
      <c r="AD84" s="1527"/>
      <c r="AE84" s="1527"/>
      <c r="AF84" s="1527"/>
      <c r="AG84" s="1527"/>
      <c r="AH84" s="1527"/>
      <c r="AI84" s="1527"/>
      <c r="AJ84" s="1527"/>
      <c r="AK84" s="1527"/>
      <c r="AL84" s="1527"/>
      <c r="AM84" s="1527"/>
      <c r="AN84" s="1527"/>
      <c r="AO84" s="1527"/>
      <c r="AP84" s="1527"/>
      <c r="AQ84" s="1527"/>
      <c r="AR84" s="1527"/>
      <c r="AS84" s="1527"/>
      <c r="AT84" s="1527"/>
      <c r="AU84" s="1527"/>
      <c r="AV84" s="1527"/>
      <c r="AW84" s="1527"/>
      <c r="AX84" s="1527"/>
      <c r="AY84" s="1527"/>
      <c r="AZ84" s="1527"/>
      <c r="BA84" s="1527"/>
      <c r="BB84" s="1527"/>
      <c r="BC84" s="1527"/>
      <c r="BD84" s="1527"/>
      <c r="BE84" s="1533"/>
    </row>
    <row r="85" spans="1:57" ht="15.75" customHeight="1" thickBot="1">
      <c r="A85" s="1816"/>
      <c r="B85" s="1527"/>
      <c r="C85" s="1527"/>
      <c r="D85" s="1527"/>
      <c r="E85" s="1527"/>
      <c r="F85" s="1527"/>
      <c r="G85" s="1527"/>
      <c r="H85" s="1527"/>
      <c r="I85" s="1527"/>
      <c r="J85" s="1527"/>
      <c r="K85" s="1527"/>
      <c r="L85" s="1527"/>
      <c r="M85" s="1527"/>
      <c r="N85" s="1527"/>
      <c r="O85" s="1527"/>
      <c r="P85" s="1540"/>
      <c r="Q85" s="1527"/>
      <c r="R85" s="1527"/>
      <c r="S85" s="1527"/>
      <c r="T85" s="1527"/>
      <c r="U85" s="1527"/>
      <c r="V85" s="1527"/>
      <c r="W85" s="1527"/>
      <c r="X85" s="1527"/>
      <c r="Y85" s="1527"/>
      <c r="Z85" s="1527"/>
      <c r="AA85" s="1527"/>
      <c r="AB85" s="1527"/>
      <c r="AC85" s="1527"/>
      <c r="AD85" s="1527"/>
      <c r="AE85" s="1527"/>
      <c r="AF85" s="1527"/>
      <c r="AG85" s="1527"/>
      <c r="AH85" s="1527"/>
      <c r="AI85" s="1527"/>
      <c r="AJ85" s="1527"/>
      <c r="AK85" s="1527"/>
      <c r="AL85" s="1527"/>
      <c r="AM85" s="1527"/>
      <c r="AN85" s="1527"/>
      <c r="AO85" s="1527"/>
      <c r="AP85" s="1527"/>
      <c r="AQ85" s="1527"/>
      <c r="AR85" s="1527"/>
      <c r="AS85" s="1527"/>
      <c r="AT85" s="1527"/>
      <c r="AU85" s="1527"/>
      <c r="AV85" s="1527"/>
      <c r="AW85" s="1527"/>
      <c r="AX85" s="1527"/>
      <c r="AY85" s="1527"/>
      <c r="AZ85" s="1527"/>
      <c r="BA85" s="1527"/>
      <c r="BB85" s="1527"/>
      <c r="BC85" s="1527"/>
      <c r="BD85" s="1527"/>
      <c r="BE85" s="1533"/>
    </row>
    <row r="86" spans="1:57" ht="15.75" customHeight="1" thickBot="1">
      <c r="A86" s="1816"/>
      <c r="B86" s="2690" t="s">
        <v>2099</v>
      </c>
      <c r="C86" s="2691"/>
      <c r="D86" s="2691"/>
      <c r="E86" s="2691"/>
      <c r="F86" s="2691"/>
      <c r="G86" s="2691"/>
      <c r="H86" s="2691"/>
      <c r="I86" s="2691"/>
      <c r="J86" s="2691"/>
      <c r="K86" s="2691"/>
      <c r="L86" s="2691"/>
      <c r="M86" s="2691"/>
      <c r="N86" s="2691"/>
      <c r="O86" s="2691"/>
      <c r="P86" s="2691"/>
      <c r="Q86" s="2691"/>
      <c r="R86" s="2691"/>
      <c r="S86" s="2691"/>
      <c r="T86" s="2691"/>
      <c r="U86" s="2691"/>
      <c r="V86" s="2691"/>
      <c r="W86" s="2691"/>
      <c r="X86" s="2691"/>
      <c r="Y86" s="2691"/>
      <c r="Z86" s="2691"/>
      <c r="AA86" s="2691"/>
      <c r="AB86" s="2691"/>
      <c r="AC86" s="2691"/>
      <c r="AD86" s="2691"/>
      <c r="AE86" s="2691"/>
      <c r="AF86" s="2691"/>
      <c r="AG86" s="2691"/>
      <c r="AH86" s="2692"/>
      <c r="AI86" s="1527"/>
      <c r="AJ86" s="1527"/>
      <c r="AK86" s="1527"/>
      <c r="AL86" s="1527"/>
      <c r="AM86" s="1527"/>
      <c r="AN86" s="1527"/>
      <c r="AO86" s="1527"/>
      <c r="AP86" s="1527"/>
      <c r="AQ86" s="1527"/>
      <c r="AR86" s="1527"/>
      <c r="AS86" s="1527"/>
      <c r="AT86" s="1527"/>
      <c r="AU86" s="1527"/>
      <c r="AV86" s="1527"/>
      <c r="AW86" s="1527"/>
      <c r="AX86" s="1527"/>
      <c r="AY86" s="1527"/>
      <c r="AZ86" s="1527"/>
      <c r="BA86" s="1527"/>
      <c r="BB86" s="1527"/>
      <c r="BC86" s="1527"/>
      <c r="BD86" s="1527"/>
      <c r="BE86" s="1533"/>
    </row>
    <row r="87" spans="1:57" ht="15.75" customHeight="1" thickBot="1">
      <c r="A87" s="1816"/>
      <c r="B87" s="2684"/>
      <c r="C87" s="2685"/>
      <c r="D87" s="2685"/>
      <c r="E87" s="2685"/>
      <c r="F87" s="2685"/>
      <c r="G87" s="2685"/>
      <c r="H87" s="2686"/>
      <c r="I87" s="2774" t="s">
        <v>2092</v>
      </c>
      <c r="J87" s="2775"/>
      <c r="K87" s="2775"/>
      <c r="L87" s="2775"/>
      <c r="M87" s="2775"/>
      <c r="N87" s="2776"/>
      <c r="O87" s="2774" t="s">
        <v>2093</v>
      </c>
      <c r="P87" s="2775"/>
      <c r="Q87" s="2775"/>
      <c r="R87" s="2775"/>
      <c r="S87" s="2775"/>
      <c r="T87" s="2775"/>
      <c r="U87" s="2776"/>
      <c r="V87" s="2774" t="s">
        <v>2094</v>
      </c>
      <c r="W87" s="2775"/>
      <c r="X87" s="2775"/>
      <c r="Y87" s="2775"/>
      <c r="Z87" s="2775"/>
      <c r="AA87" s="2776"/>
      <c r="AB87" s="2787" t="s">
        <v>2095</v>
      </c>
      <c r="AC87" s="2788"/>
      <c r="AD87" s="2788"/>
      <c r="AE87" s="2788"/>
      <c r="AF87" s="2788"/>
      <c r="AG87" s="2788"/>
      <c r="AH87" s="2789"/>
      <c r="AI87" s="1527"/>
      <c r="AJ87" s="1527"/>
      <c r="AK87" s="1527"/>
      <c r="AL87" s="1527"/>
      <c r="AM87" s="1527"/>
      <c r="AN87" s="1527"/>
      <c r="AO87" s="1527"/>
      <c r="AP87" s="1527"/>
      <c r="AQ87" s="1527"/>
      <c r="AR87" s="1527"/>
      <c r="AS87" s="1527"/>
      <c r="AT87" s="1527"/>
      <c r="AU87" s="1527"/>
      <c r="AV87" s="1527"/>
      <c r="AW87" s="1527"/>
      <c r="AX87" s="1527"/>
      <c r="AY87" s="1527"/>
      <c r="AZ87" s="1527"/>
      <c r="BA87" s="1527"/>
      <c r="BB87" s="1527"/>
      <c r="BC87" s="1527"/>
      <c r="BD87" s="1527"/>
      <c r="BE87" s="1533"/>
    </row>
    <row r="88" spans="1:57" ht="15.75" customHeight="1" thickBot="1">
      <c r="A88" s="1816"/>
      <c r="B88" s="2774" t="s">
        <v>2096</v>
      </c>
      <c r="C88" s="2775"/>
      <c r="D88" s="2775"/>
      <c r="E88" s="2775"/>
      <c r="F88" s="2775"/>
      <c r="G88" s="2775"/>
      <c r="H88" s="2776"/>
      <c r="I88" s="2777"/>
      <c r="J88" s="2778"/>
      <c r="K88" s="2778"/>
      <c r="L88" s="2778"/>
      <c r="M88" s="2778"/>
      <c r="N88" s="2778"/>
      <c r="O88" s="2778"/>
      <c r="P88" s="2778"/>
      <c r="Q88" s="2778"/>
      <c r="R88" s="2778"/>
      <c r="S88" s="2778"/>
      <c r="T88" s="2778"/>
      <c r="U88" s="2778"/>
      <c r="V88" s="2778"/>
      <c r="W88" s="2778"/>
      <c r="X88" s="2778"/>
      <c r="Y88" s="2778"/>
      <c r="Z88" s="2778"/>
      <c r="AA88" s="2790"/>
      <c r="AB88" s="2780"/>
      <c r="AC88" s="2780"/>
      <c r="AD88" s="2780"/>
      <c r="AE88" s="2780"/>
      <c r="AF88" s="2780"/>
      <c r="AG88" s="2780"/>
      <c r="AH88" s="2781"/>
      <c r="AI88" s="1527"/>
      <c r="AJ88" s="1527"/>
      <c r="AK88" s="1527"/>
      <c r="AL88" s="1527"/>
      <c r="AM88" s="1527"/>
      <c r="AN88" s="1527"/>
      <c r="AO88" s="1527"/>
      <c r="AP88" s="1527"/>
      <c r="AQ88" s="1527"/>
      <c r="AR88" s="1527"/>
      <c r="AS88" s="1527"/>
      <c r="AT88" s="1527"/>
      <c r="AU88" s="1527"/>
      <c r="AV88" s="1527"/>
      <c r="AW88" s="1527"/>
      <c r="AX88" s="1527"/>
      <c r="AY88" s="1527"/>
      <c r="AZ88" s="1527"/>
      <c r="BA88" s="1527"/>
      <c r="BB88" s="1527"/>
      <c r="BC88" s="1527"/>
      <c r="BD88" s="1527"/>
      <c r="BE88" s="1533"/>
    </row>
    <row r="89" spans="1:57" ht="15.75" customHeight="1" thickBot="1">
      <c r="A89" s="1816"/>
      <c r="B89" s="2774" t="s">
        <v>2097</v>
      </c>
      <c r="C89" s="2775"/>
      <c r="D89" s="2775"/>
      <c r="E89" s="2775"/>
      <c r="F89" s="2775"/>
      <c r="G89" s="2775"/>
      <c r="H89" s="2776"/>
      <c r="I89" s="2782"/>
      <c r="J89" s="2783"/>
      <c r="K89" s="2783"/>
      <c r="L89" s="2783"/>
      <c r="M89" s="2783"/>
      <c r="N89" s="2783"/>
      <c r="O89" s="2783"/>
      <c r="P89" s="2783"/>
      <c r="Q89" s="2783"/>
      <c r="R89" s="2783"/>
      <c r="S89" s="2783"/>
      <c r="T89" s="2783"/>
      <c r="U89" s="2783"/>
      <c r="V89" s="2783"/>
      <c r="W89" s="2783"/>
      <c r="X89" s="2783"/>
      <c r="Y89" s="2783"/>
      <c r="Z89" s="2783"/>
      <c r="AA89" s="2791"/>
      <c r="AB89" s="2785"/>
      <c r="AC89" s="2785"/>
      <c r="AD89" s="2785"/>
      <c r="AE89" s="2785"/>
      <c r="AF89" s="2785"/>
      <c r="AG89" s="2785"/>
      <c r="AH89" s="2786"/>
      <c r="AI89" s="1527"/>
      <c r="AJ89" s="1527"/>
      <c r="AK89" s="1527"/>
      <c r="AL89" s="1527"/>
      <c r="AM89" s="1527"/>
      <c r="AN89" s="1527"/>
      <c r="AO89" s="1527"/>
      <c r="AP89" s="1527"/>
      <c r="AQ89" s="1527"/>
      <c r="AR89" s="1527"/>
      <c r="AS89" s="1527"/>
      <c r="AT89" s="1527"/>
      <c r="AU89" s="1527"/>
      <c r="AV89" s="1527"/>
      <c r="AW89" s="1527"/>
      <c r="AX89" s="1527"/>
      <c r="AY89" s="1527"/>
      <c r="AZ89" s="1527"/>
      <c r="BA89" s="1527"/>
      <c r="BB89" s="1527"/>
      <c r="BC89" s="1527"/>
      <c r="BD89" s="1527"/>
      <c r="BE89" s="1533"/>
    </row>
    <row r="90" spans="1:57" ht="15.75" customHeight="1">
      <c r="A90" s="1816"/>
      <c r="B90" s="1527"/>
      <c r="C90" s="1527"/>
      <c r="D90" s="1527"/>
      <c r="E90" s="1527"/>
      <c r="F90" s="1527"/>
      <c r="G90" s="1527"/>
      <c r="H90" s="1527"/>
      <c r="I90" s="1527"/>
      <c r="J90" s="1527"/>
      <c r="K90" s="1527"/>
      <c r="L90" s="1527"/>
      <c r="M90" s="1527"/>
      <c r="N90" s="1527"/>
      <c r="O90" s="1527"/>
      <c r="P90" s="1527"/>
      <c r="Q90" s="1527"/>
      <c r="R90" s="1527"/>
      <c r="S90" s="1527"/>
      <c r="T90" s="1527"/>
      <c r="U90" s="1527"/>
      <c r="V90" s="1527"/>
      <c r="W90" s="1527"/>
      <c r="X90" s="1527"/>
      <c r="Y90" s="1527"/>
      <c r="Z90" s="1527"/>
      <c r="AA90" s="1527"/>
      <c r="AB90" s="1527"/>
      <c r="AC90" s="1527"/>
      <c r="AD90" s="1527"/>
      <c r="AE90" s="1527"/>
      <c r="AF90" s="1527"/>
      <c r="AG90" s="1527"/>
      <c r="AH90" s="1527"/>
      <c r="AI90" s="1527"/>
      <c r="AJ90" s="1527"/>
      <c r="AK90" s="1527"/>
      <c r="AL90" s="1527"/>
      <c r="AM90" s="1527"/>
      <c r="AN90" s="1527"/>
      <c r="AO90" s="1527"/>
      <c r="AP90" s="1527"/>
      <c r="AQ90" s="1527"/>
      <c r="AR90" s="1527"/>
      <c r="AS90" s="1527"/>
      <c r="AT90" s="1527"/>
      <c r="AU90" s="1527"/>
      <c r="AV90" s="1527"/>
      <c r="AW90" s="1527"/>
      <c r="AX90" s="1527"/>
      <c r="AY90" s="1527"/>
      <c r="AZ90" s="1527"/>
      <c r="BA90" s="1527"/>
      <c r="BB90" s="1527"/>
      <c r="BC90" s="1527"/>
      <c r="BD90" s="1527"/>
      <c r="BE90" s="1533"/>
    </row>
    <row r="91" spans="1:57" ht="15.75" customHeight="1">
      <c r="A91" s="1816"/>
      <c r="B91" s="1537" t="s">
        <v>2100</v>
      </c>
      <c r="R91" s="1527"/>
      <c r="S91" s="1527"/>
      <c r="T91" s="1527"/>
      <c r="U91" s="1527"/>
      <c r="V91" s="1527"/>
      <c r="W91" s="1527"/>
      <c r="X91" s="1527"/>
      <c r="Y91" s="1527"/>
      <c r="Z91" s="1527"/>
      <c r="AA91" s="1527"/>
      <c r="AB91" s="1527"/>
      <c r="AC91" s="1527"/>
      <c r="AD91" s="1527"/>
      <c r="AE91" s="1527"/>
      <c r="AF91" s="1527"/>
      <c r="AG91" s="1527"/>
      <c r="AH91" s="1527"/>
      <c r="AI91" s="1527"/>
      <c r="AJ91" s="1527"/>
      <c r="AK91" s="1527"/>
      <c r="AL91" s="1527"/>
      <c r="AM91" s="1527"/>
      <c r="AN91" s="1527"/>
      <c r="AO91" s="1527"/>
      <c r="AP91" s="1527"/>
      <c r="AQ91" s="1527"/>
      <c r="AR91" s="1527"/>
      <c r="AS91" s="1527"/>
      <c r="AT91" s="1527"/>
      <c r="AU91" s="1527"/>
      <c r="AV91" s="1527"/>
      <c r="AW91" s="1527"/>
      <c r="AX91" s="1527"/>
      <c r="AY91" s="1527"/>
      <c r="AZ91" s="1527"/>
      <c r="BA91" s="1527"/>
      <c r="BB91" s="1527"/>
      <c r="BC91" s="1527"/>
      <c r="BD91" s="1527"/>
      <c r="BE91" s="1533"/>
    </row>
    <row r="92" spans="1:57" ht="15.75" customHeight="1" thickBot="1">
      <c r="A92" s="1816"/>
      <c r="B92" s="1527"/>
      <c r="C92" s="1527"/>
      <c r="D92" s="1527"/>
      <c r="E92" s="1527"/>
      <c r="F92" s="1527"/>
      <c r="G92" s="1527"/>
      <c r="H92" s="1527"/>
      <c r="I92" s="1527"/>
      <c r="J92" s="1527"/>
      <c r="K92" s="1527"/>
      <c r="L92" s="1527"/>
      <c r="M92" s="1527"/>
      <c r="N92" s="1527"/>
      <c r="O92" s="1527"/>
      <c r="P92" s="1540"/>
      <c r="Q92" s="1527"/>
      <c r="R92" s="1527"/>
      <c r="S92" s="1527"/>
      <c r="T92" s="1527"/>
      <c r="U92" s="1527"/>
      <c r="V92" s="1527"/>
      <c r="W92" s="1527"/>
      <c r="X92" s="1527"/>
      <c r="Y92" s="1527"/>
      <c r="Z92" s="1527"/>
      <c r="AA92" s="1527"/>
      <c r="AB92" s="1527"/>
      <c r="AC92" s="1527"/>
      <c r="AD92" s="1527"/>
      <c r="AE92" s="1527"/>
      <c r="AF92" s="1527"/>
      <c r="AG92" s="1527"/>
      <c r="AH92" s="1527"/>
      <c r="AI92" s="1527"/>
      <c r="AJ92" s="1527"/>
      <c r="AK92" s="1527"/>
      <c r="AL92" s="1527"/>
      <c r="AM92" s="1527"/>
      <c r="AN92" s="1527"/>
      <c r="AO92" s="1527"/>
      <c r="AP92" s="1527"/>
      <c r="AQ92" s="1527"/>
      <c r="AR92" s="1527"/>
      <c r="AS92" s="1527"/>
      <c r="AT92" s="1527"/>
      <c r="AU92" s="1527"/>
      <c r="AV92" s="1527"/>
      <c r="AW92" s="1527"/>
      <c r="AX92" s="1527"/>
      <c r="AY92" s="1527"/>
      <c r="AZ92" s="1527"/>
      <c r="BA92" s="1527"/>
      <c r="BB92" s="1527"/>
      <c r="BC92" s="1527"/>
      <c r="BD92" s="1527"/>
      <c r="BE92" s="1533"/>
    </row>
    <row r="93" spans="1:57" ht="15.75" customHeight="1" thickBot="1">
      <c r="A93" s="1816"/>
      <c r="B93" s="2684" t="s">
        <v>2101</v>
      </c>
      <c r="C93" s="2685"/>
      <c r="D93" s="2685"/>
      <c r="E93" s="2685"/>
      <c r="F93" s="2685"/>
      <c r="G93" s="2685"/>
      <c r="H93" s="2685"/>
      <c r="I93" s="2685"/>
      <c r="J93" s="2685"/>
      <c r="K93" s="2685"/>
      <c r="L93" s="2685"/>
      <c r="M93" s="2685"/>
      <c r="N93" s="2685"/>
      <c r="O93" s="2685"/>
      <c r="P93" s="2685"/>
      <c r="Q93" s="2685"/>
      <c r="R93" s="2685"/>
      <c r="S93" s="2685"/>
      <c r="T93" s="2685"/>
      <c r="U93" s="2685"/>
      <c r="V93" s="2685"/>
      <c r="W93" s="2685"/>
      <c r="X93" s="2685"/>
      <c r="Y93" s="2685"/>
      <c r="Z93" s="2685"/>
      <c r="AA93" s="2685"/>
      <c r="AB93" s="2685"/>
      <c r="AC93" s="2685"/>
      <c r="AD93" s="2685"/>
      <c r="AE93" s="2685"/>
      <c r="AF93" s="2685"/>
      <c r="AG93" s="2685"/>
      <c r="AH93" s="2686"/>
      <c r="AI93" s="1527"/>
      <c r="AJ93" s="1527"/>
      <c r="AK93" s="1527"/>
      <c r="AL93" s="1527"/>
      <c r="AM93" s="1527"/>
      <c r="AN93" s="1527"/>
      <c r="AO93" s="1527"/>
      <c r="AP93" s="1527"/>
      <c r="AQ93" s="1527"/>
      <c r="AR93" s="1527"/>
      <c r="AS93" s="1527"/>
      <c r="AT93" s="1527"/>
      <c r="AU93" s="1527"/>
      <c r="AV93" s="1527"/>
      <c r="AW93" s="1527"/>
      <c r="AX93" s="1527"/>
      <c r="AY93" s="1527"/>
      <c r="AZ93" s="1527"/>
      <c r="BA93" s="1527"/>
      <c r="BB93" s="1527"/>
      <c r="BC93" s="1527"/>
      <c r="BD93" s="1527"/>
      <c r="BE93" s="1533"/>
    </row>
    <row r="94" spans="1:57" ht="15.75" customHeight="1" thickBot="1">
      <c r="A94" s="1816"/>
      <c r="B94" s="2684"/>
      <c r="C94" s="2685"/>
      <c r="D94" s="2685"/>
      <c r="E94" s="2685"/>
      <c r="F94" s="2685"/>
      <c r="G94" s="2685"/>
      <c r="H94" s="2686"/>
      <c r="I94" s="2774" t="s">
        <v>2092</v>
      </c>
      <c r="J94" s="2775"/>
      <c r="K94" s="2775"/>
      <c r="L94" s="2775"/>
      <c r="M94" s="2775"/>
      <c r="N94" s="2776"/>
      <c r="O94" s="2774" t="s">
        <v>2093</v>
      </c>
      <c r="P94" s="2775"/>
      <c r="Q94" s="2775"/>
      <c r="R94" s="2775"/>
      <c r="S94" s="2775"/>
      <c r="T94" s="2775"/>
      <c r="U94" s="2776"/>
      <c r="V94" s="2774" t="s">
        <v>2094</v>
      </c>
      <c r="W94" s="2775"/>
      <c r="X94" s="2775"/>
      <c r="Y94" s="2775"/>
      <c r="Z94" s="2775"/>
      <c r="AA94" s="2776"/>
      <c r="AB94" s="2787" t="s">
        <v>2095</v>
      </c>
      <c r="AC94" s="2788"/>
      <c r="AD94" s="2788"/>
      <c r="AE94" s="2788"/>
      <c r="AF94" s="2788"/>
      <c r="AG94" s="2788"/>
      <c r="AH94" s="2789"/>
      <c r="AI94" s="1527"/>
      <c r="AJ94" s="1527"/>
      <c r="AK94" s="1527"/>
      <c r="AL94" s="1527" t="s">
        <v>256</v>
      </c>
      <c r="AM94" s="1527"/>
      <c r="AN94" s="1527"/>
      <c r="AO94" s="1527"/>
      <c r="AP94" s="1527"/>
      <c r="AQ94" s="1527"/>
      <c r="AR94" s="1527"/>
      <c r="AS94" s="1527"/>
      <c r="AT94" s="1527"/>
      <c r="AU94" s="1527"/>
      <c r="AV94" s="1527"/>
      <c r="AW94" s="1527"/>
      <c r="AX94" s="1527"/>
      <c r="AY94" s="1527"/>
      <c r="AZ94" s="1527"/>
      <c r="BA94" s="1527"/>
      <c r="BB94" s="1527"/>
      <c r="BC94" s="1527"/>
      <c r="BD94" s="1527"/>
      <c r="BE94" s="1533"/>
    </row>
    <row r="95" spans="1:57" ht="15.75" customHeight="1" thickBot="1">
      <c r="A95" s="1816"/>
      <c r="B95" s="2774" t="s">
        <v>2096</v>
      </c>
      <c r="C95" s="2775"/>
      <c r="D95" s="2775"/>
      <c r="E95" s="2775"/>
      <c r="F95" s="2775"/>
      <c r="G95" s="2775"/>
      <c r="H95" s="2776"/>
      <c r="I95" s="2777"/>
      <c r="J95" s="2778"/>
      <c r="K95" s="2778"/>
      <c r="L95" s="2778"/>
      <c r="M95" s="2778"/>
      <c r="N95" s="2778"/>
      <c r="O95" s="2778"/>
      <c r="P95" s="2778"/>
      <c r="Q95" s="2778"/>
      <c r="R95" s="2778"/>
      <c r="S95" s="2778"/>
      <c r="T95" s="2778"/>
      <c r="U95" s="2778"/>
      <c r="V95" s="2778"/>
      <c r="W95" s="2778"/>
      <c r="X95" s="2778"/>
      <c r="Y95" s="2778"/>
      <c r="Z95" s="2778"/>
      <c r="AA95" s="2779"/>
      <c r="AB95" s="2780"/>
      <c r="AC95" s="2780"/>
      <c r="AD95" s="2780"/>
      <c r="AE95" s="2780"/>
      <c r="AF95" s="2780"/>
      <c r="AG95" s="2780"/>
      <c r="AH95" s="2781"/>
      <c r="AI95" s="1527"/>
      <c r="AJ95" s="1527"/>
      <c r="AK95" s="1527"/>
      <c r="AL95" s="1527"/>
      <c r="AM95" s="1527"/>
      <c r="AN95" s="1527"/>
      <c r="AO95" s="1527"/>
      <c r="AP95" s="1527"/>
      <c r="AQ95" s="1527"/>
      <c r="AR95" s="1527"/>
      <c r="AS95" s="1527"/>
      <c r="AT95" s="1527"/>
      <c r="AU95" s="1527"/>
      <c r="AV95" s="1527"/>
      <c r="AW95" s="1527"/>
      <c r="AX95" s="1527"/>
      <c r="AY95" s="1527"/>
      <c r="AZ95" s="1527"/>
      <c r="BA95" s="1527"/>
      <c r="BB95" s="1527"/>
      <c r="BC95" s="1527"/>
      <c r="BD95" s="1527"/>
      <c r="BE95" s="1533"/>
    </row>
    <row r="96" spans="1:57" ht="15.75" customHeight="1" thickBot="1">
      <c r="A96" s="1816"/>
      <c r="B96" s="2774" t="s">
        <v>2097</v>
      </c>
      <c r="C96" s="2775"/>
      <c r="D96" s="2775"/>
      <c r="E96" s="2775"/>
      <c r="F96" s="2775"/>
      <c r="G96" s="2775"/>
      <c r="H96" s="2776"/>
      <c r="I96" s="2782"/>
      <c r="J96" s="2783"/>
      <c r="K96" s="2783"/>
      <c r="L96" s="2783"/>
      <c r="M96" s="2783"/>
      <c r="N96" s="2783"/>
      <c r="O96" s="2783"/>
      <c r="P96" s="2783"/>
      <c r="Q96" s="2783"/>
      <c r="R96" s="2783"/>
      <c r="S96" s="2783"/>
      <c r="T96" s="2783"/>
      <c r="U96" s="2783"/>
      <c r="V96" s="2783"/>
      <c r="W96" s="2783"/>
      <c r="X96" s="2783"/>
      <c r="Y96" s="2783"/>
      <c r="Z96" s="2783"/>
      <c r="AA96" s="2784"/>
      <c r="AB96" s="2785"/>
      <c r="AC96" s="2785"/>
      <c r="AD96" s="2785"/>
      <c r="AE96" s="2785"/>
      <c r="AF96" s="2785"/>
      <c r="AG96" s="2785"/>
      <c r="AH96" s="2786"/>
      <c r="AI96" s="1527"/>
      <c r="AJ96" s="1527"/>
      <c r="AK96" s="1527"/>
      <c r="AL96" s="1527"/>
      <c r="AM96" s="1527"/>
      <c r="AN96" s="1527"/>
      <c r="AO96" s="1527"/>
      <c r="AP96" s="1527"/>
      <c r="AQ96" s="1527"/>
      <c r="AR96" s="1527"/>
      <c r="AS96" s="1527"/>
      <c r="AT96" s="1527"/>
      <c r="AU96" s="1527"/>
      <c r="AV96" s="1527"/>
      <c r="AW96" s="1527"/>
      <c r="AX96" s="1527"/>
      <c r="AY96" s="1527"/>
      <c r="AZ96" s="1527"/>
      <c r="BA96" s="1527"/>
      <c r="BB96" s="1527"/>
      <c r="BC96" s="1527"/>
      <c r="BD96" s="1527"/>
      <c r="BE96" s="1533"/>
    </row>
    <row r="97" spans="1:57" ht="15.75" customHeight="1">
      <c r="A97" s="1816"/>
      <c r="B97" s="1527"/>
      <c r="C97" s="1527"/>
      <c r="D97" s="1527"/>
      <c r="E97" s="1527"/>
      <c r="F97" s="1527"/>
      <c r="G97" s="1527"/>
      <c r="H97" s="1527"/>
      <c r="I97" s="1527"/>
      <c r="J97" s="1527"/>
      <c r="K97" s="1527"/>
      <c r="L97" s="1527"/>
      <c r="M97" s="1527"/>
      <c r="N97" s="1527"/>
      <c r="O97" s="1527"/>
      <c r="P97" s="1527"/>
      <c r="Q97" s="1527"/>
      <c r="R97" s="1527"/>
      <c r="S97" s="1527"/>
      <c r="T97" s="1527"/>
      <c r="U97" s="1527"/>
      <c r="V97" s="1527"/>
      <c r="W97" s="1527"/>
      <c r="X97" s="1527"/>
      <c r="Y97" s="1527"/>
      <c r="Z97" s="1527"/>
      <c r="AA97" s="1527"/>
      <c r="AB97" s="1527"/>
      <c r="AC97" s="1527"/>
      <c r="AD97" s="1527"/>
      <c r="AE97" s="1527"/>
      <c r="AF97" s="1527"/>
      <c r="AG97" s="1527"/>
      <c r="AH97" s="1527"/>
      <c r="AI97" s="1527"/>
      <c r="AJ97" s="1527"/>
      <c r="AK97" s="1527"/>
      <c r="AL97" s="1527"/>
      <c r="AM97" s="1527"/>
      <c r="AN97" s="1527"/>
      <c r="AO97" s="1527"/>
      <c r="AP97" s="1527"/>
      <c r="AQ97" s="1527"/>
      <c r="AR97" s="1527"/>
      <c r="AS97" s="1527"/>
      <c r="AT97" s="1527"/>
      <c r="AU97" s="1527"/>
      <c r="AV97" s="1527"/>
      <c r="AW97" s="1527"/>
      <c r="AX97" s="1527"/>
      <c r="AY97" s="1527"/>
      <c r="AZ97" s="1527"/>
      <c r="BA97" s="1527"/>
      <c r="BB97" s="1527"/>
      <c r="BC97" s="1527"/>
      <c r="BD97" s="1527"/>
      <c r="BE97" s="1533"/>
    </row>
    <row r="98" spans="1:57" ht="15.75" customHeight="1">
      <c r="A98" s="1816"/>
      <c r="B98" s="1538" t="s">
        <v>2102</v>
      </c>
      <c r="C98" s="1538"/>
      <c r="D98" s="1538"/>
      <c r="E98" s="1538"/>
      <c r="F98" s="1538"/>
      <c r="G98" s="1538"/>
      <c r="H98" s="1538"/>
      <c r="I98" s="1538"/>
      <c r="J98" s="1538"/>
      <c r="K98" s="1538"/>
      <c r="L98" s="1538"/>
      <c r="M98" s="1538"/>
      <c r="N98" s="1538"/>
      <c r="O98" s="1538"/>
      <c r="P98" s="1538"/>
      <c r="Q98" s="1534"/>
      <c r="R98" s="1534"/>
      <c r="S98" s="1527"/>
      <c r="T98" s="1527"/>
      <c r="U98" s="1527"/>
      <c r="V98" s="1527"/>
      <c r="W98" s="1527"/>
      <c r="X98" s="1527"/>
      <c r="Y98" s="1527"/>
      <c r="Z98" s="1527"/>
      <c r="AA98" s="1527"/>
      <c r="AB98" s="1527"/>
      <c r="AC98" s="1527"/>
      <c r="AD98" s="1527"/>
      <c r="AE98" s="1527"/>
      <c r="AF98" s="1527"/>
      <c r="AG98" s="1527"/>
      <c r="AH98" s="1527"/>
      <c r="AI98" s="1527"/>
      <c r="AJ98" s="1527"/>
      <c r="AK98" s="1527"/>
      <c r="AL98" s="1527"/>
      <c r="AM98" s="1527"/>
      <c r="AN98" s="1527"/>
      <c r="AO98" s="1527"/>
      <c r="AP98" s="1527"/>
      <c r="AQ98" s="1527"/>
      <c r="AR98" s="1527"/>
      <c r="AS98" s="1527"/>
      <c r="AT98" s="1527"/>
      <c r="AU98" s="1527"/>
      <c r="AV98" s="1527"/>
      <c r="AW98" s="1527"/>
      <c r="AX98" s="1527"/>
      <c r="AY98" s="1527"/>
      <c r="AZ98" s="1527"/>
      <c r="BA98" s="1527"/>
      <c r="BB98" s="1527"/>
      <c r="BC98" s="1527"/>
      <c r="BD98" s="1527"/>
      <c r="BE98" s="1533"/>
    </row>
    <row r="99" spans="1:57" ht="15.75" customHeight="1" thickBot="1">
      <c r="A99" s="1816"/>
      <c r="B99" s="1527"/>
      <c r="C99" s="1527"/>
      <c r="D99" s="1527"/>
      <c r="E99" s="1527"/>
      <c r="F99" s="1527"/>
      <c r="G99" s="1527"/>
      <c r="H99" s="1527"/>
      <c r="I99" s="1527"/>
      <c r="J99" s="1527"/>
      <c r="K99" s="1527"/>
      <c r="L99" s="1527"/>
      <c r="M99" s="1527"/>
      <c r="N99" s="1527"/>
      <c r="O99" s="1527"/>
      <c r="P99" s="1527"/>
      <c r="Q99" s="1527"/>
      <c r="R99" s="1527"/>
      <c r="S99" s="1527"/>
      <c r="T99" s="1527"/>
      <c r="U99" s="1527"/>
      <c r="V99" s="1527"/>
      <c r="W99" s="1527"/>
      <c r="X99" s="1527"/>
      <c r="Y99" s="1527"/>
      <c r="Z99" s="1527"/>
      <c r="AA99" s="1527"/>
      <c r="AB99" s="1527"/>
      <c r="AC99" s="1527"/>
      <c r="AD99" s="1527"/>
      <c r="AE99" s="1527"/>
      <c r="AF99" s="1527"/>
      <c r="AG99" s="1527"/>
      <c r="AH99" s="1527"/>
      <c r="AI99" s="1527"/>
      <c r="AJ99" s="1527"/>
      <c r="AK99" s="1527"/>
      <c r="AL99" s="1527"/>
      <c r="AM99" s="1527"/>
      <c r="AN99" s="1527"/>
      <c r="AO99" s="1527"/>
      <c r="AP99" s="1527"/>
      <c r="AQ99" s="1527"/>
      <c r="AR99" s="1527"/>
      <c r="AS99" s="1527"/>
      <c r="AT99" s="1527"/>
      <c r="AU99" s="1527"/>
      <c r="AV99" s="1527"/>
      <c r="AW99" s="1527"/>
      <c r="AX99" s="1527"/>
      <c r="AY99" s="1527"/>
      <c r="AZ99" s="1527"/>
      <c r="BA99" s="1527"/>
      <c r="BB99" s="1527"/>
      <c r="BC99" s="1527"/>
      <c r="BD99" s="1527"/>
      <c r="BE99" s="1533"/>
    </row>
    <row r="100" spans="1:57" ht="15.75" customHeight="1">
      <c r="A100" s="1816"/>
      <c r="B100" s="2753" t="s">
        <v>2103</v>
      </c>
      <c r="C100" s="2754"/>
      <c r="D100" s="2754"/>
      <c r="E100" s="2754"/>
      <c r="F100" s="2754"/>
      <c r="G100" s="2754"/>
      <c r="H100" s="2754"/>
      <c r="I100" s="2754"/>
      <c r="J100" s="2754"/>
      <c r="K100" s="2754"/>
      <c r="L100" s="2754"/>
      <c r="M100" s="2754"/>
      <c r="N100" s="2754"/>
      <c r="O100" s="2754"/>
      <c r="P100" s="2754"/>
      <c r="Q100" s="2754"/>
      <c r="R100" s="2754"/>
      <c r="S100" s="2754"/>
      <c r="T100" s="2754"/>
      <c r="U100" s="2755"/>
      <c r="V100" s="1527"/>
      <c r="W100" s="1527"/>
      <c r="X100" s="1527"/>
      <c r="Y100" s="1527"/>
      <c r="Z100" s="1527"/>
      <c r="AA100" s="1527"/>
      <c r="AB100" s="1527"/>
      <c r="AC100" s="1527"/>
      <c r="AD100" s="1527"/>
      <c r="AE100" s="1527"/>
      <c r="AF100" s="1527"/>
      <c r="AG100" s="1527"/>
      <c r="AH100" s="1527"/>
      <c r="AI100" s="1527"/>
      <c r="AJ100" s="1527"/>
      <c r="AK100" s="1527"/>
      <c r="AL100" s="1527"/>
      <c r="AM100" s="1527"/>
      <c r="AN100" s="1527"/>
      <c r="AO100" s="1527"/>
      <c r="AP100" s="1527"/>
      <c r="AQ100" s="1527"/>
      <c r="AR100" s="1527"/>
      <c r="AS100" s="1527"/>
      <c r="AT100" s="1527"/>
      <c r="AU100" s="1527"/>
      <c r="AV100" s="1527"/>
      <c r="AW100" s="1527"/>
      <c r="AX100" s="1527"/>
      <c r="AY100" s="1527"/>
      <c r="AZ100" s="1527"/>
      <c r="BA100" s="1527"/>
      <c r="BB100" s="1527"/>
      <c r="BC100" s="1527"/>
      <c r="BD100" s="1527"/>
      <c r="BE100" s="1533"/>
    </row>
    <row r="101" spans="1:57" ht="15.75" customHeight="1">
      <c r="A101" s="1816"/>
      <c r="B101" s="2756"/>
      <c r="C101" s="2757"/>
      <c r="D101" s="2757"/>
      <c r="E101" s="2757"/>
      <c r="F101" s="2757"/>
      <c r="G101" s="2757"/>
      <c r="H101" s="2758"/>
      <c r="I101" s="2759" t="s">
        <v>2093</v>
      </c>
      <c r="J101" s="2658"/>
      <c r="K101" s="2658"/>
      <c r="L101" s="2658"/>
      <c r="M101" s="2658"/>
      <c r="N101" s="2658"/>
      <c r="O101" s="2760"/>
      <c r="P101" s="2759" t="s">
        <v>2104</v>
      </c>
      <c r="Q101" s="2658"/>
      <c r="R101" s="2658"/>
      <c r="S101" s="2658"/>
      <c r="T101" s="2658"/>
      <c r="U101" s="2760"/>
      <c r="V101" s="1527"/>
      <c r="W101" s="1527"/>
      <c r="X101" s="1527"/>
      <c r="Y101" s="1527"/>
      <c r="Z101" s="1527"/>
      <c r="AA101" s="1527"/>
      <c r="AB101" s="1527" t="s">
        <v>256</v>
      </c>
      <c r="AC101" s="1527"/>
      <c r="AD101" s="1527"/>
      <c r="AE101" s="1527"/>
      <c r="AF101" s="1527"/>
      <c r="AG101" s="1527"/>
      <c r="AH101" s="1527"/>
      <c r="AI101" s="1527"/>
      <c r="AJ101" s="1527"/>
      <c r="AK101" s="1527"/>
      <c r="AL101" s="1527"/>
      <c r="AM101" s="1527"/>
      <c r="AN101" s="1527"/>
      <c r="AO101" s="1527"/>
      <c r="AP101" s="1527"/>
      <c r="AQ101" s="1527"/>
      <c r="AR101" s="1527"/>
      <c r="AS101" s="1527"/>
      <c r="AT101" s="1527"/>
      <c r="AU101" s="1527"/>
      <c r="AV101" s="1527"/>
      <c r="AW101" s="1527"/>
      <c r="AX101" s="1527"/>
      <c r="AY101" s="1527"/>
      <c r="AZ101" s="1527"/>
      <c r="BA101" s="1527"/>
      <c r="BB101" s="1527"/>
      <c r="BC101" s="1527"/>
      <c r="BD101" s="1527"/>
      <c r="BE101" s="1533"/>
    </row>
    <row r="102" spans="1:57" ht="15.75" customHeight="1">
      <c r="A102" s="1816"/>
      <c r="B102" s="2761" t="s">
        <v>2096</v>
      </c>
      <c r="C102" s="2762"/>
      <c r="D102" s="2762"/>
      <c r="E102" s="2762"/>
      <c r="F102" s="2762"/>
      <c r="G102" s="2762"/>
      <c r="H102" s="2762"/>
      <c r="I102" s="2730"/>
      <c r="J102" s="2731"/>
      <c r="K102" s="2731"/>
      <c r="L102" s="2731"/>
      <c r="M102" s="2731"/>
      <c r="N102" s="2731"/>
      <c r="O102" s="2732"/>
      <c r="P102" s="2730"/>
      <c r="Q102" s="2731"/>
      <c r="R102" s="2731"/>
      <c r="S102" s="2731"/>
      <c r="T102" s="2731"/>
      <c r="U102" s="2732"/>
      <c r="V102" s="1527"/>
      <c r="W102" s="1527"/>
      <c r="X102" s="1527"/>
      <c r="Y102" s="1527"/>
      <c r="Z102" s="1527"/>
      <c r="AA102" s="1527"/>
      <c r="AB102" s="1527"/>
      <c r="AC102" s="1527"/>
      <c r="AD102" s="1527"/>
      <c r="AE102" s="1527"/>
      <c r="AF102" s="1527"/>
      <c r="AG102" s="1527"/>
      <c r="AH102" s="1527"/>
      <c r="AI102" s="1527"/>
      <c r="AJ102" s="1527"/>
      <c r="AK102" s="1527"/>
      <c r="AL102" s="1527"/>
      <c r="AM102" s="1527"/>
      <c r="AN102" s="1527"/>
      <c r="AO102" s="1527"/>
      <c r="AP102" s="1527"/>
      <c r="AQ102" s="1527"/>
      <c r="AR102" s="1527"/>
      <c r="AS102" s="1527"/>
      <c r="AT102" s="1527"/>
      <c r="AU102" s="1527"/>
      <c r="AV102" s="1527"/>
      <c r="AW102" s="1527"/>
      <c r="AX102" s="1527"/>
      <c r="AY102" s="1527"/>
      <c r="AZ102" s="1527"/>
      <c r="BA102" s="1527"/>
      <c r="BB102" s="1527"/>
      <c r="BC102" s="1527"/>
      <c r="BD102" s="1527"/>
      <c r="BE102" s="1533"/>
    </row>
    <row r="103" spans="1:57" ht="15.75" customHeight="1" thickBot="1">
      <c r="A103" s="1816"/>
      <c r="B103" s="2601" t="s">
        <v>2097</v>
      </c>
      <c r="C103" s="2602"/>
      <c r="D103" s="2602"/>
      <c r="E103" s="2602"/>
      <c r="F103" s="2602"/>
      <c r="G103" s="2602"/>
      <c r="H103" s="2602"/>
      <c r="I103" s="2730"/>
      <c r="J103" s="2731"/>
      <c r="K103" s="2731"/>
      <c r="L103" s="2731"/>
      <c r="M103" s="2731"/>
      <c r="N103" s="2731"/>
      <c r="O103" s="2732"/>
      <c r="P103" s="2730"/>
      <c r="Q103" s="2731"/>
      <c r="R103" s="2731"/>
      <c r="S103" s="2731"/>
      <c r="T103" s="2731"/>
      <c r="U103" s="2732"/>
      <c r="V103" s="1527"/>
      <c r="W103" s="1527"/>
      <c r="X103" s="1527"/>
      <c r="Y103" s="1527"/>
      <c r="Z103" s="1527"/>
      <c r="AA103" s="1527"/>
      <c r="AB103" s="1527"/>
      <c r="AC103" s="1527"/>
      <c r="AD103" s="1527"/>
      <c r="AE103" s="1527"/>
      <c r="AF103" s="1527"/>
      <c r="AG103" s="1527"/>
      <c r="AH103" s="1527"/>
      <c r="AI103" s="1527"/>
      <c r="AJ103" s="1527"/>
      <c r="AK103" s="1527"/>
      <c r="AL103" s="1527"/>
      <c r="AM103" s="1527"/>
      <c r="AN103" s="1527"/>
      <c r="AO103" s="1527"/>
      <c r="AP103" s="1527"/>
      <c r="AQ103" s="1527"/>
      <c r="AR103" s="1527"/>
      <c r="AS103" s="1527"/>
      <c r="AT103" s="1527"/>
      <c r="AU103" s="1527"/>
      <c r="AV103" s="1527"/>
      <c r="AW103" s="1527"/>
      <c r="AX103" s="1527"/>
      <c r="AY103" s="1527"/>
      <c r="AZ103" s="1527"/>
      <c r="BA103" s="1527"/>
      <c r="BB103" s="1527"/>
      <c r="BC103" s="1527"/>
      <c r="BD103" s="1527"/>
      <c r="BE103" s="1533"/>
    </row>
    <row r="104" spans="1:57" ht="15.75" customHeight="1" thickBot="1">
      <c r="A104" s="1816"/>
      <c r="B104" s="1527"/>
      <c r="C104" s="1527"/>
      <c r="D104" s="1527"/>
      <c r="E104" s="1527"/>
      <c r="F104" s="1527"/>
      <c r="G104" s="1527"/>
      <c r="H104" s="1527"/>
      <c r="I104" s="1527"/>
      <c r="J104" s="1527"/>
      <c r="K104" s="1527"/>
      <c r="L104" s="1527"/>
      <c r="M104" s="1527"/>
      <c r="N104" s="1527"/>
      <c r="O104" s="1527"/>
      <c r="P104" s="1527"/>
      <c r="Q104" s="1527"/>
      <c r="R104" s="1527"/>
      <c r="S104" s="1527"/>
      <c r="T104" s="1527"/>
      <c r="U104" s="1527"/>
      <c r="V104" s="1527"/>
      <c r="W104" s="1527"/>
      <c r="X104" s="1527"/>
      <c r="Y104" s="1527"/>
      <c r="Z104" s="1527"/>
      <c r="AA104" s="1527"/>
      <c r="AB104" s="1527"/>
      <c r="AC104" s="1527"/>
      <c r="AD104" s="1527"/>
      <c r="AE104" s="1527"/>
      <c r="AF104" s="1527"/>
      <c r="AG104" s="1527"/>
      <c r="AH104" s="1527"/>
      <c r="AI104" s="1527"/>
      <c r="AJ104" s="1527"/>
      <c r="AK104" s="1527"/>
      <c r="AL104" s="1527"/>
      <c r="AM104" s="1527"/>
      <c r="AN104" s="1527"/>
      <c r="AO104" s="1527"/>
      <c r="AP104" s="1527"/>
      <c r="AQ104" s="1527"/>
      <c r="AR104" s="1527"/>
      <c r="AS104" s="1527"/>
      <c r="AT104" s="1527"/>
      <c r="AU104" s="1527"/>
      <c r="AV104" s="1527"/>
      <c r="AW104" s="1527"/>
      <c r="AX104" s="1527"/>
      <c r="AY104" s="1527"/>
      <c r="AZ104" s="1527"/>
      <c r="BA104" s="1527"/>
      <c r="BB104" s="1527"/>
      <c r="BC104" s="1527"/>
      <c r="BD104" s="1527"/>
      <c r="BE104" s="1533"/>
    </row>
    <row r="105" spans="1:57" ht="15.75" customHeight="1" thickBot="1">
      <c r="A105" s="1816"/>
      <c r="B105" s="2763" t="s">
        <v>2105</v>
      </c>
      <c r="C105" s="2764"/>
      <c r="D105" s="2764"/>
      <c r="E105" s="2764"/>
      <c r="F105" s="2764"/>
      <c r="G105" s="2764"/>
      <c r="H105" s="2764"/>
      <c r="I105" s="2764"/>
      <c r="J105" s="2764"/>
      <c r="K105" s="2764"/>
      <c r="L105" s="2764"/>
      <c r="M105" s="2764"/>
      <c r="N105" s="2764"/>
      <c r="O105" s="2764"/>
      <c r="P105" s="2764"/>
      <c r="Q105" s="2764"/>
      <c r="R105" s="2765"/>
      <c r="S105" s="2765"/>
      <c r="T105" s="2765"/>
      <c r="U105" s="2765"/>
      <c r="V105" s="2765"/>
      <c r="W105" s="2765"/>
      <c r="X105" s="2765"/>
      <c r="Y105" s="2765"/>
      <c r="Z105" s="2765"/>
      <c r="AA105" s="2765"/>
      <c r="AB105" s="2765"/>
      <c r="AC105" s="2765"/>
      <c r="AD105" s="2765"/>
      <c r="AE105" s="2765"/>
      <c r="AF105" s="2765"/>
      <c r="AG105" s="2766" t="s">
        <v>2039</v>
      </c>
      <c r="AH105" s="2766"/>
      <c r="AI105" s="2766"/>
      <c r="AJ105" s="2767"/>
      <c r="AK105" s="1527"/>
      <c r="AL105" s="1527"/>
      <c r="AM105" s="1527"/>
      <c r="AN105" s="1527"/>
      <c r="AO105" s="1527"/>
      <c r="AP105" s="1527"/>
      <c r="AQ105" s="1527"/>
      <c r="AR105" s="1527"/>
      <c r="AS105" s="1527"/>
      <c r="AT105" s="1527"/>
      <c r="AU105" s="1527"/>
      <c r="AV105" s="1527"/>
      <c r="AW105" s="1527"/>
      <c r="AX105" s="1527"/>
      <c r="AY105" s="1527"/>
      <c r="AZ105" s="1527"/>
      <c r="BA105" s="1527"/>
      <c r="BB105" s="1527"/>
      <c r="BC105" s="1527"/>
      <c r="BD105" s="1527"/>
      <c r="BE105" s="1533"/>
    </row>
    <row r="106" spans="1:57" ht="15.75" customHeight="1" thickBot="1">
      <c r="A106" s="1816"/>
      <c r="B106" s="2768" t="s">
        <v>2106</v>
      </c>
      <c r="C106" s="2769"/>
      <c r="D106" s="2769"/>
      <c r="E106" s="2769"/>
      <c r="F106" s="2769"/>
      <c r="G106" s="2769"/>
      <c r="H106" s="2769"/>
      <c r="I106" s="2769"/>
      <c r="J106" s="2769"/>
      <c r="K106" s="2769"/>
      <c r="L106" s="2769"/>
      <c r="M106" s="2769"/>
      <c r="N106" s="2769"/>
      <c r="O106" s="2769"/>
      <c r="P106" s="2769"/>
      <c r="Q106" s="2770"/>
      <c r="R106" s="2771" t="s">
        <v>2107</v>
      </c>
      <c r="S106" s="2772"/>
      <c r="T106" s="2772"/>
      <c r="U106" s="2772"/>
      <c r="V106" s="2772"/>
      <c r="W106" s="2772"/>
      <c r="X106" s="2772"/>
      <c r="Y106" s="2772"/>
      <c r="Z106" s="2772"/>
      <c r="AA106" s="2772"/>
      <c r="AB106" s="2772"/>
      <c r="AC106" s="2772"/>
      <c r="AD106" s="2772"/>
      <c r="AE106" s="2772"/>
      <c r="AF106" s="2772"/>
      <c r="AG106" s="2772"/>
      <c r="AH106" s="2772"/>
      <c r="AI106" s="2772"/>
      <c r="AJ106" s="2772"/>
      <c r="AK106" s="2772"/>
      <c r="AL106" s="2772"/>
      <c r="AM106" s="2772"/>
      <c r="AN106" s="2772"/>
      <c r="AO106" s="2772"/>
      <c r="AP106" s="2772"/>
      <c r="AQ106" s="2772"/>
      <c r="AR106" s="2772"/>
      <c r="AS106" s="2772"/>
      <c r="AT106" s="2772"/>
      <c r="AU106" s="2772"/>
      <c r="AV106" s="2772"/>
      <c r="AW106" s="2772"/>
      <c r="AX106" s="2773"/>
      <c r="AY106" s="1527"/>
      <c r="AZ106" s="1527"/>
      <c r="BA106" s="1527"/>
      <c r="BB106" s="1527"/>
      <c r="BC106" s="1527"/>
      <c r="BD106" s="1527"/>
      <c r="BE106" s="1533"/>
    </row>
    <row r="107" spans="1:57" ht="15.75" customHeight="1">
      <c r="A107" s="1816"/>
      <c r="B107" s="2744" t="s">
        <v>2108</v>
      </c>
      <c r="C107" s="2745"/>
      <c r="D107" s="2745"/>
      <c r="E107" s="2745"/>
      <c r="F107" s="2745"/>
      <c r="G107" s="2745"/>
      <c r="H107" s="2745"/>
      <c r="I107" s="2745"/>
      <c r="J107" s="2745"/>
      <c r="K107" s="2745"/>
      <c r="L107" s="2745"/>
      <c r="M107" s="2745"/>
      <c r="N107" s="2745"/>
      <c r="O107" s="2745"/>
      <c r="P107" s="2745"/>
      <c r="Q107" s="2745"/>
      <c r="R107" s="2745"/>
      <c r="S107" s="2745"/>
      <c r="T107" s="2745"/>
      <c r="U107" s="2745"/>
      <c r="V107" s="2745"/>
      <c r="W107" s="2745"/>
      <c r="X107" s="2745"/>
      <c r="Y107" s="2745"/>
      <c r="Z107" s="2745"/>
      <c r="AA107" s="2745"/>
      <c r="AB107" s="2745"/>
      <c r="AC107" s="2745"/>
      <c r="AD107" s="2745"/>
      <c r="AE107" s="2745"/>
      <c r="AF107" s="2745"/>
      <c r="AG107" s="2745"/>
      <c r="AH107" s="2745"/>
      <c r="AI107" s="2745"/>
      <c r="AJ107" s="2745"/>
      <c r="AK107" s="2745"/>
      <c r="AL107" s="2745"/>
      <c r="AM107" s="2745"/>
      <c r="AN107" s="2745"/>
      <c r="AO107" s="2745"/>
      <c r="AP107" s="2745"/>
      <c r="AQ107" s="2745"/>
      <c r="AR107" s="2745"/>
      <c r="AS107" s="2745"/>
      <c r="AT107" s="2745"/>
      <c r="AU107" s="2745"/>
      <c r="AV107" s="2745"/>
      <c r="AW107" s="2745"/>
      <c r="AX107" s="2746"/>
      <c r="AY107" s="1527"/>
      <c r="AZ107" s="1527"/>
      <c r="BA107" s="1527"/>
      <c r="BB107" s="1527"/>
      <c r="BC107" s="1527"/>
      <c r="BD107" s="1527"/>
      <c r="BE107" s="1533"/>
    </row>
    <row r="108" spans="1:57" ht="15.75" customHeight="1">
      <c r="A108" s="1816"/>
      <c r="B108" s="2747"/>
      <c r="C108" s="2748"/>
      <c r="D108" s="2748"/>
      <c r="E108" s="2748"/>
      <c r="F108" s="2748"/>
      <c r="G108" s="2748"/>
      <c r="H108" s="2748"/>
      <c r="I108" s="2748"/>
      <c r="J108" s="2748"/>
      <c r="K108" s="2748"/>
      <c r="L108" s="2748"/>
      <c r="M108" s="2748"/>
      <c r="N108" s="2748"/>
      <c r="O108" s="2748"/>
      <c r="P108" s="2748"/>
      <c r="Q108" s="2748"/>
      <c r="R108" s="2748"/>
      <c r="S108" s="2748"/>
      <c r="T108" s="2748"/>
      <c r="U108" s="2748"/>
      <c r="V108" s="2748"/>
      <c r="W108" s="2748"/>
      <c r="X108" s="2748"/>
      <c r="Y108" s="2748"/>
      <c r="Z108" s="2748"/>
      <c r="AA108" s="2748"/>
      <c r="AB108" s="2748"/>
      <c r="AC108" s="2748"/>
      <c r="AD108" s="2748"/>
      <c r="AE108" s="2748"/>
      <c r="AF108" s="2748"/>
      <c r="AG108" s="2748"/>
      <c r="AH108" s="2748"/>
      <c r="AI108" s="2748"/>
      <c r="AJ108" s="2748"/>
      <c r="AK108" s="2748"/>
      <c r="AL108" s="2748"/>
      <c r="AM108" s="2748"/>
      <c r="AN108" s="2748"/>
      <c r="AO108" s="2748"/>
      <c r="AP108" s="2748"/>
      <c r="AQ108" s="2748"/>
      <c r="AR108" s="2748"/>
      <c r="AS108" s="2748"/>
      <c r="AT108" s="2748"/>
      <c r="AU108" s="2748"/>
      <c r="AV108" s="2748"/>
      <c r="AW108" s="2748"/>
      <c r="AX108" s="2749"/>
      <c r="AY108" s="1527"/>
      <c r="AZ108" s="1527"/>
      <c r="BA108" s="1527"/>
      <c r="BB108" s="1527"/>
      <c r="BC108" s="1527"/>
      <c r="BD108" s="1527"/>
      <c r="BE108" s="1533"/>
    </row>
    <row r="109" spans="1:57" ht="15.75" customHeight="1">
      <c r="A109" s="1816"/>
      <c r="B109" s="2747"/>
      <c r="C109" s="2748"/>
      <c r="D109" s="2748"/>
      <c r="E109" s="2748"/>
      <c r="F109" s="2748"/>
      <c r="G109" s="2748"/>
      <c r="H109" s="2748"/>
      <c r="I109" s="2748"/>
      <c r="J109" s="2748"/>
      <c r="K109" s="2748"/>
      <c r="L109" s="2748"/>
      <c r="M109" s="2748"/>
      <c r="N109" s="2748"/>
      <c r="O109" s="2748"/>
      <c r="P109" s="2748"/>
      <c r="Q109" s="2748"/>
      <c r="R109" s="2748"/>
      <c r="S109" s="2748"/>
      <c r="T109" s="2748"/>
      <c r="U109" s="2748"/>
      <c r="V109" s="2748"/>
      <c r="W109" s="2748"/>
      <c r="X109" s="2748"/>
      <c r="Y109" s="2748"/>
      <c r="Z109" s="2748"/>
      <c r="AA109" s="2748"/>
      <c r="AB109" s="2748"/>
      <c r="AC109" s="2748"/>
      <c r="AD109" s="2748"/>
      <c r="AE109" s="2748"/>
      <c r="AF109" s="2748"/>
      <c r="AG109" s="2748"/>
      <c r="AH109" s="2748"/>
      <c r="AI109" s="2748"/>
      <c r="AJ109" s="2748"/>
      <c r="AK109" s="2748"/>
      <c r="AL109" s="2748"/>
      <c r="AM109" s="2748"/>
      <c r="AN109" s="2748"/>
      <c r="AO109" s="2748"/>
      <c r="AP109" s="2748"/>
      <c r="AQ109" s="2748"/>
      <c r="AR109" s="2748"/>
      <c r="AS109" s="2748"/>
      <c r="AT109" s="2748"/>
      <c r="AU109" s="2748"/>
      <c r="AV109" s="2748"/>
      <c r="AW109" s="2748"/>
      <c r="AX109" s="2749"/>
      <c r="AY109" s="1527"/>
      <c r="AZ109" s="1527"/>
      <c r="BA109" s="1527"/>
      <c r="BB109" s="1527"/>
      <c r="BC109" s="1527"/>
      <c r="BD109" s="1527"/>
      <c r="BE109" s="1533"/>
    </row>
    <row r="110" spans="1:57" ht="15.75" customHeight="1">
      <c r="A110" s="1816"/>
      <c r="B110" s="2747"/>
      <c r="C110" s="2748"/>
      <c r="D110" s="2748"/>
      <c r="E110" s="2748"/>
      <c r="F110" s="2748"/>
      <c r="G110" s="2748"/>
      <c r="H110" s="2748"/>
      <c r="I110" s="2748"/>
      <c r="J110" s="2748"/>
      <c r="K110" s="2748"/>
      <c r="L110" s="2748"/>
      <c r="M110" s="2748"/>
      <c r="N110" s="2748"/>
      <c r="O110" s="2748"/>
      <c r="P110" s="2748"/>
      <c r="Q110" s="2748"/>
      <c r="R110" s="2748"/>
      <c r="S110" s="2748"/>
      <c r="T110" s="2748"/>
      <c r="U110" s="2748"/>
      <c r="V110" s="2748"/>
      <c r="W110" s="2748"/>
      <c r="X110" s="2748"/>
      <c r="Y110" s="2748"/>
      <c r="Z110" s="2748"/>
      <c r="AA110" s="2748"/>
      <c r="AB110" s="2748"/>
      <c r="AC110" s="2748"/>
      <c r="AD110" s="2748"/>
      <c r="AE110" s="2748"/>
      <c r="AF110" s="2748"/>
      <c r="AG110" s="2748"/>
      <c r="AH110" s="2748"/>
      <c r="AI110" s="2748"/>
      <c r="AJ110" s="2748"/>
      <c r="AK110" s="2748"/>
      <c r="AL110" s="2748"/>
      <c r="AM110" s="2748"/>
      <c r="AN110" s="2748"/>
      <c r="AO110" s="2748"/>
      <c r="AP110" s="2748"/>
      <c r="AQ110" s="2748"/>
      <c r="AR110" s="2748"/>
      <c r="AS110" s="2748"/>
      <c r="AT110" s="2748"/>
      <c r="AU110" s="2748"/>
      <c r="AV110" s="2748"/>
      <c r="AW110" s="2748"/>
      <c r="AX110" s="2749"/>
      <c r="AY110" s="1527"/>
      <c r="AZ110" s="1527"/>
      <c r="BA110" s="1527"/>
      <c r="BB110" s="1527"/>
      <c r="BC110" s="1527"/>
      <c r="BD110" s="1527"/>
      <c r="BE110" s="1533"/>
    </row>
    <row r="111" spans="1:57" ht="15.75" customHeight="1">
      <c r="A111" s="1816"/>
      <c r="B111" s="2747"/>
      <c r="C111" s="2748"/>
      <c r="D111" s="2748"/>
      <c r="E111" s="2748"/>
      <c r="F111" s="2748"/>
      <c r="G111" s="2748"/>
      <c r="H111" s="2748"/>
      <c r="I111" s="2748"/>
      <c r="J111" s="2748"/>
      <c r="K111" s="2748"/>
      <c r="L111" s="2748"/>
      <c r="M111" s="2748"/>
      <c r="N111" s="2748"/>
      <c r="O111" s="2748"/>
      <c r="P111" s="2748"/>
      <c r="Q111" s="2748"/>
      <c r="R111" s="2748"/>
      <c r="S111" s="2748"/>
      <c r="T111" s="2748"/>
      <c r="U111" s="2748"/>
      <c r="V111" s="2748"/>
      <c r="W111" s="2748"/>
      <c r="X111" s="2748"/>
      <c r="Y111" s="2748"/>
      <c r="Z111" s="2748"/>
      <c r="AA111" s="2748"/>
      <c r="AB111" s="2748"/>
      <c r="AC111" s="2748"/>
      <c r="AD111" s="2748"/>
      <c r="AE111" s="2748"/>
      <c r="AF111" s="2748"/>
      <c r="AG111" s="2748"/>
      <c r="AH111" s="2748"/>
      <c r="AI111" s="2748"/>
      <c r="AJ111" s="2748"/>
      <c r="AK111" s="2748"/>
      <c r="AL111" s="2748"/>
      <c r="AM111" s="2748"/>
      <c r="AN111" s="2748"/>
      <c r="AO111" s="2748"/>
      <c r="AP111" s="2748"/>
      <c r="AQ111" s="2748"/>
      <c r="AR111" s="2748"/>
      <c r="AS111" s="2748"/>
      <c r="AT111" s="2748"/>
      <c r="AU111" s="2748"/>
      <c r="AV111" s="2748"/>
      <c r="AW111" s="2748"/>
      <c r="AX111" s="2749"/>
      <c r="AY111" s="1527"/>
      <c r="AZ111" s="1527"/>
      <c r="BA111" s="1527"/>
      <c r="BB111" s="1527"/>
      <c r="BC111" s="1527"/>
      <c r="BD111" s="1527"/>
      <c r="BE111" s="1533"/>
    </row>
    <row r="112" spans="1:57" ht="15.75" customHeight="1">
      <c r="A112" s="1816"/>
      <c r="B112" s="2747"/>
      <c r="C112" s="2748"/>
      <c r="D112" s="2748"/>
      <c r="E112" s="2748"/>
      <c r="F112" s="2748"/>
      <c r="G112" s="2748"/>
      <c r="H112" s="2748"/>
      <c r="I112" s="2748"/>
      <c r="J112" s="2748"/>
      <c r="K112" s="2748"/>
      <c r="L112" s="2748"/>
      <c r="M112" s="2748"/>
      <c r="N112" s="2748"/>
      <c r="O112" s="2748"/>
      <c r="P112" s="2748"/>
      <c r="Q112" s="2748"/>
      <c r="R112" s="2748"/>
      <c r="S112" s="2748"/>
      <c r="T112" s="2748"/>
      <c r="U112" s="2748"/>
      <c r="V112" s="2748"/>
      <c r="W112" s="2748"/>
      <c r="X112" s="2748"/>
      <c r="Y112" s="2748"/>
      <c r="Z112" s="2748"/>
      <c r="AA112" s="2748"/>
      <c r="AB112" s="2748"/>
      <c r="AC112" s="2748"/>
      <c r="AD112" s="2748"/>
      <c r="AE112" s="2748"/>
      <c r="AF112" s="2748"/>
      <c r="AG112" s="2748"/>
      <c r="AH112" s="2748"/>
      <c r="AI112" s="2748"/>
      <c r="AJ112" s="2748"/>
      <c r="AK112" s="2748"/>
      <c r="AL112" s="2748"/>
      <c r="AM112" s="2748"/>
      <c r="AN112" s="2748"/>
      <c r="AO112" s="2748"/>
      <c r="AP112" s="2748"/>
      <c r="AQ112" s="2748"/>
      <c r="AR112" s="2748"/>
      <c r="AS112" s="2748"/>
      <c r="AT112" s="2748"/>
      <c r="AU112" s="2748"/>
      <c r="AV112" s="2748"/>
      <c r="AW112" s="2748"/>
      <c r="AX112" s="2749"/>
      <c r="AY112" s="1527"/>
      <c r="AZ112" s="1527"/>
      <c r="BA112" s="1527"/>
      <c r="BB112" s="1527"/>
      <c r="BC112" s="1527"/>
      <c r="BD112" s="1527"/>
      <c r="BE112" s="1533"/>
    </row>
    <row r="113" spans="1:57" ht="15.75" customHeight="1">
      <c r="A113" s="1816"/>
      <c r="B113" s="2747"/>
      <c r="C113" s="2748"/>
      <c r="D113" s="2748"/>
      <c r="E113" s="2748"/>
      <c r="F113" s="2748"/>
      <c r="G113" s="2748"/>
      <c r="H113" s="2748"/>
      <c r="I113" s="2748"/>
      <c r="J113" s="2748"/>
      <c r="K113" s="2748"/>
      <c r="L113" s="2748"/>
      <c r="M113" s="2748"/>
      <c r="N113" s="2748"/>
      <c r="O113" s="2748"/>
      <c r="P113" s="2748"/>
      <c r="Q113" s="2748"/>
      <c r="R113" s="2748"/>
      <c r="S113" s="2748"/>
      <c r="T113" s="2748"/>
      <c r="U113" s="2748"/>
      <c r="V113" s="2748"/>
      <c r="W113" s="2748"/>
      <c r="X113" s="2748"/>
      <c r="Y113" s="2748"/>
      <c r="Z113" s="2748"/>
      <c r="AA113" s="2748"/>
      <c r="AB113" s="2748"/>
      <c r="AC113" s="2748"/>
      <c r="AD113" s="2748"/>
      <c r="AE113" s="2748"/>
      <c r="AF113" s="2748"/>
      <c r="AG113" s="2748"/>
      <c r="AH113" s="2748"/>
      <c r="AI113" s="2748"/>
      <c r="AJ113" s="2748"/>
      <c r="AK113" s="2748"/>
      <c r="AL113" s="2748"/>
      <c r="AM113" s="2748"/>
      <c r="AN113" s="2748"/>
      <c r="AO113" s="2748"/>
      <c r="AP113" s="2748"/>
      <c r="AQ113" s="2748"/>
      <c r="AR113" s="2748"/>
      <c r="AS113" s="2748"/>
      <c r="AT113" s="2748"/>
      <c r="AU113" s="2748"/>
      <c r="AV113" s="2748"/>
      <c r="AW113" s="2748"/>
      <c r="AX113" s="2749"/>
      <c r="AY113" s="1527"/>
      <c r="AZ113" s="1527"/>
      <c r="BA113" s="1527"/>
      <c r="BB113" s="1527"/>
      <c r="BC113" s="1527"/>
      <c r="BD113" s="1527"/>
      <c r="BE113" s="1533"/>
    </row>
    <row r="114" spans="1:57" ht="15.75" customHeight="1">
      <c r="A114" s="1816"/>
      <c r="B114" s="2747"/>
      <c r="C114" s="2748"/>
      <c r="D114" s="2748"/>
      <c r="E114" s="2748"/>
      <c r="F114" s="2748"/>
      <c r="G114" s="2748"/>
      <c r="H114" s="2748"/>
      <c r="I114" s="2748"/>
      <c r="J114" s="2748"/>
      <c r="K114" s="2748"/>
      <c r="L114" s="2748"/>
      <c r="M114" s="2748"/>
      <c r="N114" s="2748"/>
      <c r="O114" s="2748"/>
      <c r="P114" s="2748"/>
      <c r="Q114" s="2748"/>
      <c r="R114" s="2748"/>
      <c r="S114" s="2748"/>
      <c r="T114" s="2748"/>
      <c r="U114" s="2748"/>
      <c r="V114" s="2748"/>
      <c r="W114" s="2748"/>
      <c r="X114" s="2748"/>
      <c r="Y114" s="2748"/>
      <c r="Z114" s="2748"/>
      <c r="AA114" s="2748"/>
      <c r="AB114" s="2748"/>
      <c r="AC114" s="2748"/>
      <c r="AD114" s="2748"/>
      <c r="AE114" s="2748"/>
      <c r="AF114" s="2748"/>
      <c r="AG114" s="2748"/>
      <c r="AH114" s="2748"/>
      <c r="AI114" s="2748"/>
      <c r="AJ114" s="2748"/>
      <c r="AK114" s="2748"/>
      <c r="AL114" s="2748"/>
      <c r="AM114" s="2748"/>
      <c r="AN114" s="2748"/>
      <c r="AO114" s="2748"/>
      <c r="AP114" s="2748"/>
      <c r="AQ114" s="2748"/>
      <c r="AR114" s="2748"/>
      <c r="AS114" s="2748"/>
      <c r="AT114" s="2748"/>
      <c r="AU114" s="2748"/>
      <c r="AV114" s="2748"/>
      <c r="AW114" s="2748"/>
      <c r="AX114" s="2749"/>
      <c r="AY114" s="1527"/>
      <c r="AZ114" s="1527"/>
      <c r="BA114" s="1527"/>
      <c r="BB114" s="1527"/>
      <c r="BC114" s="1527"/>
      <c r="BD114" s="1527"/>
      <c r="BE114" s="1533"/>
    </row>
    <row r="115" spans="1:57" ht="15.75" customHeight="1">
      <c r="A115" s="1816"/>
      <c r="B115" s="2747"/>
      <c r="C115" s="2748"/>
      <c r="D115" s="2748"/>
      <c r="E115" s="2748"/>
      <c r="F115" s="2748"/>
      <c r="G115" s="2748"/>
      <c r="H115" s="2748"/>
      <c r="I115" s="2748"/>
      <c r="J115" s="2748"/>
      <c r="K115" s="2748"/>
      <c r="L115" s="2748"/>
      <c r="M115" s="2748"/>
      <c r="N115" s="2748"/>
      <c r="O115" s="2748"/>
      <c r="P115" s="2748"/>
      <c r="Q115" s="2748"/>
      <c r="R115" s="2748"/>
      <c r="S115" s="2748"/>
      <c r="T115" s="2748"/>
      <c r="U115" s="2748"/>
      <c r="V115" s="2748"/>
      <c r="W115" s="2748"/>
      <c r="X115" s="2748"/>
      <c r="Y115" s="2748"/>
      <c r="Z115" s="2748"/>
      <c r="AA115" s="2748"/>
      <c r="AB115" s="2748"/>
      <c r="AC115" s="2748"/>
      <c r="AD115" s="2748"/>
      <c r="AE115" s="2748"/>
      <c r="AF115" s="2748"/>
      <c r="AG115" s="2748"/>
      <c r="AH115" s="2748"/>
      <c r="AI115" s="2748"/>
      <c r="AJ115" s="2748"/>
      <c r="AK115" s="2748"/>
      <c r="AL115" s="2748"/>
      <c r="AM115" s="2748"/>
      <c r="AN115" s="2748"/>
      <c r="AO115" s="2748"/>
      <c r="AP115" s="2748"/>
      <c r="AQ115" s="2748"/>
      <c r="AR115" s="2748"/>
      <c r="AS115" s="2748"/>
      <c r="AT115" s="2748"/>
      <c r="AU115" s="2748"/>
      <c r="AV115" s="2748"/>
      <c r="AW115" s="2748"/>
      <c r="AX115" s="2749"/>
      <c r="AY115" s="1527"/>
      <c r="AZ115" s="1527"/>
      <c r="BA115" s="1527"/>
      <c r="BB115" s="1527"/>
      <c r="BC115" s="1527"/>
      <c r="BD115" s="1527"/>
      <c r="BE115" s="1533"/>
    </row>
    <row r="116" spans="1:57" ht="15.75" customHeight="1" thickBot="1">
      <c r="A116" s="1816"/>
      <c r="B116" s="2750"/>
      <c r="C116" s="2751"/>
      <c r="D116" s="2751"/>
      <c r="E116" s="2751"/>
      <c r="F116" s="2751"/>
      <c r="G116" s="2751"/>
      <c r="H116" s="2751"/>
      <c r="I116" s="2751"/>
      <c r="J116" s="2751"/>
      <c r="K116" s="2751"/>
      <c r="L116" s="2751"/>
      <c r="M116" s="2751"/>
      <c r="N116" s="2751"/>
      <c r="O116" s="2751"/>
      <c r="P116" s="2751"/>
      <c r="Q116" s="2751"/>
      <c r="R116" s="2751"/>
      <c r="S116" s="2751"/>
      <c r="T116" s="2751"/>
      <c r="U116" s="2751"/>
      <c r="V116" s="2751"/>
      <c r="W116" s="2751"/>
      <c r="X116" s="2751"/>
      <c r="Y116" s="2751"/>
      <c r="Z116" s="2751"/>
      <c r="AA116" s="2751"/>
      <c r="AB116" s="2751"/>
      <c r="AC116" s="2751"/>
      <c r="AD116" s="2751"/>
      <c r="AE116" s="2751"/>
      <c r="AF116" s="2751"/>
      <c r="AG116" s="2751"/>
      <c r="AH116" s="2751"/>
      <c r="AI116" s="2751"/>
      <c r="AJ116" s="2751"/>
      <c r="AK116" s="2751"/>
      <c r="AL116" s="2751"/>
      <c r="AM116" s="2751"/>
      <c r="AN116" s="2751"/>
      <c r="AO116" s="2751"/>
      <c r="AP116" s="2751"/>
      <c r="AQ116" s="2751"/>
      <c r="AR116" s="2751"/>
      <c r="AS116" s="2751"/>
      <c r="AT116" s="2751"/>
      <c r="AU116" s="2751"/>
      <c r="AV116" s="2751"/>
      <c r="AW116" s="2751"/>
      <c r="AX116" s="2752"/>
      <c r="AY116" s="1527"/>
      <c r="AZ116" s="1527"/>
      <c r="BA116" s="1527"/>
      <c r="BB116" s="1527"/>
      <c r="BC116" s="1527"/>
      <c r="BD116" s="1527"/>
      <c r="BE116" s="1533"/>
    </row>
    <row r="117" spans="1:57" ht="15.75" customHeight="1">
      <c r="A117" s="1816"/>
      <c r="B117" s="1527"/>
      <c r="C117" s="1527"/>
      <c r="D117" s="1527"/>
      <c r="E117" s="1527"/>
      <c r="F117" s="1527"/>
      <c r="G117" s="1527"/>
      <c r="H117" s="1527"/>
      <c r="I117" s="1527"/>
      <c r="J117" s="1527"/>
      <c r="K117" s="1527"/>
      <c r="L117" s="1527"/>
      <c r="M117" s="1527"/>
      <c r="N117" s="1527"/>
      <c r="O117" s="1527"/>
      <c r="P117" s="1527"/>
      <c r="Q117" s="1527"/>
      <c r="R117" s="1527"/>
      <c r="S117" s="1527"/>
      <c r="T117" s="1527"/>
      <c r="U117" s="1527"/>
      <c r="V117" s="1527"/>
      <c r="W117" s="1527"/>
      <c r="X117" s="1527"/>
      <c r="Y117" s="1527"/>
      <c r="Z117" s="1527"/>
      <c r="AA117" s="1527"/>
      <c r="AB117" s="1527"/>
      <c r="AC117" s="1527"/>
      <c r="AD117" s="1527"/>
      <c r="AE117" s="1527"/>
      <c r="AF117" s="1527"/>
      <c r="AG117" s="1527"/>
      <c r="AH117" s="1527"/>
      <c r="AI117" s="1527"/>
      <c r="AJ117" s="1527"/>
      <c r="AK117" s="1527"/>
      <c r="AL117" s="1527"/>
      <c r="AM117" s="1527"/>
      <c r="AN117" s="1527"/>
      <c r="AO117" s="1527"/>
      <c r="AP117" s="1527"/>
      <c r="AQ117" s="1527"/>
      <c r="AR117" s="1527"/>
      <c r="AS117" s="1527"/>
      <c r="AT117" s="1527"/>
      <c r="AU117" s="1527"/>
      <c r="AV117" s="1527"/>
      <c r="AW117" s="1527"/>
      <c r="AX117" s="1527"/>
      <c r="AY117" s="1527"/>
      <c r="AZ117" s="1527"/>
      <c r="BA117" s="1527"/>
      <c r="BB117" s="1527"/>
      <c r="BC117" s="1527"/>
      <c r="BD117" s="1527"/>
      <c r="BE117" s="1533"/>
    </row>
    <row r="118" spans="1:57" ht="15.75" customHeight="1">
      <c r="A118" s="1818"/>
      <c r="B118" s="1537" t="s">
        <v>2109</v>
      </c>
      <c r="C118" s="1537"/>
      <c r="D118" s="1537"/>
      <c r="E118" s="1537"/>
      <c r="F118" s="1537"/>
      <c r="G118" s="1537"/>
      <c r="H118" s="1537"/>
      <c r="I118" s="1537"/>
      <c r="J118" s="1537"/>
      <c r="K118" s="1537"/>
      <c r="L118" s="1537"/>
      <c r="M118" s="1537"/>
      <c r="N118" s="1534"/>
      <c r="O118" s="1534"/>
      <c r="P118" s="1527"/>
      <c r="Q118" s="1527"/>
      <c r="R118" s="1527"/>
      <c r="S118" s="1527"/>
      <c r="T118" s="1527"/>
      <c r="U118" s="1527"/>
      <c r="V118" s="1527"/>
      <c r="W118" s="1527"/>
      <c r="X118" s="1527"/>
      <c r="Y118" s="1527"/>
      <c r="Z118" s="1527"/>
      <c r="AA118" s="1527"/>
      <c r="AB118" s="1527"/>
      <c r="AC118" s="1527"/>
      <c r="AD118" s="1527"/>
      <c r="AE118" s="1527"/>
      <c r="AF118" s="1527"/>
      <c r="AG118" s="1527"/>
      <c r="AH118" s="1527"/>
      <c r="AI118" s="1527"/>
      <c r="AJ118" s="1527"/>
      <c r="AK118" s="1527"/>
      <c r="AL118" s="1527"/>
      <c r="AM118" s="1527"/>
      <c r="AN118" s="1527"/>
      <c r="AO118" s="1527"/>
      <c r="AP118" s="1527"/>
      <c r="AQ118" s="1527"/>
      <c r="AR118" s="1527"/>
      <c r="AS118" s="1527"/>
      <c r="AT118" s="1527"/>
      <c r="AU118" s="1527"/>
      <c r="AV118" s="1527"/>
      <c r="AW118" s="1527"/>
      <c r="AX118" s="1527"/>
      <c r="AY118" s="1527"/>
      <c r="AZ118" s="1527"/>
      <c r="BA118" s="1527"/>
      <c r="BB118" s="1527"/>
      <c r="BC118" s="1527"/>
      <c r="BD118" s="1527"/>
      <c r="BE118" s="1533"/>
    </row>
    <row r="119" spans="1:57" ht="15.75" customHeight="1" thickBot="1">
      <c r="A119" s="1816"/>
      <c r="B119" s="1527"/>
      <c r="C119" s="1527"/>
      <c r="D119" s="1527"/>
      <c r="E119" s="1527"/>
      <c r="F119" s="1527"/>
      <c r="G119" s="1527"/>
      <c r="H119" s="1527"/>
      <c r="I119" s="1527"/>
      <c r="J119" s="1527"/>
      <c r="K119" s="1527"/>
      <c r="L119" s="1527"/>
      <c r="M119" s="1527"/>
      <c r="N119" s="1527"/>
      <c r="O119" s="1527"/>
      <c r="P119" s="1534"/>
      <c r="Q119" s="1527"/>
      <c r="R119" s="1527"/>
      <c r="S119" s="1527"/>
      <c r="T119" s="1527"/>
      <c r="U119" s="1527"/>
      <c r="V119" s="1527"/>
      <c r="W119" s="1527"/>
      <c r="X119" s="1527"/>
      <c r="Y119" s="1527"/>
      <c r="Z119" s="1527"/>
      <c r="AA119" s="1527"/>
      <c r="AB119" s="1527"/>
      <c r="AC119" s="1527"/>
      <c r="AD119" s="1527"/>
      <c r="AE119" s="1527"/>
      <c r="AF119" s="1527"/>
      <c r="AG119" s="1527"/>
      <c r="AH119" s="1527"/>
      <c r="AI119" s="1527"/>
      <c r="AJ119" s="1527"/>
      <c r="AK119" s="1527"/>
      <c r="AL119" s="1527"/>
      <c r="AM119" s="1527"/>
      <c r="AN119" s="1527"/>
      <c r="AO119" s="1527"/>
      <c r="AP119" s="1527"/>
      <c r="AQ119" s="1527"/>
      <c r="AR119" s="1527"/>
      <c r="AS119" s="1527"/>
      <c r="AT119" s="1527"/>
      <c r="AU119" s="1527"/>
      <c r="AV119" s="1527"/>
      <c r="AW119" s="1527"/>
      <c r="AX119" s="1527"/>
      <c r="AY119" s="1527"/>
      <c r="AZ119" s="1527"/>
      <c r="BA119" s="1527"/>
      <c r="BB119" s="1527"/>
      <c r="BC119" s="1527"/>
      <c r="BD119" s="1527"/>
      <c r="BE119" s="1533"/>
    </row>
    <row r="120" spans="1:57" ht="15.75" customHeight="1">
      <c r="A120" s="1816"/>
      <c r="B120" s="2753" t="s">
        <v>2110</v>
      </c>
      <c r="C120" s="2754"/>
      <c r="D120" s="2754"/>
      <c r="E120" s="2754"/>
      <c r="F120" s="2754"/>
      <c r="G120" s="2754"/>
      <c r="H120" s="2754"/>
      <c r="I120" s="2754"/>
      <c r="J120" s="2754"/>
      <c r="K120" s="2754"/>
      <c r="L120" s="2754"/>
      <c r="M120" s="2754"/>
      <c r="N120" s="2754"/>
      <c r="O120" s="2754"/>
      <c r="P120" s="2754"/>
      <c r="Q120" s="2754"/>
      <c r="R120" s="2754"/>
      <c r="S120" s="2754"/>
      <c r="T120" s="2754"/>
      <c r="U120" s="2755"/>
      <c r="V120" s="1527"/>
      <c r="W120" s="1527"/>
      <c r="X120" s="1527"/>
      <c r="Y120" s="1527"/>
      <c r="Z120" s="1527"/>
      <c r="AA120" s="1527"/>
      <c r="AB120" s="1527"/>
      <c r="AC120" s="1527" t="s">
        <v>256</v>
      </c>
      <c r="AD120" s="1527"/>
      <c r="AE120" s="1527"/>
      <c r="AF120" s="1527"/>
      <c r="AG120" s="1527"/>
      <c r="AH120" s="1527"/>
      <c r="AI120" s="1527"/>
      <c r="AJ120" s="1527"/>
      <c r="AK120" s="1527"/>
      <c r="AL120" s="1527"/>
      <c r="AM120" s="1527"/>
      <c r="AN120" s="1527"/>
      <c r="AO120" s="1527"/>
      <c r="AP120" s="1527"/>
      <c r="AQ120" s="1527"/>
      <c r="AR120" s="1527"/>
      <c r="AS120" s="1527"/>
      <c r="AT120" s="1527"/>
      <c r="AU120" s="1527"/>
      <c r="AV120" s="1527"/>
      <c r="AW120" s="1527"/>
      <c r="AX120" s="1527"/>
      <c r="AY120" s="1527"/>
      <c r="AZ120" s="1527"/>
      <c r="BA120" s="1527"/>
      <c r="BB120" s="1527"/>
      <c r="BC120" s="1527"/>
      <c r="BD120" s="1527"/>
      <c r="BE120" s="1533"/>
    </row>
    <row r="121" spans="1:57" ht="15.75" customHeight="1">
      <c r="A121" s="1816"/>
      <c r="B121" s="2756"/>
      <c r="C121" s="2757"/>
      <c r="D121" s="2757"/>
      <c r="E121" s="2757"/>
      <c r="F121" s="2757"/>
      <c r="G121" s="2757"/>
      <c r="H121" s="2758"/>
      <c r="I121" s="2759" t="s">
        <v>2093</v>
      </c>
      <c r="J121" s="2658"/>
      <c r="K121" s="2658"/>
      <c r="L121" s="2658"/>
      <c r="M121" s="2658"/>
      <c r="N121" s="2658"/>
      <c r="O121" s="2760"/>
      <c r="P121" s="2759" t="s">
        <v>2104</v>
      </c>
      <c r="Q121" s="2658"/>
      <c r="R121" s="2658"/>
      <c r="S121" s="2658"/>
      <c r="T121" s="2658"/>
      <c r="U121" s="2760"/>
      <c r="V121" s="1527"/>
      <c r="W121" s="1527"/>
      <c r="X121" s="1527"/>
      <c r="Y121" s="1527"/>
      <c r="Z121" s="1527"/>
      <c r="AA121" s="1527"/>
      <c r="AB121" s="1527"/>
      <c r="AC121" s="1527"/>
      <c r="AD121" s="1527" t="s">
        <v>256</v>
      </c>
      <c r="AE121" s="1527"/>
      <c r="AF121" s="1527"/>
      <c r="AG121" s="1527"/>
      <c r="AH121" s="1527"/>
      <c r="AI121" s="1527"/>
      <c r="AJ121" s="1527"/>
      <c r="AK121" s="1527"/>
      <c r="AL121" s="1527"/>
      <c r="AM121" s="1527"/>
      <c r="AN121" s="1527"/>
      <c r="AO121" s="1527"/>
      <c r="AP121" s="1527"/>
      <c r="AQ121" s="1527"/>
      <c r="AR121" s="1527"/>
      <c r="AS121" s="1527"/>
      <c r="AT121" s="1527"/>
      <c r="AU121" s="1527"/>
      <c r="AV121" s="1527"/>
      <c r="AW121" s="1527"/>
      <c r="AX121" s="1527"/>
      <c r="AY121" s="1527"/>
      <c r="AZ121" s="1527"/>
      <c r="BA121" s="1527"/>
      <c r="BB121" s="1527"/>
      <c r="BC121" s="1527"/>
      <c r="BD121" s="1527"/>
      <c r="BE121" s="1533"/>
    </row>
    <row r="122" spans="1:57" ht="15.75" customHeight="1">
      <c r="A122" s="1816"/>
      <c r="B122" s="2761" t="s">
        <v>2096</v>
      </c>
      <c r="C122" s="2762"/>
      <c r="D122" s="2762"/>
      <c r="E122" s="2762"/>
      <c r="F122" s="2762"/>
      <c r="G122" s="2762"/>
      <c r="H122" s="2762"/>
      <c r="I122" s="2730"/>
      <c r="J122" s="2731"/>
      <c r="K122" s="2731"/>
      <c r="L122" s="2731"/>
      <c r="M122" s="2731"/>
      <c r="N122" s="2731"/>
      <c r="O122" s="2732"/>
      <c r="P122" s="2730"/>
      <c r="Q122" s="2731"/>
      <c r="R122" s="2731"/>
      <c r="S122" s="2731"/>
      <c r="T122" s="2731"/>
      <c r="U122" s="2732"/>
      <c r="V122" s="1527"/>
      <c r="W122" s="1527"/>
      <c r="X122" s="1527"/>
      <c r="Y122" s="1527"/>
      <c r="Z122" s="1527"/>
      <c r="AA122" s="1527"/>
      <c r="AB122" s="1527"/>
      <c r="AC122" s="1527"/>
      <c r="AD122" s="1527"/>
      <c r="AE122" s="1527"/>
      <c r="AF122" s="1527"/>
      <c r="AG122" s="1527"/>
      <c r="AH122" s="1527"/>
      <c r="AI122" s="1527"/>
      <c r="AJ122" s="1527"/>
      <c r="AK122" s="1527"/>
      <c r="AL122" s="1527"/>
      <c r="AM122" s="1527"/>
      <c r="AN122" s="1527"/>
      <c r="AO122" s="1527"/>
      <c r="AP122" s="1527"/>
      <c r="AQ122" s="1527"/>
      <c r="AR122" s="1527"/>
      <c r="AS122" s="1527"/>
      <c r="AT122" s="1527"/>
      <c r="AU122" s="1527"/>
      <c r="AV122" s="1527"/>
      <c r="AW122" s="1527"/>
      <c r="AX122" s="1527"/>
      <c r="AY122" s="1527"/>
      <c r="AZ122" s="1527"/>
      <c r="BA122" s="1527"/>
      <c r="BB122" s="1527"/>
      <c r="BC122" s="1527"/>
      <c r="BD122" s="1527"/>
      <c r="BE122" s="1533"/>
    </row>
    <row r="123" spans="1:57" ht="15.75" customHeight="1" thickBot="1">
      <c r="A123" s="1816"/>
      <c r="B123" s="2601" t="s">
        <v>2097</v>
      </c>
      <c r="C123" s="2602"/>
      <c r="D123" s="2602"/>
      <c r="E123" s="2602"/>
      <c r="F123" s="2602"/>
      <c r="G123" s="2602"/>
      <c r="H123" s="2602"/>
      <c r="I123" s="2730"/>
      <c r="J123" s="2731"/>
      <c r="K123" s="2731"/>
      <c r="L123" s="2731"/>
      <c r="M123" s="2731"/>
      <c r="N123" s="2731"/>
      <c r="O123" s="2732"/>
      <c r="P123" s="2730"/>
      <c r="Q123" s="2731"/>
      <c r="R123" s="2731"/>
      <c r="S123" s="2731"/>
      <c r="T123" s="2731"/>
      <c r="U123" s="2732"/>
      <c r="V123" s="1527"/>
      <c r="W123" s="1527"/>
      <c r="X123" s="1527"/>
      <c r="Y123" s="1527"/>
      <c r="Z123" s="1527"/>
      <c r="AA123" s="1527"/>
      <c r="AB123" s="1527"/>
      <c r="AC123" s="1527"/>
      <c r="AD123" s="1527"/>
      <c r="AE123" s="1527"/>
      <c r="AF123" s="1527"/>
      <c r="AG123" s="1527"/>
      <c r="AH123" s="1527"/>
      <c r="AI123" s="1527"/>
      <c r="AJ123" s="1527"/>
      <c r="AK123" s="1527"/>
      <c r="AL123" s="1527"/>
      <c r="AM123" s="1527"/>
      <c r="AN123" s="1527"/>
      <c r="AO123" s="1527"/>
      <c r="AP123" s="1527"/>
      <c r="AQ123" s="1527"/>
      <c r="AR123" s="1527"/>
      <c r="AS123" s="1527"/>
      <c r="AT123" s="1527"/>
      <c r="AU123" s="1527"/>
      <c r="AV123" s="1527"/>
      <c r="AW123" s="1527"/>
      <c r="AX123" s="1527"/>
      <c r="AY123" s="1527"/>
      <c r="AZ123" s="1527"/>
      <c r="BA123" s="1527"/>
      <c r="BB123" s="1527"/>
      <c r="BC123" s="1527"/>
      <c r="BD123" s="1527"/>
      <c r="BE123" s="1533"/>
    </row>
    <row r="124" spans="1:57" ht="15.75" customHeight="1" thickBot="1">
      <c r="A124" s="1816"/>
      <c r="B124" s="1527"/>
      <c r="C124" s="1527"/>
      <c r="D124" s="1527"/>
      <c r="E124" s="1527"/>
      <c r="F124" s="1527"/>
      <c r="G124" s="1527"/>
      <c r="H124" s="1527"/>
      <c r="I124" s="1527"/>
      <c r="J124" s="1527"/>
      <c r="K124" s="1527"/>
      <c r="L124" s="1527"/>
      <c r="M124" s="1527"/>
      <c r="N124" s="1527"/>
      <c r="O124" s="1527"/>
      <c r="P124" s="1527"/>
      <c r="Q124" s="1527"/>
      <c r="R124" s="1527"/>
      <c r="S124" s="1527"/>
      <c r="T124" s="1527"/>
      <c r="U124" s="1527"/>
      <c r="V124" s="1527"/>
      <c r="W124" s="1527"/>
      <c r="X124" s="1527"/>
      <c r="Y124" s="1527"/>
      <c r="Z124" s="1527"/>
      <c r="AA124" s="1527"/>
      <c r="AB124" s="1527"/>
      <c r="AC124" s="1527"/>
      <c r="AD124" s="1527"/>
      <c r="AE124" s="1527"/>
      <c r="AF124" s="1527"/>
      <c r="AG124" s="1527"/>
      <c r="AH124" s="1527"/>
      <c r="AI124" s="1527"/>
      <c r="AJ124" s="1527"/>
      <c r="AK124" s="1527"/>
      <c r="AL124" s="1527"/>
      <c r="AM124" s="1527"/>
      <c r="AN124" s="1527"/>
      <c r="AO124" s="1527"/>
      <c r="AP124" s="1527"/>
      <c r="AQ124" s="1527"/>
      <c r="AR124" s="1527"/>
      <c r="AS124" s="1527"/>
      <c r="AT124" s="1527"/>
      <c r="AU124" s="1527"/>
      <c r="AV124" s="1527"/>
      <c r="AW124" s="1527"/>
      <c r="AX124" s="1527"/>
      <c r="AY124" s="1527"/>
      <c r="AZ124" s="1527"/>
      <c r="BA124" s="1527"/>
      <c r="BB124" s="1527"/>
      <c r="BC124" s="1527"/>
      <c r="BD124" s="1527"/>
      <c r="BE124" s="1533"/>
    </row>
    <row r="125" spans="1:57" ht="15.75" customHeight="1">
      <c r="A125" s="1816"/>
      <c r="B125" s="1527"/>
      <c r="C125" s="2733" t="s">
        <v>2111</v>
      </c>
      <c r="D125" s="2734"/>
      <c r="E125" s="2734"/>
      <c r="F125" s="2734"/>
      <c r="G125" s="2734"/>
      <c r="H125" s="2734"/>
      <c r="I125" s="2734"/>
      <c r="J125" s="2734"/>
      <c r="K125" s="2734"/>
      <c r="L125" s="2734"/>
      <c r="M125" s="2734"/>
      <c r="N125" s="2734"/>
      <c r="O125" s="2734"/>
      <c r="P125" s="2734"/>
      <c r="Q125" s="2734"/>
      <c r="R125" s="2734"/>
      <c r="S125" s="2734"/>
      <c r="T125" s="2734"/>
      <c r="U125" s="2734"/>
      <c r="V125" s="2734"/>
      <c r="W125" s="2734"/>
      <c r="X125" s="2734"/>
      <c r="Y125" s="2734"/>
      <c r="Z125" s="2734"/>
      <c r="AA125" s="2734"/>
      <c r="AB125" s="2734"/>
      <c r="AC125" s="2734"/>
      <c r="AD125" s="2734"/>
      <c r="AE125" s="2734"/>
      <c r="AF125" s="2734"/>
      <c r="AG125" s="2735"/>
      <c r="AH125" s="1527"/>
      <c r="AI125" s="1527"/>
      <c r="AJ125" s="1527"/>
      <c r="AK125" s="1527"/>
      <c r="AL125" s="1527"/>
      <c r="AM125" s="1527"/>
      <c r="AN125" s="1527"/>
      <c r="AO125" s="1527"/>
      <c r="AP125" s="1527"/>
      <c r="AQ125" s="1527"/>
      <c r="AR125" s="1527"/>
      <c r="AS125" s="1527"/>
      <c r="AT125" s="1527"/>
      <c r="AU125" s="1527"/>
      <c r="AV125" s="1527"/>
      <c r="AW125" s="1527"/>
      <c r="AX125" s="1527"/>
      <c r="AY125" s="1527"/>
      <c r="AZ125" s="1527"/>
      <c r="BA125" s="1527"/>
      <c r="BB125" s="1527"/>
      <c r="BC125" s="1527"/>
      <c r="BD125" s="1527"/>
      <c r="BE125" s="1533"/>
    </row>
    <row r="126" spans="1:57" ht="15.75" customHeight="1" thickBot="1">
      <c r="A126" s="1816"/>
      <c r="B126" s="1527"/>
      <c r="C126" s="2649" t="s">
        <v>2112</v>
      </c>
      <c r="D126" s="2650"/>
      <c r="E126" s="2650"/>
      <c r="F126" s="2650"/>
      <c r="G126" s="2650"/>
      <c r="H126" s="2650"/>
      <c r="I126" s="2650"/>
      <c r="J126" s="2650"/>
      <c r="K126" s="2650"/>
      <c r="L126" s="2650"/>
      <c r="M126" s="2650"/>
      <c r="N126" s="2650"/>
      <c r="O126" s="2650"/>
      <c r="P126" s="2736"/>
      <c r="Q126" s="2737" t="s">
        <v>2113</v>
      </c>
      <c r="R126" s="2650"/>
      <c r="S126" s="2736"/>
      <c r="T126" s="2738" t="s">
        <v>2114</v>
      </c>
      <c r="U126" s="2739"/>
      <c r="V126" s="2739"/>
      <c r="W126" s="2739"/>
      <c r="X126" s="2739"/>
      <c r="Y126" s="2739"/>
      <c r="Z126" s="2739"/>
      <c r="AA126" s="2740"/>
      <c r="AB126" s="2741" t="s">
        <v>2115</v>
      </c>
      <c r="AC126" s="2742"/>
      <c r="AD126" s="2742"/>
      <c r="AE126" s="2742"/>
      <c r="AF126" s="2742"/>
      <c r="AG126" s="2743"/>
      <c r="AH126" s="1527"/>
      <c r="AI126" s="1527"/>
      <c r="AJ126" s="1527"/>
      <c r="AK126" s="1527"/>
      <c r="AL126" s="1527"/>
      <c r="AM126" s="1527"/>
      <c r="AN126" s="1527"/>
      <c r="AO126" s="1527"/>
      <c r="AP126" s="1527"/>
      <c r="AQ126" s="1527"/>
      <c r="AR126" s="1527"/>
      <c r="AS126" s="1527"/>
      <c r="AT126" s="1527"/>
      <c r="AU126" s="1527"/>
      <c r="AV126" s="1527"/>
      <c r="AW126" s="1527"/>
      <c r="AX126" s="1527"/>
      <c r="AY126" s="1527"/>
      <c r="AZ126" s="1527"/>
      <c r="BA126" s="1527"/>
      <c r="BB126" s="1527"/>
      <c r="BC126" s="1527"/>
      <c r="BD126" s="1527"/>
      <c r="BE126" s="1533"/>
    </row>
    <row r="127" spans="1:57" ht="15.75" customHeight="1">
      <c r="A127" s="1816"/>
      <c r="B127" s="1527"/>
      <c r="C127" s="2640" t="s">
        <v>2116</v>
      </c>
      <c r="D127" s="2641"/>
      <c r="E127" s="2641"/>
      <c r="F127" s="2641"/>
      <c r="G127" s="2641"/>
      <c r="H127" s="2641"/>
      <c r="I127" s="2641"/>
      <c r="J127" s="2641"/>
      <c r="K127" s="2641"/>
      <c r="L127" s="2641"/>
      <c r="M127" s="2641"/>
      <c r="N127" s="2641"/>
      <c r="O127" s="2641"/>
      <c r="P127" s="2654"/>
      <c r="Q127" s="2720">
        <v>55</v>
      </c>
      <c r="R127" s="2721"/>
      <c r="S127" s="2722"/>
      <c r="T127" s="2714"/>
      <c r="U127" s="2715"/>
      <c r="V127" s="2715"/>
      <c r="W127" s="2715"/>
      <c r="X127" s="2715"/>
      <c r="Y127" s="2715"/>
      <c r="Z127" s="2715"/>
      <c r="AA127" s="2715"/>
      <c r="AB127" s="1541"/>
      <c r="AC127" s="1542"/>
      <c r="AD127" s="1542"/>
      <c r="AE127" s="1542"/>
      <c r="AF127" s="1542"/>
      <c r="AG127" s="1543"/>
      <c r="AH127" s="1527"/>
      <c r="AI127" s="1527"/>
      <c r="AJ127" s="1527"/>
      <c r="AK127" s="1527"/>
      <c r="AL127" s="1527"/>
      <c r="AM127" s="1527"/>
      <c r="AN127" s="1527"/>
      <c r="AO127" s="1527"/>
      <c r="AP127" s="1527"/>
      <c r="AQ127" s="1527"/>
      <c r="AR127" s="1527"/>
      <c r="AS127" s="1527"/>
      <c r="AT127" s="1527"/>
      <c r="AU127" s="1527"/>
      <c r="AV127" s="1527"/>
      <c r="AW127" s="1527"/>
      <c r="AX127" s="1527"/>
      <c r="AY127" s="1527"/>
      <c r="AZ127" s="1527"/>
      <c r="BA127" s="1527"/>
      <c r="BB127" s="1527"/>
      <c r="BC127" s="1527"/>
      <c r="BD127" s="1527"/>
      <c r="BE127" s="1533"/>
    </row>
    <row r="128" spans="1:57" ht="15.75" customHeight="1">
      <c r="A128" s="1816"/>
      <c r="B128" s="1527"/>
      <c r="C128" s="2640" t="s">
        <v>430</v>
      </c>
      <c r="D128" s="2641"/>
      <c r="E128" s="2641"/>
      <c r="F128" s="2641"/>
      <c r="G128" s="2641"/>
      <c r="H128" s="2641"/>
      <c r="I128" s="2641"/>
      <c r="J128" s="2641"/>
      <c r="K128" s="2641"/>
      <c r="L128" s="2641"/>
      <c r="M128" s="2641"/>
      <c r="N128" s="2641"/>
      <c r="O128" s="2641"/>
      <c r="P128" s="2654"/>
      <c r="Q128" s="2720">
        <v>55</v>
      </c>
      <c r="R128" s="2721"/>
      <c r="S128" s="2722"/>
      <c r="T128" s="2728" t="str">
        <f>_xlfn.CONCAT(Application!AC515,"/", Application!AH515)</f>
        <v>N/A/</v>
      </c>
      <c r="U128" s="2729"/>
      <c r="V128" s="2729"/>
      <c r="W128" s="2729"/>
      <c r="X128" s="2729"/>
      <c r="Y128" s="2729"/>
      <c r="Z128" s="2729"/>
      <c r="AA128" s="2729"/>
      <c r="AB128" s="1544"/>
      <c r="AC128" s="1545"/>
      <c r="AD128" s="1545"/>
      <c r="AE128" s="1545"/>
      <c r="AF128" s="1545"/>
      <c r="AG128" s="1546"/>
      <c r="AH128" s="1527"/>
      <c r="AI128" s="1527"/>
      <c r="AJ128" s="1527"/>
      <c r="AK128" s="1527"/>
      <c r="AL128" s="1527"/>
      <c r="AM128" s="1527"/>
      <c r="AN128" s="1527"/>
      <c r="AO128" s="1527"/>
      <c r="AP128" s="1527"/>
      <c r="AQ128" s="1527"/>
      <c r="AR128" s="1527"/>
      <c r="AS128" s="1527"/>
      <c r="AT128" s="1527"/>
      <c r="AU128" s="1527"/>
      <c r="AV128" s="1527"/>
      <c r="AW128" s="1527"/>
      <c r="AX128" s="1527"/>
      <c r="AY128" s="1527"/>
      <c r="AZ128" s="1527"/>
      <c r="BA128" s="1527"/>
      <c r="BB128" s="1527"/>
      <c r="BC128" s="1527"/>
      <c r="BD128" s="1527"/>
      <c r="BE128" s="1533"/>
    </row>
    <row r="129" spans="1:57" ht="15.75" customHeight="1">
      <c r="A129" s="1816"/>
      <c r="B129" s="1527"/>
      <c r="C129" s="2640" t="s">
        <v>2117</v>
      </c>
      <c r="D129" s="2641"/>
      <c r="E129" s="2641"/>
      <c r="F129" s="2641"/>
      <c r="G129" s="2641"/>
      <c r="H129" s="2641"/>
      <c r="I129" s="2641"/>
      <c r="J129" s="2641"/>
      <c r="K129" s="2641"/>
      <c r="L129" s="2641"/>
      <c r="M129" s="2641"/>
      <c r="N129" s="2641"/>
      <c r="O129" s="2641"/>
      <c r="P129" s="2654"/>
      <c r="Q129" s="2720">
        <v>55</v>
      </c>
      <c r="R129" s="2721"/>
      <c r="S129" s="2722"/>
      <c r="T129" s="2723"/>
      <c r="U129" s="2724"/>
      <c r="V129" s="2724"/>
      <c r="W129" s="2724"/>
      <c r="X129" s="2724"/>
      <c r="Y129" s="2724"/>
      <c r="Z129" s="2724"/>
      <c r="AA129" s="2724"/>
      <c r="AB129" s="1544"/>
      <c r="AC129" s="1545"/>
      <c r="AD129" s="1545"/>
      <c r="AE129" s="1545"/>
      <c r="AF129" s="1545"/>
      <c r="AG129" s="1546"/>
      <c r="AH129" s="1527"/>
      <c r="AI129" s="1527"/>
      <c r="AJ129" s="1527"/>
      <c r="AK129" s="1527"/>
      <c r="AL129" s="1527"/>
      <c r="AM129" s="1527"/>
      <c r="AN129" s="1527"/>
      <c r="AO129" s="1527"/>
      <c r="AP129" s="1527"/>
      <c r="AQ129" s="1527"/>
      <c r="AR129" s="1527"/>
      <c r="AS129" s="1527"/>
      <c r="AT129" s="1527"/>
      <c r="AU129" s="1527"/>
      <c r="AV129" s="1527"/>
      <c r="AW129" s="1527"/>
      <c r="AX129" s="1527"/>
      <c r="AY129" s="1527"/>
      <c r="AZ129" s="1527"/>
      <c r="BA129" s="1527"/>
      <c r="BB129" s="1527"/>
      <c r="BC129" s="1527"/>
      <c r="BD129" s="1527"/>
      <c r="BE129" s="1533"/>
    </row>
    <row r="130" spans="1:57" ht="15.75" customHeight="1" thickBot="1">
      <c r="A130" s="1816"/>
      <c r="B130" s="1527"/>
      <c r="C130" s="2640" t="s">
        <v>2118</v>
      </c>
      <c r="D130" s="2641"/>
      <c r="E130" s="2641"/>
      <c r="F130" s="2641"/>
      <c r="G130" s="2641"/>
      <c r="H130" s="2641"/>
      <c r="I130" s="2641"/>
      <c r="J130" s="2641"/>
      <c r="K130" s="2641"/>
      <c r="L130" s="2641"/>
      <c r="M130" s="2641"/>
      <c r="N130" s="2641"/>
      <c r="O130" s="2641"/>
      <c r="P130" s="2654"/>
      <c r="Q130" s="2725"/>
      <c r="R130" s="2726"/>
      <c r="S130" s="2727"/>
      <c r="T130" s="2714"/>
      <c r="U130" s="2715"/>
      <c r="V130" s="2715"/>
      <c r="W130" s="2715"/>
      <c r="X130" s="2715"/>
      <c r="Y130" s="2715"/>
      <c r="Z130" s="2715"/>
      <c r="AA130" s="2715"/>
      <c r="AB130" s="1547"/>
      <c r="AC130" s="1548"/>
      <c r="AD130" s="1548"/>
      <c r="AE130" s="1548"/>
      <c r="AF130" s="1548"/>
      <c r="AG130" s="1549"/>
      <c r="AH130" s="1527"/>
      <c r="AI130" s="1527"/>
      <c r="AJ130" s="1527"/>
      <c r="AK130" s="1527"/>
      <c r="AL130" s="1527"/>
      <c r="AM130" s="1527"/>
      <c r="AN130" s="1527"/>
      <c r="AO130" s="1527"/>
      <c r="AP130" s="1527"/>
      <c r="AQ130" s="1527"/>
      <c r="AR130" s="1527"/>
      <c r="AS130" s="1527"/>
      <c r="AT130" s="1527"/>
      <c r="AU130" s="1527"/>
      <c r="AV130" s="1527"/>
      <c r="AW130" s="1527"/>
      <c r="AX130" s="1527"/>
      <c r="AY130" s="1527"/>
      <c r="AZ130" s="1527"/>
      <c r="BA130" s="1527"/>
      <c r="BB130" s="1527"/>
      <c r="BC130" s="1527"/>
      <c r="BD130" s="1527"/>
      <c r="BE130" s="1533"/>
    </row>
    <row r="131" spans="1:57" ht="15.75" customHeight="1">
      <c r="A131" s="1816"/>
      <c r="B131" s="1527"/>
      <c r="C131" s="2640" t="s">
        <v>2071</v>
      </c>
      <c r="D131" s="2641"/>
      <c r="E131" s="2641"/>
      <c r="F131" s="2641"/>
      <c r="G131" s="2641"/>
      <c r="H131" s="2641"/>
      <c r="I131" s="2641"/>
      <c r="J131" s="2641"/>
      <c r="K131" s="2641"/>
      <c r="L131" s="2641"/>
      <c r="M131" s="2641"/>
      <c r="N131" s="2641"/>
      <c r="O131" s="2641"/>
      <c r="P131" s="2654"/>
      <c r="Q131" s="2711">
        <f>Application!AG400</f>
        <v>0</v>
      </c>
      <c r="R131" s="2712"/>
      <c r="S131" s="2713"/>
      <c r="T131" s="2714"/>
      <c r="U131" s="2715"/>
      <c r="V131" s="2715"/>
      <c r="W131" s="2715"/>
      <c r="X131" s="2715"/>
      <c r="Y131" s="2715"/>
      <c r="Z131" s="2715"/>
      <c r="AA131" s="2716"/>
      <c r="AB131" s="2717">
        <f>Application!AE401</f>
        <v>0</v>
      </c>
      <c r="AC131" s="2718"/>
      <c r="AD131" s="2718"/>
      <c r="AE131" s="2718"/>
      <c r="AF131" s="2718"/>
      <c r="AG131" s="2719"/>
      <c r="AH131" s="1527"/>
      <c r="AI131" s="1527"/>
      <c r="AJ131" s="1527"/>
      <c r="AK131" s="1527"/>
      <c r="AL131" s="1527"/>
      <c r="AM131" s="1527"/>
      <c r="AN131" s="1527"/>
      <c r="AO131" s="1527"/>
      <c r="AP131" s="1527"/>
      <c r="AQ131" s="1527"/>
      <c r="AR131" s="1527"/>
      <c r="AS131" s="1527"/>
      <c r="AT131" s="1527"/>
      <c r="AU131" s="1527"/>
      <c r="AV131" s="1527"/>
      <c r="AW131" s="1527"/>
      <c r="AX131" s="1527"/>
      <c r="AY131" s="1527"/>
      <c r="AZ131" s="1527"/>
      <c r="BA131" s="1527"/>
      <c r="BB131" s="1527"/>
      <c r="BC131" s="1527"/>
      <c r="BD131" s="1527"/>
      <c r="BE131" s="1533"/>
    </row>
    <row r="132" spans="1:57" ht="15.75" customHeight="1" thickBot="1">
      <c r="A132" s="1816"/>
      <c r="B132" s="1527"/>
      <c r="C132" s="2699" t="s">
        <v>175</v>
      </c>
      <c r="D132" s="2700"/>
      <c r="E132" s="2700"/>
      <c r="F132" s="2631" t="s">
        <v>2119</v>
      </c>
      <c r="G132" s="2631"/>
      <c r="H132" s="2631"/>
      <c r="I132" s="2631"/>
      <c r="J132" s="2631"/>
      <c r="K132" s="2631"/>
      <c r="L132" s="2631"/>
      <c r="M132" s="2631"/>
      <c r="N132" s="2631"/>
      <c r="O132" s="2631"/>
      <c r="P132" s="2631"/>
      <c r="Q132" s="2701">
        <v>55</v>
      </c>
      <c r="R132" s="2701"/>
      <c r="S132" s="2701"/>
      <c r="T132" s="2702"/>
      <c r="U132" s="2702"/>
      <c r="V132" s="2702"/>
      <c r="W132" s="2702"/>
      <c r="X132" s="2702"/>
      <c r="Y132" s="2702"/>
      <c r="Z132" s="2702"/>
      <c r="AA132" s="2702"/>
      <c r="AB132" s="2703"/>
      <c r="AC132" s="2704"/>
      <c r="AD132" s="2704"/>
      <c r="AE132" s="2704"/>
      <c r="AF132" s="2704"/>
      <c r="AG132" s="2705"/>
      <c r="AH132" s="1527"/>
      <c r="AI132" s="1527"/>
      <c r="AJ132" s="1527"/>
      <c r="AK132" s="1527" t="s">
        <v>256</v>
      </c>
      <c r="AL132" s="1527"/>
      <c r="AM132" s="1527"/>
      <c r="AN132" s="1527"/>
      <c r="AO132" s="1527"/>
      <c r="AP132" s="1527"/>
      <c r="AQ132" s="1527"/>
      <c r="AR132" s="1527"/>
      <c r="AS132" s="1527"/>
      <c r="AT132" s="1527"/>
      <c r="AU132" s="1527"/>
      <c r="AV132" s="1527"/>
      <c r="AW132" s="1527"/>
      <c r="AX132" s="1527"/>
      <c r="AY132" s="1527"/>
      <c r="AZ132" s="1527"/>
      <c r="BA132" s="1527"/>
      <c r="BB132" s="1527"/>
      <c r="BC132" s="1527"/>
      <c r="BD132" s="1527"/>
      <c r="BE132" s="1533"/>
    </row>
    <row r="133" spans="1:57" ht="15.75" customHeight="1" thickBot="1">
      <c r="A133" s="1816"/>
      <c r="B133" s="1527"/>
      <c r="C133" s="2699" t="s">
        <v>175</v>
      </c>
      <c r="D133" s="2700"/>
      <c r="E133" s="2700"/>
      <c r="F133" s="2631" t="s">
        <v>2119</v>
      </c>
      <c r="G133" s="2631"/>
      <c r="H133" s="2631"/>
      <c r="I133" s="2631"/>
      <c r="J133" s="2631"/>
      <c r="K133" s="2631"/>
      <c r="L133" s="2631"/>
      <c r="M133" s="2631"/>
      <c r="N133" s="2631"/>
      <c r="O133" s="2631"/>
      <c r="P133" s="2631"/>
      <c r="Q133" s="2701">
        <v>55</v>
      </c>
      <c r="R133" s="2701"/>
      <c r="S133" s="2701"/>
      <c r="T133" s="2702"/>
      <c r="U133" s="2702"/>
      <c r="V133" s="2702"/>
      <c r="W133" s="2702"/>
      <c r="X133" s="2702"/>
      <c r="Y133" s="2702"/>
      <c r="Z133" s="2702"/>
      <c r="AA133" s="2702"/>
      <c r="AB133" s="2703"/>
      <c r="AC133" s="2704"/>
      <c r="AD133" s="2704"/>
      <c r="AE133" s="2704"/>
      <c r="AF133" s="2704"/>
      <c r="AG133" s="2705"/>
      <c r="AH133" s="1527"/>
      <c r="AI133" s="1527"/>
      <c r="AJ133" s="1527"/>
      <c r="AK133" s="1527"/>
      <c r="AL133" s="1527"/>
      <c r="AM133" s="1527"/>
      <c r="AN133" s="1527"/>
      <c r="AO133" s="1527"/>
      <c r="AP133" s="1527"/>
      <c r="AQ133" s="1527"/>
      <c r="AR133" s="1527"/>
      <c r="AS133" s="1527"/>
      <c r="AT133" s="1527"/>
      <c r="AU133" s="1527"/>
      <c r="AV133" s="1527"/>
      <c r="AW133" s="1527"/>
      <c r="AX133" s="1527"/>
      <c r="AY133" s="1527"/>
      <c r="AZ133" s="1527"/>
      <c r="BA133" s="1527"/>
      <c r="BB133" s="1527"/>
      <c r="BC133" s="1527"/>
      <c r="BD133" s="1527"/>
      <c r="BE133" s="1533"/>
    </row>
    <row r="134" spans="1:57" ht="15.75" customHeight="1" thickBot="1">
      <c r="A134" s="1816"/>
      <c r="B134" s="1527"/>
      <c r="C134" s="2699" t="s">
        <v>175</v>
      </c>
      <c r="D134" s="2700"/>
      <c r="E134" s="2700"/>
      <c r="F134" s="2616" t="s">
        <v>2119</v>
      </c>
      <c r="G134" s="2616"/>
      <c r="H134" s="2616"/>
      <c r="I134" s="2616"/>
      <c r="J134" s="2616"/>
      <c r="K134" s="2616"/>
      <c r="L134" s="2616"/>
      <c r="M134" s="2616"/>
      <c r="N134" s="2616"/>
      <c r="O134" s="2616"/>
      <c r="P134" s="2616"/>
      <c r="Q134" s="2706">
        <v>55</v>
      </c>
      <c r="R134" s="2706"/>
      <c r="S134" s="2706"/>
      <c r="T134" s="2707"/>
      <c r="U134" s="2707"/>
      <c r="V134" s="2707"/>
      <c r="W134" s="2707"/>
      <c r="X134" s="2707"/>
      <c r="Y134" s="2707"/>
      <c r="Z134" s="2707"/>
      <c r="AA134" s="2707"/>
      <c r="AB134" s="2708"/>
      <c r="AC134" s="2709"/>
      <c r="AD134" s="2709"/>
      <c r="AE134" s="2709"/>
      <c r="AF134" s="2709"/>
      <c r="AG134" s="2710"/>
      <c r="AH134" s="1527"/>
      <c r="AI134" s="1527"/>
      <c r="AJ134" s="1527"/>
      <c r="AK134" s="1527"/>
      <c r="AL134" s="1527"/>
      <c r="AM134" s="1527"/>
      <c r="AN134" s="1527"/>
      <c r="AO134" s="1527"/>
      <c r="AP134" s="1527"/>
      <c r="AQ134" s="1527"/>
      <c r="AR134" s="1527"/>
      <c r="AS134" s="1527"/>
      <c r="AT134" s="1527"/>
      <c r="AU134" s="1527"/>
      <c r="AV134" s="1527"/>
      <c r="AW134" s="1527"/>
      <c r="AX134" s="1527"/>
      <c r="AY134" s="1527"/>
      <c r="AZ134" s="1527"/>
      <c r="BA134" s="1527"/>
      <c r="BB134" s="1527"/>
      <c r="BC134" s="1527"/>
      <c r="BD134" s="1527"/>
      <c r="BE134" s="1533"/>
    </row>
    <row r="135" spans="1:57" ht="15.75" customHeight="1" thickBot="1">
      <c r="A135" s="1816"/>
      <c r="B135" s="1527"/>
      <c r="C135" s="1527"/>
      <c r="D135" s="1527"/>
      <c r="E135" s="1527"/>
      <c r="F135" s="1527"/>
      <c r="G135" s="1527"/>
      <c r="H135" s="1527"/>
      <c r="I135" s="1527"/>
      <c r="J135" s="1527"/>
      <c r="K135" s="1527"/>
      <c r="L135" s="1527"/>
      <c r="M135" s="1527"/>
      <c r="N135" s="1527"/>
      <c r="O135" s="1527"/>
      <c r="P135" s="1527"/>
      <c r="Q135" s="1527"/>
      <c r="R135" s="1527"/>
      <c r="S135" s="1527"/>
      <c r="T135" s="1527"/>
      <c r="U135" s="1527"/>
      <c r="V135" s="1527"/>
      <c r="W135" s="1527"/>
      <c r="X135" s="1527"/>
      <c r="Y135" s="1527"/>
      <c r="Z135" s="1527"/>
      <c r="AA135" s="1527"/>
      <c r="AB135" s="1527"/>
      <c r="AC135" s="1527"/>
      <c r="AD135" s="1527"/>
      <c r="AE135" s="1527"/>
      <c r="AF135" s="1527"/>
      <c r="AG135" s="1527"/>
      <c r="AH135" s="1527"/>
      <c r="AI135" s="1527"/>
      <c r="AJ135" s="1527"/>
      <c r="AK135" s="1527"/>
      <c r="AL135" s="1527"/>
      <c r="AM135" s="1527"/>
      <c r="AN135" s="1527"/>
      <c r="AO135" s="1527"/>
      <c r="AP135" s="1527"/>
      <c r="AQ135" s="1527"/>
      <c r="AR135" s="1527"/>
      <c r="AS135" s="1527"/>
      <c r="AT135" s="1527"/>
      <c r="AU135" s="1527"/>
      <c r="AV135" s="1527"/>
      <c r="AW135" s="1527"/>
      <c r="AX135" s="1527"/>
      <c r="AY135" s="1527"/>
      <c r="AZ135" s="1527"/>
      <c r="BA135" s="1527"/>
      <c r="BB135" s="1527"/>
      <c r="BC135" s="1527"/>
      <c r="BD135" s="1527"/>
      <c r="BE135" s="1533"/>
    </row>
    <row r="136" spans="1:57" ht="15.75" customHeight="1" thickBot="1">
      <c r="A136" s="1816"/>
      <c r="B136" s="1527"/>
      <c r="C136" s="2684" t="s">
        <v>2120</v>
      </c>
      <c r="D136" s="2685"/>
      <c r="E136" s="2685"/>
      <c r="F136" s="2685"/>
      <c r="G136" s="2685"/>
      <c r="H136" s="2685"/>
      <c r="I136" s="2685"/>
      <c r="J136" s="2685"/>
      <c r="K136" s="2685"/>
      <c r="L136" s="2685"/>
      <c r="M136" s="2685"/>
      <c r="N136" s="2686"/>
      <c r="O136" s="1527"/>
      <c r="P136" s="2687" t="s">
        <v>2121</v>
      </c>
      <c r="Q136" s="2688"/>
      <c r="R136" s="2688"/>
      <c r="S136" s="2688"/>
      <c r="T136" s="2688"/>
      <c r="U136" s="2688"/>
      <c r="V136" s="2688"/>
      <c r="W136" s="2688"/>
      <c r="X136" s="2688"/>
      <c r="Y136" s="2688"/>
      <c r="Z136" s="2688"/>
      <c r="AA136" s="2688"/>
      <c r="AB136" s="2688"/>
      <c r="AC136" s="2688"/>
      <c r="AD136" s="2688"/>
      <c r="AE136" s="2688"/>
      <c r="AF136" s="2688"/>
      <c r="AG136" s="2688"/>
      <c r="AH136" s="2688"/>
      <c r="AI136" s="2688"/>
      <c r="AJ136" s="2688"/>
      <c r="AK136" s="2688"/>
      <c r="AL136" s="2688"/>
      <c r="AM136" s="2688"/>
      <c r="AN136" s="2688"/>
      <c r="AO136" s="2689"/>
      <c r="AP136" s="1527"/>
      <c r="AQ136" s="1527"/>
      <c r="AR136" s="1527"/>
      <c r="AS136" s="1527"/>
      <c r="AT136" s="1527"/>
      <c r="AU136" s="1527"/>
      <c r="AV136" s="1527"/>
      <c r="AW136" s="1527"/>
      <c r="AX136" s="1527"/>
      <c r="AY136" s="1527"/>
      <c r="AZ136" s="1527"/>
      <c r="BA136" s="1527"/>
      <c r="BB136" s="1527"/>
      <c r="BC136" s="1527"/>
      <c r="BD136" s="1527"/>
      <c r="BE136" s="1533"/>
    </row>
    <row r="137" spans="1:57" ht="15.75" customHeight="1">
      <c r="A137" s="1816"/>
      <c r="B137" s="1527"/>
      <c r="C137" s="2690" t="s">
        <v>2122</v>
      </c>
      <c r="D137" s="2691"/>
      <c r="E137" s="2691"/>
      <c r="F137" s="2691"/>
      <c r="G137" s="2691"/>
      <c r="H137" s="2692"/>
      <c r="I137" s="2690" t="s">
        <v>2123</v>
      </c>
      <c r="J137" s="2691"/>
      <c r="K137" s="2691"/>
      <c r="L137" s="2691"/>
      <c r="M137" s="2691"/>
      <c r="N137" s="2692"/>
      <c r="O137" s="1527"/>
      <c r="P137" s="2693"/>
      <c r="Q137" s="2694"/>
      <c r="R137" s="2694"/>
      <c r="S137" s="2694"/>
      <c r="T137" s="2694"/>
      <c r="U137" s="2694"/>
      <c r="V137" s="2694"/>
      <c r="W137" s="2694"/>
      <c r="X137" s="2694"/>
      <c r="Y137" s="2694"/>
      <c r="Z137" s="2694"/>
      <c r="AA137" s="2694"/>
      <c r="AB137" s="2694"/>
      <c r="AC137" s="2694"/>
      <c r="AD137" s="2694"/>
      <c r="AE137" s="2694"/>
      <c r="AF137" s="2694"/>
      <c r="AG137" s="2694"/>
      <c r="AH137" s="2694"/>
      <c r="AI137" s="2694"/>
      <c r="AJ137" s="2694"/>
      <c r="AK137" s="2694"/>
      <c r="AL137" s="2694"/>
      <c r="AM137" s="2694"/>
      <c r="AN137" s="2694"/>
      <c r="AO137" s="2695"/>
      <c r="AP137" s="1527"/>
      <c r="AQ137" s="1527"/>
      <c r="AR137" s="1527"/>
      <c r="AS137" s="1527"/>
      <c r="AT137" s="1527"/>
      <c r="AU137" s="1527"/>
      <c r="AV137" s="1527"/>
      <c r="AW137" s="1527"/>
      <c r="AX137" s="1527"/>
      <c r="AY137" s="1527"/>
      <c r="AZ137" s="1527"/>
      <c r="BA137" s="1527"/>
      <c r="BB137" s="1527"/>
      <c r="BC137" s="1527"/>
      <c r="BD137" s="1527"/>
      <c r="BE137" s="1533"/>
    </row>
    <row r="138" spans="1:57" ht="15.75" customHeight="1">
      <c r="A138" s="1816"/>
      <c r="B138" s="1527"/>
      <c r="C138" s="2672"/>
      <c r="D138" s="2672"/>
      <c r="E138" s="2672"/>
      <c r="F138" s="2672"/>
      <c r="G138" s="2672"/>
      <c r="H138" s="2672"/>
      <c r="I138" s="2673"/>
      <c r="J138" s="2673"/>
      <c r="K138" s="2673"/>
      <c r="L138" s="2673"/>
      <c r="M138" s="2673"/>
      <c r="N138" s="2673"/>
      <c r="O138" s="1527"/>
      <c r="P138" s="2693"/>
      <c r="Q138" s="2694"/>
      <c r="R138" s="2694"/>
      <c r="S138" s="2694"/>
      <c r="T138" s="2694"/>
      <c r="U138" s="2694"/>
      <c r="V138" s="2694"/>
      <c r="W138" s="2694"/>
      <c r="X138" s="2694"/>
      <c r="Y138" s="2694"/>
      <c r="Z138" s="2694"/>
      <c r="AA138" s="2694"/>
      <c r="AB138" s="2694"/>
      <c r="AC138" s="2694"/>
      <c r="AD138" s="2694"/>
      <c r="AE138" s="2694"/>
      <c r="AF138" s="2694"/>
      <c r="AG138" s="2694"/>
      <c r="AH138" s="2694"/>
      <c r="AI138" s="2694"/>
      <c r="AJ138" s="2694"/>
      <c r="AK138" s="2694"/>
      <c r="AL138" s="2694"/>
      <c r="AM138" s="2694"/>
      <c r="AN138" s="2694"/>
      <c r="AO138" s="2695"/>
      <c r="AP138" s="1527"/>
      <c r="AQ138" s="1527"/>
      <c r="AR138" s="1527"/>
      <c r="AS138" s="1527"/>
      <c r="AT138" s="1527"/>
      <c r="AU138" s="1527"/>
      <c r="AV138" s="1527"/>
      <c r="AW138" s="1527"/>
      <c r="AX138" s="1527"/>
      <c r="AY138" s="1527"/>
      <c r="AZ138" s="1527"/>
      <c r="BA138" s="1527"/>
      <c r="BB138" s="1527"/>
      <c r="BC138" s="1527"/>
      <c r="BD138" s="1527"/>
      <c r="BE138" s="1533"/>
    </row>
    <row r="139" spans="1:57" ht="15.75" customHeight="1">
      <c r="A139" s="1816"/>
      <c r="B139" s="1527"/>
      <c r="C139" s="2672"/>
      <c r="D139" s="2672"/>
      <c r="E139" s="2672"/>
      <c r="F139" s="2672"/>
      <c r="G139" s="2672"/>
      <c r="H139" s="2672"/>
      <c r="I139" s="2673"/>
      <c r="J139" s="2673"/>
      <c r="K139" s="2673"/>
      <c r="L139" s="2673"/>
      <c r="M139" s="2673"/>
      <c r="N139" s="2673"/>
      <c r="O139" s="1527"/>
      <c r="P139" s="2693"/>
      <c r="Q139" s="2694"/>
      <c r="R139" s="2694"/>
      <c r="S139" s="2694"/>
      <c r="T139" s="2694"/>
      <c r="U139" s="2694"/>
      <c r="V139" s="2694"/>
      <c r="W139" s="2694"/>
      <c r="X139" s="2694"/>
      <c r="Y139" s="2694"/>
      <c r="Z139" s="2694"/>
      <c r="AA139" s="2694"/>
      <c r="AB139" s="2694"/>
      <c r="AC139" s="2694"/>
      <c r="AD139" s="2694"/>
      <c r="AE139" s="2694"/>
      <c r="AF139" s="2694"/>
      <c r="AG139" s="2694"/>
      <c r="AH139" s="2694"/>
      <c r="AI139" s="2694"/>
      <c r="AJ139" s="2694"/>
      <c r="AK139" s="2694"/>
      <c r="AL139" s="2694"/>
      <c r="AM139" s="2694"/>
      <c r="AN139" s="2694"/>
      <c r="AO139" s="2695"/>
      <c r="AP139" s="1527"/>
      <c r="AQ139" s="1527"/>
      <c r="AR139" s="1527"/>
      <c r="AS139" s="1527"/>
      <c r="AT139" s="1527"/>
      <c r="AU139" s="1527"/>
      <c r="AV139" s="1527"/>
      <c r="AW139" s="1527"/>
      <c r="AX139" s="1527"/>
      <c r="AY139" s="1527"/>
      <c r="AZ139" s="1527"/>
      <c r="BA139" s="1527"/>
      <c r="BB139" s="1527"/>
      <c r="BC139" s="1527"/>
      <c r="BD139" s="1527"/>
      <c r="BE139" s="1533"/>
    </row>
    <row r="140" spans="1:57" ht="15.75" customHeight="1">
      <c r="A140" s="1816"/>
      <c r="B140" s="1527"/>
      <c r="C140" s="2672"/>
      <c r="D140" s="2672"/>
      <c r="E140" s="2672"/>
      <c r="F140" s="2672"/>
      <c r="G140" s="2672"/>
      <c r="H140" s="2672"/>
      <c r="I140" s="2673"/>
      <c r="J140" s="2673"/>
      <c r="K140" s="2673"/>
      <c r="L140" s="2673"/>
      <c r="M140" s="2673"/>
      <c r="N140" s="2673"/>
      <c r="O140" s="1527"/>
      <c r="P140" s="2693"/>
      <c r="Q140" s="2694"/>
      <c r="R140" s="2694"/>
      <c r="S140" s="2694"/>
      <c r="T140" s="2694"/>
      <c r="U140" s="2694"/>
      <c r="V140" s="2694"/>
      <c r="W140" s="2694"/>
      <c r="X140" s="2694"/>
      <c r="Y140" s="2694"/>
      <c r="Z140" s="2694"/>
      <c r="AA140" s="2694"/>
      <c r="AB140" s="2694"/>
      <c r="AC140" s="2694"/>
      <c r="AD140" s="2694"/>
      <c r="AE140" s="2694"/>
      <c r="AF140" s="2694"/>
      <c r="AG140" s="2694"/>
      <c r="AH140" s="2694"/>
      <c r="AI140" s="2694"/>
      <c r="AJ140" s="2694"/>
      <c r="AK140" s="2694"/>
      <c r="AL140" s="2694"/>
      <c r="AM140" s="2694"/>
      <c r="AN140" s="2694"/>
      <c r="AO140" s="2695"/>
      <c r="AP140" s="1527"/>
      <c r="AQ140" s="1527"/>
      <c r="AR140" s="1527"/>
      <c r="AS140" s="1527"/>
      <c r="AT140" s="1527"/>
      <c r="AU140" s="1527"/>
      <c r="AV140" s="1527"/>
      <c r="AW140" s="1527"/>
      <c r="AX140" s="1527"/>
      <c r="AY140" s="1527"/>
      <c r="AZ140" s="1527"/>
      <c r="BA140" s="1527"/>
      <c r="BB140" s="1527"/>
      <c r="BC140" s="1527"/>
      <c r="BD140" s="1527"/>
      <c r="BE140" s="1533"/>
    </row>
    <row r="141" spans="1:57" ht="15.75" customHeight="1">
      <c r="A141" s="1816"/>
      <c r="B141" s="1527"/>
      <c r="C141" s="2672"/>
      <c r="D141" s="2672"/>
      <c r="E141" s="2672"/>
      <c r="F141" s="2672"/>
      <c r="G141" s="2672"/>
      <c r="H141" s="2672"/>
      <c r="I141" s="2673"/>
      <c r="J141" s="2673"/>
      <c r="K141" s="2673"/>
      <c r="L141" s="2673"/>
      <c r="M141" s="2673"/>
      <c r="N141" s="2673"/>
      <c r="O141" s="1527"/>
      <c r="P141" s="2693"/>
      <c r="Q141" s="2694"/>
      <c r="R141" s="2694"/>
      <c r="S141" s="2694"/>
      <c r="T141" s="2694"/>
      <c r="U141" s="2694"/>
      <c r="V141" s="2694"/>
      <c r="W141" s="2694"/>
      <c r="X141" s="2694"/>
      <c r="Y141" s="2694"/>
      <c r="Z141" s="2694"/>
      <c r="AA141" s="2694"/>
      <c r="AB141" s="2694"/>
      <c r="AC141" s="2694"/>
      <c r="AD141" s="2694"/>
      <c r="AE141" s="2694"/>
      <c r="AF141" s="2694"/>
      <c r="AG141" s="2694"/>
      <c r="AH141" s="2694"/>
      <c r="AI141" s="2694"/>
      <c r="AJ141" s="2694"/>
      <c r="AK141" s="2694"/>
      <c r="AL141" s="2694"/>
      <c r="AM141" s="2694"/>
      <c r="AN141" s="2694"/>
      <c r="AO141" s="2695"/>
      <c r="AP141" s="1527"/>
      <c r="AQ141" s="1527"/>
      <c r="AR141" s="1527"/>
      <c r="AS141" s="1527"/>
      <c r="AT141" s="1527"/>
      <c r="AU141" s="1527"/>
      <c r="AV141" s="1527"/>
      <c r="AW141" s="1527"/>
      <c r="AX141" s="1527"/>
      <c r="AY141" s="1527"/>
      <c r="AZ141" s="1527"/>
      <c r="BA141" s="1527"/>
      <c r="BB141" s="1527"/>
      <c r="BC141" s="1527"/>
      <c r="BD141" s="1527"/>
      <c r="BE141" s="1533"/>
    </row>
    <row r="142" spans="1:57" ht="15.75" customHeight="1">
      <c r="A142" s="1816"/>
      <c r="B142" s="1527"/>
      <c r="C142" s="2672"/>
      <c r="D142" s="2672"/>
      <c r="E142" s="2672"/>
      <c r="F142" s="2672"/>
      <c r="G142" s="2672"/>
      <c r="H142" s="2672"/>
      <c r="I142" s="2673"/>
      <c r="J142" s="2673"/>
      <c r="K142" s="2673"/>
      <c r="L142" s="2673"/>
      <c r="M142" s="2673"/>
      <c r="N142" s="2673"/>
      <c r="O142" s="1527"/>
      <c r="P142" s="2693"/>
      <c r="Q142" s="2694"/>
      <c r="R142" s="2694"/>
      <c r="S142" s="2694"/>
      <c r="T142" s="2694"/>
      <c r="U142" s="2694"/>
      <c r="V142" s="2694"/>
      <c r="W142" s="2694"/>
      <c r="X142" s="2694"/>
      <c r="Y142" s="2694"/>
      <c r="Z142" s="2694"/>
      <c r="AA142" s="2694"/>
      <c r="AB142" s="2694"/>
      <c r="AC142" s="2694"/>
      <c r="AD142" s="2694"/>
      <c r="AE142" s="2694"/>
      <c r="AF142" s="2694"/>
      <c r="AG142" s="2694"/>
      <c r="AH142" s="2694"/>
      <c r="AI142" s="2694"/>
      <c r="AJ142" s="2694"/>
      <c r="AK142" s="2694"/>
      <c r="AL142" s="2694"/>
      <c r="AM142" s="2694"/>
      <c r="AN142" s="2694"/>
      <c r="AO142" s="2695"/>
      <c r="AP142" s="1527"/>
      <c r="AQ142" s="1527"/>
      <c r="AR142" s="1527"/>
      <c r="AS142" s="1527"/>
      <c r="AT142" s="1527"/>
      <c r="AU142" s="1527"/>
      <c r="AV142" s="1527"/>
      <c r="AW142" s="1527"/>
      <c r="AX142" s="1527"/>
      <c r="AY142" s="1527"/>
      <c r="AZ142" s="1527"/>
      <c r="BA142" s="1527"/>
      <c r="BB142" s="1527"/>
      <c r="BC142" s="1527"/>
      <c r="BD142" s="1527"/>
      <c r="BE142" s="1533"/>
    </row>
    <row r="143" spans="1:57" ht="15.75" customHeight="1">
      <c r="A143" s="1816"/>
      <c r="B143" s="1527"/>
      <c r="C143" s="2672"/>
      <c r="D143" s="2672"/>
      <c r="E143" s="2672"/>
      <c r="F143" s="2672"/>
      <c r="G143" s="2672"/>
      <c r="H143" s="2672"/>
      <c r="I143" s="2673"/>
      <c r="J143" s="2673"/>
      <c r="K143" s="2673"/>
      <c r="L143" s="2673"/>
      <c r="M143" s="2673"/>
      <c r="N143" s="2673"/>
      <c r="O143" s="1527"/>
      <c r="P143" s="2693"/>
      <c r="Q143" s="2694"/>
      <c r="R143" s="2694"/>
      <c r="S143" s="2694"/>
      <c r="T143" s="2694"/>
      <c r="U143" s="2694"/>
      <c r="V143" s="2694"/>
      <c r="W143" s="2694"/>
      <c r="X143" s="2694"/>
      <c r="Y143" s="2694"/>
      <c r="Z143" s="2694"/>
      <c r="AA143" s="2694"/>
      <c r="AB143" s="2694"/>
      <c r="AC143" s="2694"/>
      <c r="AD143" s="2694"/>
      <c r="AE143" s="2694"/>
      <c r="AF143" s="2694"/>
      <c r="AG143" s="2694"/>
      <c r="AH143" s="2694"/>
      <c r="AI143" s="2694"/>
      <c r="AJ143" s="2694"/>
      <c r="AK143" s="2694"/>
      <c r="AL143" s="2694"/>
      <c r="AM143" s="2694"/>
      <c r="AN143" s="2694"/>
      <c r="AO143" s="2695"/>
      <c r="AP143" s="1527"/>
      <c r="AQ143" s="1527"/>
      <c r="AR143" s="1527"/>
      <c r="AS143" s="1527"/>
      <c r="AT143" s="1527"/>
      <c r="AU143" s="1527"/>
      <c r="AV143" s="1527"/>
      <c r="AW143" s="1527"/>
      <c r="AX143" s="1527"/>
      <c r="AY143" s="1527"/>
      <c r="AZ143" s="1527"/>
      <c r="BA143" s="1527"/>
      <c r="BB143" s="1527"/>
      <c r="BC143" s="1527"/>
      <c r="BD143" s="1527"/>
      <c r="BE143" s="1533"/>
    </row>
    <row r="144" spans="1:57" ht="15.75" customHeight="1" thickBot="1">
      <c r="A144" s="1816"/>
      <c r="B144" s="1527"/>
      <c r="C144" s="2672"/>
      <c r="D144" s="2672"/>
      <c r="E144" s="2672"/>
      <c r="F144" s="2672"/>
      <c r="G144" s="2672"/>
      <c r="H144" s="2672"/>
      <c r="I144" s="2673"/>
      <c r="J144" s="2673"/>
      <c r="K144" s="2673"/>
      <c r="L144" s="2673"/>
      <c r="M144" s="2673"/>
      <c r="N144" s="2673"/>
      <c r="O144" s="1527"/>
      <c r="P144" s="2696"/>
      <c r="Q144" s="2697"/>
      <c r="R144" s="2697"/>
      <c r="S144" s="2697"/>
      <c r="T144" s="2697"/>
      <c r="U144" s="2697"/>
      <c r="V144" s="2697"/>
      <c r="W144" s="2697"/>
      <c r="X144" s="2697"/>
      <c r="Y144" s="2697"/>
      <c r="Z144" s="2697"/>
      <c r="AA144" s="2697"/>
      <c r="AB144" s="2697"/>
      <c r="AC144" s="2697"/>
      <c r="AD144" s="2697"/>
      <c r="AE144" s="2697"/>
      <c r="AF144" s="2697"/>
      <c r="AG144" s="2697"/>
      <c r="AH144" s="2697"/>
      <c r="AI144" s="2697"/>
      <c r="AJ144" s="2697"/>
      <c r="AK144" s="2697"/>
      <c r="AL144" s="2697"/>
      <c r="AM144" s="2697"/>
      <c r="AN144" s="2697"/>
      <c r="AO144" s="2698"/>
      <c r="AP144" s="1527"/>
      <c r="AQ144" s="1527"/>
      <c r="AR144" s="1527"/>
      <c r="AS144" s="1527"/>
      <c r="AT144" s="1527"/>
      <c r="AU144" s="1527"/>
      <c r="AV144" s="1527"/>
      <c r="AW144" s="1527"/>
      <c r="AX144" s="1527"/>
      <c r="AY144" s="1527"/>
      <c r="AZ144" s="1527"/>
      <c r="BA144" s="1527"/>
      <c r="BB144" s="1527"/>
      <c r="BC144" s="1527"/>
      <c r="BD144" s="1527"/>
      <c r="BE144" s="1533"/>
    </row>
    <row r="145" spans="1:57" ht="15.75" customHeight="1">
      <c r="A145" s="1816"/>
      <c r="B145" s="1527"/>
      <c r="C145" s="1527"/>
      <c r="D145" s="1527"/>
      <c r="E145" s="1527"/>
      <c r="F145" s="1527"/>
      <c r="G145" s="1527"/>
      <c r="H145" s="1527"/>
      <c r="I145" s="1527"/>
      <c r="J145" s="1527"/>
      <c r="K145" s="1527"/>
      <c r="L145" s="1527"/>
      <c r="M145" s="1527"/>
      <c r="N145" s="1527"/>
      <c r="O145" s="1527"/>
      <c r="P145" s="1527"/>
      <c r="Q145" s="1527"/>
      <c r="R145" s="1527"/>
      <c r="S145" s="1527"/>
      <c r="T145" s="1527"/>
      <c r="U145" s="1527"/>
      <c r="V145" s="1527"/>
      <c r="W145" s="1527"/>
      <c r="X145" s="1527"/>
      <c r="Y145" s="1527"/>
      <c r="Z145" s="1527"/>
      <c r="AA145" s="1527"/>
      <c r="AB145" s="1527"/>
      <c r="AC145" s="1527"/>
      <c r="AD145" s="1527"/>
      <c r="AE145" s="1527"/>
      <c r="AF145" s="1527"/>
      <c r="AG145" s="1527"/>
      <c r="AH145" s="1527"/>
      <c r="AI145" s="1527"/>
      <c r="AJ145" s="1527"/>
      <c r="AK145" s="1527"/>
      <c r="AL145" s="1527"/>
      <c r="AM145" s="1527"/>
      <c r="AN145" s="1527"/>
      <c r="AO145" s="1527"/>
      <c r="AP145" s="1527"/>
      <c r="AQ145" s="1527"/>
      <c r="AR145" s="1527"/>
      <c r="AS145" s="1527"/>
      <c r="AT145" s="1527"/>
      <c r="AU145" s="1527"/>
      <c r="AV145" s="1527"/>
      <c r="AW145" s="1527"/>
      <c r="AX145" s="1527"/>
      <c r="AY145" s="1527"/>
      <c r="AZ145" s="1527"/>
      <c r="BA145" s="1527"/>
      <c r="BB145" s="1527"/>
      <c r="BC145" s="1527"/>
      <c r="BD145" s="1527"/>
      <c r="BE145" s="1533"/>
    </row>
    <row r="146" spans="1:57" ht="15.75" customHeight="1">
      <c r="A146" s="1816"/>
      <c r="B146" s="1527"/>
      <c r="C146" s="1537" t="s">
        <v>2124</v>
      </c>
      <c r="J146" s="1539"/>
      <c r="K146" s="1539"/>
      <c r="L146" s="1539"/>
      <c r="M146" s="1539"/>
      <c r="N146" s="1539"/>
      <c r="O146" s="1539"/>
      <c r="P146" s="1539"/>
      <c r="Q146" s="1539"/>
      <c r="R146" s="1539"/>
      <c r="S146" s="1539"/>
      <c r="T146" s="1539"/>
      <c r="U146" s="1539"/>
      <c r="V146" s="1539"/>
      <c r="W146" s="1539"/>
      <c r="X146" s="1539"/>
      <c r="Y146" s="1539"/>
      <c r="Z146" s="1539"/>
      <c r="AA146" s="1539"/>
      <c r="AB146" s="1539"/>
      <c r="AC146" s="1539"/>
      <c r="AD146" s="1539"/>
      <c r="AE146" s="1539"/>
      <c r="AF146" s="1539"/>
      <c r="AG146" s="1539"/>
      <c r="AH146" s="1539"/>
      <c r="AI146" s="1539"/>
      <c r="AJ146" s="1539"/>
      <c r="AK146" s="1539"/>
      <c r="AL146" s="1539"/>
      <c r="AM146" s="1539"/>
      <c r="AN146" s="1527"/>
      <c r="AO146" s="1527"/>
      <c r="AP146" s="1527"/>
      <c r="AQ146" s="1527"/>
      <c r="AR146" s="1527"/>
      <c r="AS146" s="1527"/>
      <c r="AT146" s="1527"/>
      <c r="AU146" s="1527"/>
      <c r="AV146" s="1527"/>
      <c r="AW146" s="1527"/>
      <c r="AX146" s="1527"/>
      <c r="AY146" s="1527"/>
      <c r="AZ146" s="1527"/>
      <c r="BA146" s="1527"/>
      <c r="BB146" s="1527"/>
      <c r="BC146" s="1527"/>
      <c r="BD146" s="1527"/>
      <c r="BE146" s="1533"/>
    </row>
    <row r="147" spans="1:57" ht="15.75" customHeight="1">
      <c r="A147" s="1816"/>
      <c r="B147" s="1527"/>
      <c r="C147" s="1550" t="s">
        <v>2125</v>
      </c>
      <c r="D147" s="1539"/>
      <c r="E147" s="1539"/>
      <c r="F147" s="1539"/>
      <c r="G147" s="1539"/>
      <c r="H147" s="1539"/>
      <c r="I147" s="1539"/>
      <c r="J147" s="1539"/>
      <c r="K147" s="1539"/>
      <c r="L147" s="1539"/>
      <c r="M147" s="1539"/>
      <c r="N147" s="1539"/>
      <c r="O147" s="1539"/>
      <c r="P147" s="1539"/>
      <c r="Q147" s="1539"/>
      <c r="R147" s="1539"/>
      <c r="S147" s="1539"/>
      <c r="T147" s="1539"/>
      <c r="U147" s="1539"/>
      <c r="V147" s="1539"/>
      <c r="W147" s="1539"/>
      <c r="X147" s="1539"/>
      <c r="Y147" s="1539"/>
      <c r="Z147" s="1539"/>
      <c r="AA147" s="1539"/>
      <c r="AB147" s="1539"/>
      <c r="AC147" s="1539"/>
      <c r="AD147" s="1539"/>
      <c r="AE147" s="1539"/>
      <c r="AF147" s="1539"/>
      <c r="AG147" s="1539"/>
      <c r="AH147" s="1527"/>
      <c r="AI147" s="1527"/>
      <c r="AJ147" s="1527"/>
      <c r="AK147" s="1527"/>
      <c r="AL147" s="1527"/>
      <c r="AM147" s="1527"/>
      <c r="AN147" s="1527"/>
      <c r="AO147" s="1527"/>
      <c r="AP147" s="1527"/>
      <c r="AQ147" s="1527"/>
      <c r="AR147" s="1527"/>
      <c r="AS147" s="1527"/>
      <c r="AT147" s="1527"/>
      <c r="AU147" s="1527"/>
      <c r="AV147" s="1527"/>
      <c r="AW147" s="1527"/>
      <c r="AX147" s="1527"/>
      <c r="AY147" s="1527"/>
      <c r="AZ147" s="1527"/>
      <c r="BA147" s="1527"/>
      <c r="BB147" s="1527"/>
      <c r="BC147" s="1527"/>
      <c r="BD147" s="1527"/>
      <c r="BE147" s="1533"/>
    </row>
    <row r="148" spans="1:57" ht="15.75" customHeight="1" thickBot="1">
      <c r="A148" s="1816"/>
      <c r="B148" s="1527"/>
      <c r="C148" s="1527"/>
      <c r="D148" s="1527"/>
      <c r="E148" s="1527"/>
      <c r="F148" s="1527"/>
      <c r="G148" s="1527"/>
      <c r="H148" s="1527"/>
      <c r="I148" s="1527"/>
      <c r="J148" s="1527"/>
      <c r="K148" s="1527"/>
      <c r="L148" s="1534"/>
      <c r="M148" s="1527"/>
      <c r="N148" s="1527"/>
      <c r="O148" s="1527"/>
      <c r="P148" s="1527"/>
      <c r="Q148" s="1527"/>
      <c r="R148" s="1527"/>
      <c r="S148" s="1527"/>
      <c r="T148" s="1527"/>
      <c r="U148" s="1527"/>
      <c r="V148" s="1527"/>
      <c r="W148" s="1527"/>
      <c r="X148" s="1527"/>
      <c r="Y148" s="1527"/>
      <c r="Z148" s="1527"/>
      <c r="AA148" s="1527"/>
      <c r="AB148" s="1527"/>
      <c r="AC148" s="1527"/>
      <c r="AD148" s="1527"/>
      <c r="AE148" s="1527"/>
      <c r="AF148" s="1527"/>
      <c r="AG148" s="1527"/>
      <c r="AH148" s="1527"/>
      <c r="AI148" s="1527"/>
      <c r="AJ148" s="1527"/>
      <c r="AK148" s="1527"/>
      <c r="AL148" s="1527"/>
      <c r="AM148" s="1527"/>
      <c r="AN148" s="1527"/>
      <c r="AO148" s="1527"/>
      <c r="AP148" s="1527"/>
      <c r="AQ148" s="1527"/>
      <c r="AR148" s="1527"/>
      <c r="AS148" s="1527"/>
      <c r="AT148" s="1527"/>
      <c r="AU148" s="1527"/>
      <c r="AV148" s="1527"/>
      <c r="AW148" s="1527"/>
      <c r="AX148" s="1527"/>
      <c r="AY148" s="1527"/>
      <c r="AZ148" s="1527"/>
      <c r="BA148" s="1527"/>
      <c r="BB148" s="1527"/>
      <c r="BC148" s="1527"/>
      <c r="BD148" s="1527"/>
      <c r="BE148" s="1533"/>
    </row>
    <row r="149" spans="1:57" ht="15.75" customHeight="1">
      <c r="A149" s="1816"/>
      <c r="B149" s="1527"/>
      <c r="C149" s="2674"/>
      <c r="D149" s="2675"/>
      <c r="E149" s="2675"/>
      <c r="F149" s="2675"/>
      <c r="G149" s="2675"/>
      <c r="H149" s="2675"/>
      <c r="I149" s="2675"/>
      <c r="J149" s="2675"/>
      <c r="K149" s="2675"/>
      <c r="L149" s="2675"/>
      <c r="M149" s="2676"/>
      <c r="N149" s="2677" t="s">
        <v>2126</v>
      </c>
      <c r="O149" s="2677"/>
      <c r="P149" s="2677"/>
      <c r="Q149" s="2677"/>
      <c r="R149" s="2677"/>
      <c r="S149" s="2677"/>
      <c r="T149" s="2678"/>
      <c r="U149" s="2679" t="s">
        <v>2112</v>
      </c>
      <c r="V149" s="2680"/>
      <c r="W149" s="2680"/>
      <c r="X149" s="2680"/>
      <c r="Y149" s="2680"/>
      <c r="Z149" s="2680"/>
      <c r="AA149" s="2680"/>
      <c r="AB149" s="2680"/>
      <c r="AC149" s="2680"/>
      <c r="AD149" s="2680"/>
      <c r="AE149" s="2681"/>
      <c r="AF149" s="1527"/>
      <c r="AG149" s="1527"/>
      <c r="AH149" s="2682" t="s">
        <v>2127</v>
      </c>
      <c r="AI149" s="2683"/>
      <c r="AJ149" s="2683"/>
      <c r="AK149" s="2683"/>
      <c r="AL149" s="2683"/>
      <c r="AM149" s="2683"/>
      <c r="AN149" s="2683"/>
      <c r="AO149" s="2683"/>
      <c r="AP149" s="2683"/>
      <c r="AQ149" s="2683"/>
      <c r="AR149" s="2683"/>
      <c r="AS149" s="2655"/>
      <c r="AT149" s="2656"/>
      <c r="AU149" s="2656"/>
      <c r="AV149" s="2656"/>
      <c r="AW149" s="2656"/>
      <c r="AX149" s="1527"/>
      <c r="AY149" s="1527"/>
      <c r="AZ149" s="1527"/>
      <c r="BA149" s="1527"/>
      <c r="BB149" s="1527"/>
      <c r="BC149" s="1527"/>
      <c r="BD149" s="1527"/>
      <c r="BE149" s="1533"/>
    </row>
    <row r="150" spans="1:57" ht="15.75" customHeight="1">
      <c r="A150" s="1816"/>
      <c r="B150" s="1527"/>
      <c r="C150" s="2649" t="s">
        <v>2128</v>
      </c>
      <c r="D150" s="2650"/>
      <c r="E150" s="2650"/>
      <c r="F150" s="2650"/>
      <c r="G150" s="2650"/>
      <c r="H150" s="2650"/>
      <c r="I150" s="2650"/>
      <c r="J150" s="2650"/>
      <c r="K150" s="2650"/>
      <c r="L150" s="2650"/>
      <c r="M150" s="2651"/>
      <c r="N150" s="2652">
        <f>'Sources and Uses Budget'!B104</f>
        <v>13720167</v>
      </c>
      <c r="O150" s="2652"/>
      <c r="P150" s="2652"/>
      <c r="Q150" s="2652"/>
      <c r="R150" s="2652"/>
      <c r="S150" s="2652"/>
      <c r="T150" s="2653"/>
      <c r="U150" s="2662"/>
      <c r="V150" s="2663"/>
      <c r="W150" s="2663"/>
      <c r="X150" s="2663"/>
      <c r="Y150" s="2663"/>
      <c r="Z150" s="2663"/>
      <c r="AA150" s="2663"/>
      <c r="AB150" s="2663"/>
      <c r="AC150" s="2663"/>
      <c r="AD150" s="2663"/>
      <c r="AE150" s="2669"/>
      <c r="AF150" s="1527"/>
      <c r="AG150" s="1527"/>
      <c r="AH150" s="2670" t="s">
        <v>2129</v>
      </c>
      <c r="AI150" s="2671"/>
      <c r="AJ150" s="2671"/>
      <c r="AK150" s="2671"/>
      <c r="AL150" s="2671"/>
      <c r="AM150" s="2671"/>
      <c r="AN150" s="2671"/>
      <c r="AO150" s="2671"/>
      <c r="AP150" s="2671"/>
      <c r="AQ150" s="2671"/>
      <c r="AR150" s="2671"/>
      <c r="AS150" s="2655"/>
      <c r="AT150" s="2656"/>
      <c r="AU150" s="2656"/>
      <c r="AV150" s="2656"/>
      <c r="AW150" s="2656"/>
      <c r="AX150" s="1527"/>
      <c r="AY150" s="1527"/>
      <c r="AZ150" s="1527"/>
      <c r="BA150" s="1527"/>
      <c r="BB150" s="1527"/>
      <c r="BC150" s="1527"/>
      <c r="BD150" s="1527"/>
      <c r="BE150" s="1533"/>
    </row>
    <row r="151" spans="1:57" ht="15.75" customHeight="1">
      <c r="A151" s="1816"/>
      <c r="B151" s="1527"/>
      <c r="C151" s="2649" t="s">
        <v>2130</v>
      </c>
      <c r="D151" s="2650"/>
      <c r="E151" s="2650"/>
      <c r="F151" s="2650"/>
      <c r="G151" s="2650"/>
      <c r="H151" s="2650"/>
      <c r="I151" s="2650"/>
      <c r="J151" s="2650"/>
      <c r="K151" s="2650"/>
      <c r="L151" s="2650"/>
      <c r="M151" s="2651"/>
      <c r="N151" s="2652">
        <f>N150/J29</f>
        <v>55101.072289156626</v>
      </c>
      <c r="O151" s="2652"/>
      <c r="P151" s="2652"/>
      <c r="Q151" s="2652"/>
      <c r="R151" s="2652"/>
      <c r="S151" s="2652"/>
      <c r="T151" s="2653"/>
      <c r="U151" s="1551"/>
      <c r="V151" s="1551"/>
      <c r="W151" s="1551"/>
      <c r="X151" s="1551"/>
      <c r="Y151" s="1551"/>
      <c r="Z151" s="1551"/>
      <c r="AA151" s="1551"/>
      <c r="AB151" s="1551"/>
      <c r="AC151" s="1551"/>
      <c r="AD151" s="1551"/>
      <c r="AE151" s="1552"/>
      <c r="AF151" s="1527"/>
      <c r="AG151" s="1527"/>
      <c r="AH151" s="2640" t="s">
        <v>2131</v>
      </c>
      <c r="AI151" s="2641"/>
      <c r="AJ151" s="2641"/>
      <c r="AK151" s="2641"/>
      <c r="AL151" s="2641"/>
      <c r="AM151" s="2641"/>
      <c r="AN151" s="2641"/>
      <c r="AO151" s="2641"/>
      <c r="AP151" s="2641"/>
      <c r="AQ151" s="2641"/>
      <c r="AR151" s="2654"/>
      <c r="AS151" s="2655"/>
      <c r="AT151" s="2656"/>
      <c r="AU151" s="2656"/>
      <c r="AV151" s="2656"/>
      <c r="AW151" s="2656"/>
      <c r="AX151" s="1527"/>
      <c r="AY151" s="1527"/>
      <c r="AZ151" s="1527"/>
      <c r="BA151" s="1527"/>
      <c r="BB151" s="1527"/>
      <c r="BC151" s="1527"/>
      <c r="BD151" s="1527"/>
      <c r="BE151" s="1533"/>
    </row>
    <row r="152" spans="1:57" ht="15.75" customHeight="1">
      <c r="A152" s="1816"/>
      <c r="B152" s="1527"/>
      <c r="C152" s="2657" t="s">
        <v>2132</v>
      </c>
      <c r="D152" s="2658"/>
      <c r="E152" s="2658"/>
      <c r="F152" s="2658"/>
      <c r="G152" s="2658"/>
      <c r="H152" s="2658"/>
      <c r="I152" s="2658"/>
      <c r="J152" s="2658"/>
      <c r="K152" s="2658"/>
      <c r="L152" s="2658"/>
      <c r="M152" s="2659"/>
      <c r="N152" s="2660"/>
      <c r="O152" s="2660"/>
      <c r="P152" s="2660"/>
      <c r="Q152" s="2660"/>
      <c r="R152" s="2660"/>
      <c r="S152" s="2660"/>
      <c r="T152" s="2661"/>
      <c r="U152" s="2638"/>
      <c r="V152" s="2639"/>
      <c r="W152" s="2639"/>
      <c r="X152" s="2639"/>
      <c r="Y152" s="2639"/>
      <c r="Z152" s="2639"/>
      <c r="AA152" s="2639"/>
      <c r="AB152" s="2639"/>
      <c r="AC152" s="2639"/>
      <c r="AD152" s="2639"/>
      <c r="AE152" s="2668"/>
      <c r="AF152" s="1527"/>
      <c r="AG152" s="1527"/>
      <c r="AH152" s="2662"/>
      <c r="AI152" s="2663"/>
      <c r="AJ152" s="2663"/>
      <c r="AK152" s="2663"/>
      <c r="AL152" s="2663"/>
      <c r="AM152" s="2663"/>
      <c r="AN152" s="2663"/>
      <c r="AO152" s="2663"/>
      <c r="AP152" s="2663"/>
      <c r="AQ152" s="2663"/>
      <c r="AR152" s="2664"/>
      <c r="AS152" s="2665"/>
      <c r="AT152" s="2666"/>
      <c r="AU152" s="2666"/>
      <c r="AV152" s="2666"/>
      <c r="AW152" s="2667"/>
      <c r="AX152" s="1527"/>
      <c r="AY152" s="1527"/>
      <c r="AZ152" s="1527"/>
      <c r="BA152" s="1527"/>
      <c r="BB152" s="1527"/>
      <c r="BC152" s="1527"/>
      <c r="BD152" s="1527"/>
      <c r="BE152" s="1533"/>
    </row>
    <row r="153" spans="1:57" ht="15.75" customHeight="1" thickBot="1">
      <c r="A153" s="1816"/>
      <c r="B153" s="1527"/>
      <c r="C153" s="2640" t="s">
        <v>2133</v>
      </c>
      <c r="D153" s="2641"/>
      <c r="E153" s="2641"/>
      <c r="F153" s="2641"/>
      <c r="G153" s="2641"/>
      <c r="H153" s="2641"/>
      <c r="I153" s="2641"/>
      <c r="J153" s="2641"/>
      <c r="K153" s="2641"/>
      <c r="L153" s="2641"/>
      <c r="M153" s="2642"/>
      <c r="N153" s="2643">
        <f>SUM('Sources and Uses Budget'!B85:B86)</f>
        <v>9915116</v>
      </c>
      <c r="O153" s="2643"/>
      <c r="P153" s="2643"/>
      <c r="Q153" s="2643"/>
      <c r="R153" s="2643"/>
      <c r="S153" s="2643"/>
      <c r="T153" s="2644"/>
      <c r="U153" s="2635"/>
      <c r="V153" s="2636"/>
      <c r="W153" s="2636"/>
      <c r="X153" s="2636"/>
      <c r="Y153" s="2636"/>
      <c r="Z153" s="2636"/>
      <c r="AA153" s="2636"/>
      <c r="AB153" s="2636"/>
      <c r="AC153" s="2636"/>
      <c r="AD153" s="2636"/>
      <c r="AE153" s="2637"/>
      <c r="AF153" s="1527"/>
      <c r="AG153" s="1527"/>
      <c r="AH153" s="2645" t="s">
        <v>2134</v>
      </c>
      <c r="AI153" s="2646"/>
      <c r="AJ153" s="2646"/>
      <c r="AK153" s="2646"/>
      <c r="AL153" s="2646"/>
      <c r="AM153" s="2646"/>
      <c r="AN153" s="2646"/>
      <c r="AO153" s="2646"/>
      <c r="AP153" s="2646"/>
      <c r="AQ153" s="2646"/>
      <c r="AR153" s="2646"/>
      <c r="AS153" s="2647">
        <f>SUM(AS149:AW151)</f>
        <v>0</v>
      </c>
      <c r="AT153" s="2648"/>
      <c r="AU153" s="2648"/>
      <c r="AV153" s="2648"/>
      <c r="AW153" s="2648"/>
      <c r="AX153" s="1527"/>
      <c r="AY153" s="1527"/>
      <c r="AZ153" s="1527"/>
      <c r="BA153" s="1527"/>
      <c r="BB153" s="1527"/>
      <c r="BC153" s="1527"/>
      <c r="BD153" s="1527"/>
      <c r="BE153" s="1533"/>
    </row>
    <row r="154" spans="1:57" ht="15.75" customHeight="1">
      <c r="A154" s="1816"/>
      <c r="B154" s="1527"/>
      <c r="C154" s="2640" t="s">
        <v>2135</v>
      </c>
      <c r="D154" s="2641"/>
      <c r="E154" s="2641"/>
      <c r="F154" s="2641"/>
      <c r="G154" s="2641"/>
      <c r="H154" s="2641"/>
      <c r="I154" s="2641"/>
      <c r="J154" s="2641"/>
      <c r="K154" s="2641"/>
      <c r="L154" s="2641"/>
      <c r="M154" s="2642"/>
      <c r="N154" s="2643">
        <f>'Sources and Uses Budget'!B8</f>
        <v>13550000</v>
      </c>
      <c r="O154" s="2643"/>
      <c r="P154" s="2643"/>
      <c r="Q154" s="2643"/>
      <c r="R154" s="2643"/>
      <c r="S154" s="2643"/>
      <c r="T154" s="2644"/>
      <c r="U154" s="2635"/>
      <c r="V154" s="2636"/>
      <c r="W154" s="2636"/>
      <c r="X154" s="2636"/>
      <c r="Y154" s="2636"/>
      <c r="Z154" s="2636"/>
      <c r="AA154" s="2636"/>
      <c r="AB154" s="2636"/>
      <c r="AC154" s="2636"/>
      <c r="AD154" s="2636"/>
      <c r="AE154" s="2637"/>
      <c r="AF154" s="1527"/>
      <c r="AG154" s="1527"/>
      <c r="AH154" s="1527"/>
      <c r="AI154" s="1527"/>
      <c r="AJ154" s="1527"/>
      <c r="AK154" s="1527"/>
      <c r="AL154" s="1527"/>
      <c r="AM154" s="1527"/>
      <c r="AN154" s="1527"/>
      <c r="AO154" s="1527"/>
      <c r="AP154" s="1527"/>
      <c r="AQ154" s="1527"/>
      <c r="AR154" s="1527"/>
      <c r="AS154" s="1527"/>
      <c r="AT154" s="1527"/>
      <c r="AU154" s="1527"/>
      <c r="AV154" s="1527"/>
      <c r="AW154" s="1527"/>
      <c r="AX154" s="1527"/>
      <c r="AY154" s="1527"/>
      <c r="AZ154" s="1527"/>
      <c r="BA154" s="1527"/>
      <c r="BB154" s="1527"/>
      <c r="BC154" s="1527"/>
      <c r="BD154" s="1527"/>
      <c r="BE154" s="1533"/>
    </row>
    <row r="155" spans="1:57" ht="15.75" customHeight="1">
      <c r="A155" s="1816"/>
      <c r="B155" s="1527"/>
      <c r="C155" s="2640" t="s">
        <v>2136</v>
      </c>
      <c r="D155" s="2641"/>
      <c r="E155" s="2641"/>
      <c r="F155" s="2641"/>
      <c r="G155" s="2641"/>
      <c r="H155" s="2641"/>
      <c r="I155" s="2641"/>
      <c r="J155" s="2641"/>
      <c r="K155" s="2641"/>
      <c r="L155" s="2641"/>
      <c r="M155" s="2642"/>
      <c r="N155" s="2633"/>
      <c r="O155" s="2633"/>
      <c r="P155" s="2633"/>
      <c r="Q155" s="2633"/>
      <c r="R155" s="2633"/>
      <c r="S155" s="2633"/>
      <c r="T155" s="2634"/>
      <c r="U155" s="2635"/>
      <c r="V155" s="2636"/>
      <c r="W155" s="2636"/>
      <c r="X155" s="2636"/>
      <c r="Y155" s="2636"/>
      <c r="Z155" s="2636"/>
      <c r="AA155" s="2636"/>
      <c r="AB155" s="2636"/>
      <c r="AC155" s="2636"/>
      <c r="AD155" s="2636"/>
      <c r="AE155" s="2637"/>
      <c r="AF155" s="1527"/>
      <c r="AG155" s="1527"/>
      <c r="AH155" s="1527"/>
      <c r="AI155" s="1527"/>
      <c r="AJ155" s="1527"/>
      <c r="AK155" s="1527"/>
      <c r="AL155" s="1527"/>
      <c r="AM155" s="1527"/>
      <c r="AN155" s="1527"/>
      <c r="AO155" s="1527"/>
      <c r="AP155" s="1527"/>
      <c r="AQ155" s="1527"/>
      <c r="AR155" s="1527"/>
      <c r="AS155" s="1527"/>
      <c r="AT155" s="1527"/>
      <c r="AU155" s="1527"/>
      <c r="AV155" s="1527"/>
      <c r="AW155" s="1527"/>
      <c r="AX155" s="1527"/>
      <c r="AY155" s="1527"/>
      <c r="AZ155" s="1527"/>
      <c r="BA155" s="1527"/>
      <c r="BB155" s="1527"/>
      <c r="BC155" s="1527"/>
      <c r="BD155" s="1527"/>
      <c r="BE155" s="1533"/>
    </row>
    <row r="156" spans="1:57" ht="15.75" customHeight="1">
      <c r="A156" s="1816"/>
      <c r="B156" s="1527"/>
      <c r="C156" s="2640" t="s">
        <v>2129</v>
      </c>
      <c r="D156" s="2641"/>
      <c r="E156" s="2641"/>
      <c r="F156" s="2641"/>
      <c r="G156" s="2641"/>
      <c r="H156" s="2641"/>
      <c r="I156" s="2641"/>
      <c r="J156" s="2641"/>
      <c r="K156" s="2641"/>
      <c r="L156" s="2641"/>
      <c r="M156" s="2642"/>
      <c r="N156" s="2633"/>
      <c r="O156" s="2633"/>
      <c r="P156" s="2633"/>
      <c r="Q156" s="2633"/>
      <c r="R156" s="2633"/>
      <c r="S156" s="2633"/>
      <c r="T156" s="2634"/>
      <c r="U156" s="2635"/>
      <c r="V156" s="2636"/>
      <c r="W156" s="2636"/>
      <c r="X156" s="2636"/>
      <c r="Y156" s="2636"/>
      <c r="Z156" s="2636"/>
      <c r="AA156" s="2636"/>
      <c r="AB156" s="2636"/>
      <c r="AC156" s="2636"/>
      <c r="AD156" s="2636"/>
      <c r="AE156" s="2637"/>
      <c r="AF156" s="1527"/>
      <c r="AG156" s="1527"/>
      <c r="AH156" s="1527"/>
      <c r="AI156" s="1527"/>
      <c r="AJ156" s="1527"/>
      <c r="AK156" s="1527"/>
      <c r="AL156" s="1527"/>
      <c r="AM156" s="1527"/>
      <c r="AN156" s="1527"/>
      <c r="AO156" s="1527"/>
      <c r="AP156" s="1527"/>
      <c r="AQ156" s="1527"/>
      <c r="AR156" s="1527"/>
      <c r="AS156" s="1527"/>
      <c r="AT156" s="1527"/>
      <c r="AU156" s="1527"/>
      <c r="AV156" s="1527"/>
      <c r="AW156" s="1527"/>
      <c r="AX156" s="1527"/>
      <c r="AY156" s="1527"/>
      <c r="AZ156" s="1527"/>
      <c r="BA156" s="1527"/>
      <c r="BB156" s="1527"/>
      <c r="BC156" s="1527"/>
      <c r="BD156" s="1527"/>
      <c r="BE156" s="1533"/>
    </row>
    <row r="157" spans="1:57" ht="15.75" customHeight="1">
      <c r="A157" s="1816"/>
      <c r="B157" s="1527"/>
      <c r="C157" s="2629" t="s">
        <v>308</v>
      </c>
      <c r="D157" s="2630"/>
      <c r="E157" s="2631" t="s">
        <v>2119</v>
      </c>
      <c r="F157" s="2631"/>
      <c r="G157" s="2631"/>
      <c r="H157" s="2631"/>
      <c r="I157" s="2631"/>
      <c r="J157" s="2631"/>
      <c r="K157" s="2631"/>
      <c r="L157" s="2631"/>
      <c r="M157" s="2632"/>
      <c r="N157" s="2633"/>
      <c r="O157" s="2633"/>
      <c r="P157" s="2633"/>
      <c r="Q157" s="2633"/>
      <c r="R157" s="2633"/>
      <c r="S157" s="2633"/>
      <c r="T157" s="2634"/>
      <c r="U157" s="2635"/>
      <c r="V157" s="2636"/>
      <c r="W157" s="2636"/>
      <c r="X157" s="2636"/>
      <c r="Y157" s="2636"/>
      <c r="Z157" s="2636"/>
      <c r="AA157" s="2636"/>
      <c r="AB157" s="2636"/>
      <c r="AC157" s="2636"/>
      <c r="AD157" s="2636"/>
      <c r="AE157" s="2637"/>
      <c r="AF157" s="1527"/>
      <c r="AG157" s="1527"/>
      <c r="AH157" s="1527"/>
      <c r="AI157" s="1527"/>
      <c r="AJ157" s="1527"/>
      <c r="AK157" s="1527"/>
      <c r="AL157" s="1527"/>
      <c r="AM157" s="1527"/>
      <c r="AN157" s="1527"/>
      <c r="AO157" s="1527"/>
      <c r="AP157" s="1527"/>
      <c r="AQ157" s="1527"/>
      <c r="AR157" s="1527"/>
      <c r="AS157" s="1527"/>
      <c r="AT157" s="1527"/>
      <c r="AU157" s="1527"/>
      <c r="AV157" s="1527"/>
      <c r="AW157" s="1527"/>
      <c r="AX157" s="1527"/>
      <c r="AY157" s="1699"/>
      <c r="AZ157" s="1527"/>
      <c r="BA157" s="1527"/>
      <c r="BB157" s="1527"/>
      <c r="BC157" s="1527"/>
      <c r="BD157" s="1527"/>
      <c r="BE157" s="1533"/>
    </row>
    <row r="158" spans="1:57" ht="15.75" customHeight="1">
      <c r="A158" s="1816"/>
      <c r="B158" s="1527"/>
      <c r="C158" s="2638" t="s">
        <v>308</v>
      </c>
      <c r="D158" s="2639"/>
      <c r="E158" s="2631" t="s">
        <v>2119</v>
      </c>
      <c r="F158" s="2631"/>
      <c r="G158" s="2631"/>
      <c r="H158" s="2631"/>
      <c r="I158" s="2631"/>
      <c r="J158" s="2631"/>
      <c r="K158" s="2631"/>
      <c r="L158" s="2631"/>
      <c r="M158" s="2632"/>
      <c r="N158" s="2633"/>
      <c r="O158" s="2633"/>
      <c r="P158" s="2633"/>
      <c r="Q158" s="2633"/>
      <c r="R158" s="2633"/>
      <c r="S158" s="2633"/>
      <c r="T158" s="2634"/>
      <c r="U158" s="2635"/>
      <c r="V158" s="2636"/>
      <c r="W158" s="2636"/>
      <c r="X158" s="2636"/>
      <c r="Y158" s="2636"/>
      <c r="Z158" s="2636"/>
      <c r="AA158" s="2636"/>
      <c r="AB158" s="2636"/>
      <c r="AC158" s="2636"/>
      <c r="AD158" s="2636"/>
      <c r="AE158" s="2637"/>
      <c r="AF158" s="1527"/>
      <c r="AG158" s="1527"/>
      <c r="AH158" s="1527"/>
      <c r="AI158" s="1527"/>
      <c r="AJ158" s="1527"/>
      <c r="AK158" s="1527"/>
      <c r="AL158" s="1527"/>
      <c r="AM158" s="1527"/>
      <c r="AN158" s="1527"/>
      <c r="AO158" s="1527"/>
      <c r="AP158" s="1527"/>
      <c r="AQ158" s="1527"/>
      <c r="AR158" s="1527"/>
      <c r="AS158" s="1527"/>
      <c r="AT158" s="1527"/>
      <c r="AU158" s="1527"/>
      <c r="AV158" s="1527"/>
      <c r="AW158" s="1527"/>
      <c r="AX158" s="1527"/>
      <c r="AY158" s="1527"/>
      <c r="AZ158" s="1527"/>
      <c r="BA158" s="1527"/>
      <c r="BB158" s="1527"/>
      <c r="BC158" s="1527"/>
      <c r="BD158" s="1527"/>
      <c r="BE158" s="1533"/>
    </row>
    <row r="159" spans="1:57" ht="15.75" customHeight="1" thickBot="1">
      <c r="A159" s="1816"/>
      <c r="B159" s="1527"/>
      <c r="C159" s="2614" t="s">
        <v>308</v>
      </c>
      <c r="D159" s="2615"/>
      <c r="E159" s="2616" t="s">
        <v>2119</v>
      </c>
      <c r="F159" s="2616"/>
      <c r="G159" s="2616"/>
      <c r="H159" s="2616"/>
      <c r="I159" s="2616"/>
      <c r="J159" s="2616"/>
      <c r="K159" s="2616"/>
      <c r="L159" s="2616"/>
      <c r="M159" s="2617"/>
      <c r="N159" s="2618"/>
      <c r="O159" s="2618"/>
      <c r="P159" s="2618"/>
      <c r="Q159" s="2618"/>
      <c r="R159" s="2618"/>
      <c r="S159" s="2618"/>
      <c r="T159" s="2619"/>
      <c r="U159" s="2620"/>
      <c r="V159" s="2621"/>
      <c r="W159" s="2621"/>
      <c r="X159" s="2621"/>
      <c r="Y159" s="2621"/>
      <c r="Z159" s="2621"/>
      <c r="AA159" s="2621"/>
      <c r="AB159" s="2621"/>
      <c r="AC159" s="2621"/>
      <c r="AD159" s="2621"/>
      <c r="AE159" s="2622"/>
      <c r="AF159" s="1527"/>
      <c r="AG159" s="1527"/>
      <c r="AH159" s="1527"/>
      <c r="AI159" s="1527"/>
      <c r="AJ159" s="1527"/>
      <c r="AK159" s="1527"/>
      <c r="AL159" s="1527"/>
      <c r="AM159" s="1527"/>
      <c r="AN159" s="1527"/>
      <c r="AO159" s="1527"/>
      <c r="AP159" s="1527"/>
      <c r="AQ159" s="1527"/>
      <c r="AR159" s="1527"/>
      <c r="AS159" s="1527"/>
      <c r="AT159" s="1527"/>
      <c r="AU159" s="1527"/>
      <c r="AV159" s="1527"/>
      <c r="AW159" s="1527"/>
      <c r="AX159" s="1527"/>
      <c r="AY159" s="1527"/>
      <c r="AZ159" s="1527"/>
      <c r="BA159" s="1527"/>
      <c r="BB159" s="1527"/>
      <c r="BC159" s="1527"/>
      <c r="BD159" s="1527"/>
      <c r="BE159" s="1533"/>
    </row>
    <row r="160" spans="1:57" ht="15.75" customHeight="1">
      <c r="A160" s="1816"/>
      <c r="B160" s="1527"/>
      <c r="C160" s="2623" t="s">
        <v>2137</v>
      </c>
      <c r="D160" s="2624"/>
      <c r="E160" s="2624"/>
      <c r="F160" s="2624"/>
      <c r="G160" s="2624"/>
      <c r="H160" s="2624"/>
      <c r="I160" s="2624"/>
      <c r="J160" s="2624"/>
      <c r="K160" s="2624"/>
      <c r="L160" s="2624"/>
      <c r="M160" s="2625"/>
      <c r="N160" s="2626">
        <f>SUM(N152:T159)</f>
        <v>23465116</v>
      </c>
      <c r="O160" s="2627"/>
      <c r="P160" s="2627"/>
      <c r="Q160" s="2627"/>
      <c r="R160" s="2627"/>
      <c r="S160" s="2627"/>
      <c r="T160" s="2628"/>
      <c r="U160" s="1527"/>
      <c r="V160" s="1527"/>
      <c r="W160" s="1527"/>
      <c r="X160" s="1527"/>
      <c r="Y160" s="1527"/>
      <c r="Z160" s="1527"/>
      <c r="AA160" s="1527"/>
      <c r="AB160" s="1527"/>
      <c r="AC160" s="1527"/>
      <c r="AD160" s="1527"/>
      <c r="AE160" s="1527"/>
      <c r="AF160" s="1527"/>
      <c r="AG160" s="1527"/>
      <c r="AH160" s="1527"/>
      <c r="AI160" s="1527"/>
      <c r="AJ160" s="1527"/>
      <c r="AK160" s="1527"/>
      <c r="AL160" s="1527"/>
      <c r="AM160" s="1527"/>
      <c r="AN160" s="1527"/>
      <c r="AO160" s="1527"/>
      <c r="AP160" s="1527"/>
      <c r="AQ160" s="1527"/>
      <c r="AR160" s="1527"/>
      <c r="AS160" s="1527"/>
      <c r="AT160" s="1527"/>
      <c r="AU160" s="1527"/>
      <c r="AV160" s="1527"/>
      <c r="AW160" s="1527"/>
      <c r="AX160" s="1527"/>
      <c r="AY160" s="1527"/>
      <c r="AZ160" s="1527"/>
      <c r="BA160" s="1527"/>
      <c r="BB160" s="1527"/>
      <c r="BC160" s="1527"/>
      <c r="BD160" s="1527"/>
      <c r="BE160" s="1533"/>
    </row>
    <row r="161" spans="1:57" ht="15.75" customHeight="1" thickBot="1">
      <c r="A161" s="1816"/>
      <c r="B161" s="1527"/>
      <c r="C161" s="2601" t="s">
        <v>2138</v>
      </c>
      <c r="D161" s="2602"/>
      <c r="E161" s="2602"/>
      <c r="F161" s="2602"/>
      <c r="G161" s="2602"/>
      <c r="H161" s="2602"/>
      <c r="I161" s="2602"/>
      <c r="J161" s="2602"/>
      <c r="K161" s="2602"/>
      <c r="L161" s="2602"/>
      <c r="M161" s="2602"/>
      <c r="N161" s="2603">
        <f>(N150-N160)/J29</f>
        <v>-39136.341365461849</v>
      </c>
      <c r="O161" s="2603"/>
      <c r="P161" s="2603"/>
      <c r="Q161" s="2603"/>
      <c r="R161" s="2603"/>
      <c r="S161" s="2603"/>
      <c r="T161" s="2604"/>
      <c r="U161" s="1534"/>
      <c r="V161" s="1527"/>
      <c r="W161" s="1527"/>
      <c r="X161" s="1527"/>
      <c r="Y161" s="1527"/>
      <c r="Z161" s="1527"/>
      <c r="AA161" s="1527"/>
      <c r="AB161" s="1527"/>
      <c r="AC161" s="1527"/>
      <c r="AD161" s="1527"/>
      <c r="AE161" s="1527"/>
      <c r="AF161" s="1527"/>
      <c r="AG161" s="1527"/>
      <c r="AH161" s="1527"/>
      <c r="AI161" s="1527"/>
      <c r="AJ161" s="1527"/>
      <c r="AK161" s="1527"/>
      <c r="AL161" s="1527"/>
      <c r="AM161" s="1527"/>
      <c r="AN161" s="1527"/>
      <c r="AO161" s="1527"/>
      <c r="AP161" s="1527"/>
      <c r="AQ161" s="1527"/>
      <c r="AR161" s="1527"/>
      <c r="AS161" s="1527"/>
      <c r="AT161" s="1527"/>
      <c r="AU161" s="1527"/>
      <c r="AV161" s="1527"/>
      <c r="AW161" s="1527"/>
      <c r="AX161" s="1527"/>
      <c r="AY161" s="1527"/>
      <c r="AZ161" s="1527"/>
      <c r="BA161" s="1527"/>
      <c r="BB161" s="1527"/>
      <c r="BC161" s="1527"/>
      <c r="BD161" s="1527"/>
      <c r="BE161" s="1533"/>
    </row>
    <row r="162" spans="1:57" ht="15.75" customHeight="1">
      <c r="A162" s="1816"/>
      <c r="B162" s="1527"/>
      <c r="C162" s="1527"/>
      <c r="D162" s="1527"/>
      <c r="E162" s="1527"/>
      <c r="F162" s="1527"/>
      <c r="G162" s="1527"/>
      <c r="H162" s="1527"/>
      <c r="I162" s="1527"/>
      <c r="J162" s="1527"/>
      <c r="K162" s="1527"/>
      <c r="L162" s="1527"/>
      <c r="M162" s="1527"/>
      <c r="N162" s="1527"/>
      <c r="O162" s="1527"/>
      <c r="P162" s="1527"/>
      <c r="Q162" s="1527"/>
      <c r="R162" s="1527"/>
      <c r="S162" s="1527"/>
      <c r="T162" s="1527"/>
      <c r="U162" s="1527"/>
      <c r="V162" s="1527"/>
      <c r="W162" s="1527"/>
      <c r="X162" s="1527"/>
      <c r="Y162" s="1527"/>
      <c r="Z162" s="1527"/>
      <c r="AA162" s="1527"/>
      <c r="AB162" s="1527"/>
      <c r="AC162" s="1527"/>
      <c r="AD162" s="1527"/>
      <c r="AE162" s="1527"/>
      <c r="AF162" s="1527"/>
      <c r="AG162" s="1527"/>
      <c r="AH162" s="1527"/>
      <c r="AI162" s="1527"/>
      <c r="AJ162" s="1527"/>
      <c r="AK162" s="1527"/>
      <c r="AL162" s="1527"/>
      <c r="AM162" s="1527"/>
      <c r="AN162" s="1527"/>
      <c r="AO162" s="1527"/>
      <c r="AP162" s="1527"/>
      <c r="AQ162" s="1527"/>
      <c r="AR162" s="1527"/>
      <c r="AS162" s="1527"/>
      <c r="AT162" s="1527"/>
      <c r="AU162" s="1527"/>
      <c r="AV162" s="1527"/>
      <c r="AW162" s="1527"/>
      <c r="AX162" s="1527"/>
      <c r="AY162" s="1527"/>
      <c r="AZ162" s="1527"/>
      <c r="BA162" s="1527"/>
      <c r="BB162" s="1527"/>
      <c r="BC162" s="1527"/>
      <c r="BD162" s="1527"/>
      <c r="BE162" s="1533"/>
    </row>
    <row r="163" spans="1:57" ht="15.75" customHeight="1" thickBot="1">
      <c r="A163" s="1816"/>
      <c r="B163" s="1527"/>
      <c r="C163" s="1527"/>
      <c r="D163" s="1527"/>
      <c r="E163" s="1527"/>
      <c r="F163" s="1527"/>
      <c r="G163" s="1527"/>
      <c r="H163" s="1527"/>
      <c r="I163" s="1527"/>
      <c r="J163" s="1527"/>
      <c r="K163" s="1527"/>
      <c r="L163" s="1527"/>
      <c r="M163" s="1527"/>
      <c r="N163" s="1527"/>
      <c r="O163" s="1527"/>
      <c r="P163" s="1527"/>
      <c r="Q163" s="1527"/>
      <c r="R163" s="1527"/>
      <c r="S163" s="1527"/>
      <c r="T163" s="1527"/>
      <c r="U163" s="1527"/>
      <c r="V163" s="1527"/>
      <c r="W163" s="1527"/>
      <c r="X163" s="1527"/>
      <c r="Y163" s="1527"/>
      <c r="Z163" s="1527"/>
      <c r="AA163" s="1527"/>
      <c r="AB163" s="1527"/>
      <c r="AC163" s="1527"/>
      <c r="AD163" s="1527"/>
      <c r="AE163" s="1527"/>
      <c r="AF163" s="1527"/>
      <c r="AG163" s="1527"/>
      <c r="AH163" s="1527"/>
      <c r="AI163" s="1527"/>
      <c r="AJ163" s="1527"/>
      <c r="AK163" s="1527"/>
      <c r="AL163" s="1527"/>
      <c r="AM163" s="1527"/>
      <c r="AN163" s="1527"/>
      <c r="AO163" s="1527"/>
      <c r="AP163" s="1527"/>
      <c r="AQ163" s="1527"/>
      <c r="AR163" s="1527"/>
      <c r="AS163" s="1527"/>
      <c r="AT163" s="1527"/>
      <c r="AU163" s="1527"/>
      <c r="AV163" s="1527"/>
      <c r="AW163" s="1527"/>
      <c r="AX163" s="1527"/>
      <c r="AY163" s="1527"/>
      <c r="AZ163" s="1527"/>
      <c r="BA163" s="1527"/>
      <c r="BB163" s="1527"/>
      <c r="BC163" s="1527"/>
      <c r="BD163" s="1527"/>
      <c r="BE163" s="1533"/>
    </row>
    <row r="164" spans="1:57" ht="15.75" customHeight="1">
      <c r="A164" s="1816"/>
      <c r="B164" s="2605" t="s">
        <v>2139</v>
      </c>
      <c r="C164" s="2606"/>
      <c r="D164" s="2606"/>
      <c r="E164" s="2606"/>
      <c r="F164" s="2606"/>
      <c r="G164" s="2606"/>
      <c r="H164" s="2606"/>
      <c r="I164" s="2606"/>
      <c r="J164" s="2606"/>
      <c r="K164" s="2606"/>
      <c r="L164" s="2606"/>
      <c r="M164" s="2606"/>
      <c r="N164" s="2606"/>
      <c r="O164" s="2606"/>
      <c r="P164" s="2606"/>
      <c r="Q164" s="2606"/>
      <c r="R164" s="2606"/>
      <c r="S164" s="2606"/>
      <c r="T164" s="2606"/>
      <c r="U164" s="2606"/>
      <c r="V164" s="2606"/>
      <c r="W164" s="2606"/>
      <c r="X164" s="2606"/>
      <c r="Y164" s="2606"/>
      <c r="Z164" s="2606"/>
      <c r="AA164" s="2606"/>
      <c r="AB164" s="2606"/>
      <c r="AC164" s="2606"/>
      <c r="AD164" s="2606"/>
      <c r="AE164" s="2606"/>
      <c r="AF164" s="2606"/>
      <c r="AG164" s="2606"/>
      <c r="AH164" s="2606"/>
      <c r="AI164" s="2606"/>
      <c r="AJ164" s="2606"/>
      <c r="AK164" s="2606"/>
      <c r="AL164" s="2606"/>
      <c r="AM164" s="2606"/>
      <c r="AN164" s="2606"/>
      <c r="AO164" s="2606"/>
      <c r="AP164" s="2606"/>
      <c r="AQ164" s="2606"/>
      <c r="AR164" s="2606"/>
      <c r="AS164" s="2606"/>
      <c r="AT164" s="2606"/>
      <c r="AU164" s="2606"/>
      <c r="AV164" s="2606"/>
      <c r="AW164" s="2606"/>
      <c r="AX164" s="2606"/>
      <c r="AY164" s="2606"/>
      <c r="AZ164" s="2606"/>
      <c r="BA164" s="2606"/>
      <c r="BB164" s="2606"/>
      <c r="BC164" s="2606"/>
      <c r="BD164" s="2607"/>
      <c r="BE164" s="1533"/>
    </row>
    <row r="165" spans="1:57" ht="15.75" customHeight="1">
      <c r="A165" s="1816"/>
      <c r="B165" s="2608"/>
      <c r="C165" s="2609"/>
      <c r="D165" s="2609"/>
      <c r="E165" s="2609"/>
      <c r="F165" s="2609"/>
      <c r="G165" s="2609"/>
      <c r="H165" s="2609"/>
      <c r="I165" s="2609"/>
      <c r="J165" s="2609"/>
      <c r="K165" s="2609"/>
      <c r="L165" s="2609"/>
      <c r="M165" s="2609"/>
      <c r="N165" s="2609"/>
      <c r="O165" s="2609"/>
      <c r="P165" s="2609"/>
      <c r="Q165" s="2609"/>
      <c r="R165" s="2609"/>
      <c r="S165" s="2609"/>
      <c r="T165" s="2609"/>
      <c r="U165" s="2609"/>
      <c r="V165" s="2609"/>
      <c r="W165" s="2609"/>
      <c r="X165" s="2609"/>
      <c r="Y165" s="2609"/>
      <c r="Z165" s="2609"/>
      <c r="AA165" s="2609"/>
      <c r="AB165" s="2609"/>
      <c r="AC165" s="2609"/>
      <c r="AD165" s="2609"/>
      <c r="AE165" s="2609"/>
      <c r="AF165" s="2609"/>
      <c r="AG165" s="2609"/>
      <c r="AH165" s="2609"/>
      <c r="AI165" s="2609"/>
      <c r="AJ165" s="2609"/>
      <c r="AK165" s="2609"/>
      <c r="AL165" s="2609"/>
      <c r="AM165" s="2609"/>
      <c r="AN165" s="2609"/>
      <c r="AO165" s="2609"/>
      <c r="AP165" s="2609"/>
      <c r="AQ165" s="2609"/>
      <c r="AR165" s="2609"/>
      <c r="AS165" s="2609"/>
      <c r="AT165" s="2609"/>
      <c r="AU165" s="2609"/>
      <c r="AV165" s="2609"/>
      <c r="AW165" s="2609"/>
      <c r="AX165" s="2609"/>
      <c r="AY165" s="2609"/>
      <c r="AZ165" s="2609"/>
      <c r="BA165" s="2609"/>
      <c r="BB165" s="2609"/>
      <c r="BC165" s="2609"/>
      <c r="BD165" s="2610"/>
      <c r="BE165" s="1533"/>
    </row>
    <row r="166" spans="1:57" ht="15.75" customHeight="1">
      <c r="A166" s="1816"/>
      <c r="B166" s="2611" t="s">
        <v>2140</v>
      </c>
      <c r="C166" s="2612"/>
      <c r="D166" s="2612"/>
      <c r="E166" s="2612"/>
      <c r="F166" s="2612"/>
      <c r="G166" s="2612"/>
      <c r="H166" s="2612"/>
      <c r="I166" s="2612"/>
      <c r="J166" s="2612"/>
      <c r="K166" s="2612"/>
      <c r="L166" s="2612"/>
      <c r="M166" s="2612"/>
      <c r="N166" s="2612"/>
      <c r="O166" s="2612"/>
      <c r="P166" s="2612"/>
      <c r="Q166" s="2612"/>
      <c r="R166" s="2612"/>
      <c r="S166" s="2612"/>
      <c r="T166" s="2612"/>
      <c r="U166" s="2612"/>
      <c r="V166" s="2612"/>
      <c r="W166" s="2612"/>
      <c r="X166" s="2612"/>
      <c r="Y166" s="2612"/>
      <c r="Z166" s="2612"/>
      <c r="AA166" s="2612"/>
      <c r="AB166" s="2612"/>
      <c r="AC166" s="2612"/>
      <c r="AD166" s="2612"/>
      <c r="AE166" s="2612"/>
      <c r="AF166" s="2612"/>
      <c r="AG166" s="2612"/>
      <c r="AH166" s="2612"/>
      <c r="AI166" s="2612"/>
      <c r="AJ166" s="2612"/>
      <c r="AK166" s="2612"/>
      <c r="AL166" s="2612"/>
      <c r="AM166" s="2612"/>
      <c r="AN166" s="2612"/>
      <c r="AO166" s="2612"/>
      <c r="AP166" s="2612"/>
      <c r="AQ166" s="2612"/>
      <c r="AR166" s="2612"/>
      <c r="AS166" s="2612"/>
      <c r="AT166" s="2612"/>
      <c r="AU166" s="2612"/>
      <c r="AV166" s="2612"/>
      <c r="AW166" s="2612"/>
      <c r="AX166" s="2612"/>
      <c r="AY166" s="2612"/>
      <c r="AZ166" s="2612"/>
      <c r="BA166" s="2612"/>
      <c r="BB166" s="2612"/>
      <c r="BC166" s="2612"/>
      <c r="BD166" s="2613"/>
      <c r="BE166" s="1533"/>
    </row>
    <row r="167" spans="1:57" ht="15.75" customHeight="1">
      <c r="A167" s="1816"/>
      <c r="B167" s="2611" t="s">
        <v>2141</v>
      </c>
      <c r="C167" s="2612"/>
      <c r="D167" s="2612"/>
      <c r="E167" s="2612"/>
      <c r="F167" s="2612"/>
      <c r="G167" s="2612"/>
      <c r="H167" s="2612"/>
      <c r="I167" s="2612"/>
      <c r="J167" s="2612"/>
      <c r="K167" s="2612"/>
      <c r="L167" s="2612"/>
      <c r="M167" s="2612"/>
      <c r="N167" s="2612"/>
      <c r="O167" s="2612"/>
      <c r="P167" s="2612"/>
      <c r="Q167" s="2612"/>
      <c r="R167" s="2612"/>
      <c r="S167" s="2612"/>
      <c r="T167" s="2612"/>
      <c r="U167" s="2612"/>
      <c r="V167" s="2612"/>
      <c r="W167" s="2612"/>
      <c r="X167" s="2612"/>
      <c r="Y167" s="2612"/>
      <c r="Z167" s="2612"/>
      <c r="AA167" s="2612"/>
      <c r="AB167" s="2612"/>
      <c r="AC167" s="2612"/>
      <c r="AD167" s="2612"/>
      <c r="AE167" s="2612"/>
      <c r="AF167" s="2612"/>
      <c r="AG167" s="2612"/>
      <c r="AH167" s="2612"/>
      <c r="AI167" s="2612"/>
      <c r="AJ167" s="2612"/>
      <c r="AK167" s="2612"/>
      <c r="AL167" s="2612"/>
      <c r="AM167" s="2612"/>
      <c r="AN167" s="2612"/>
      <c r="AO167" s="2612"/>
      <c r="AP167" s="2612"/>
      <c r="AQ167" s="2612"/>
      <c r="AR167" s="2612"/>
      <c r="AS167" s="2612"/>
      <c r="AT167" s="2612"/>
      <c r="AU167" s="2612"/>
      <c r="AV167" s="2612"/>
      <c r="AW167" s="2612"/>
      <c r="AX167" s="2612"/>
      <c r="AY167" s="2612"/>
      <c r="AZ167" s="2612"/>
      <c r="BA167" s="2612"/>
      <c r="BB167" s="2612"/>
      <c r="BC167" s="2612"/>
      <c r="BD167" s="2613"/>
      <c r="BE167" s="1533"/>
    </row>
    <row r="168" spans="1:57" ht="15.75" customHeight="1">
      <c r="A168" s="1816"/>
      <c r="B168" s="1526"/>
      <c r="C168" s="1553"/>
      <c r="D168" s="1553"/>
      <c r="E168" s="1553"/>
      <c r="F168" s="1553"/>
      <c r="G168" s="1553"/>
      <c r="H168" s="1553"/>
      <c r="I168" s="1553"/>
      <c r="J168" s="1553"/>
      <c r="K168" s="1553"/>
      <c r="L168" s="1553"/>
      <c r="M168" s="1553"/>
      <c r="N168" s="1553"/>
      <c r="O168" s="1553"/>
      <c r="P168" s="1553"/>
      <c r="Q168" s="1553"/>
      <c r="R168" s="1553"/>
      <c r="S168" s="1553"/>
      <c r="T168" s="1553"/>
      <c r="U168" s="1553"/>
      <c r="V168" s="1553"/>
      <c r="W168" s="1553"/>
      <c r="X168" s="1553"/>
      <c r="Y168" s="1553"/>
      <c r="Z168" s="1553"/>
      <c r="AA168" s="1553"/>
      <c r="AB168" s="1553"/>
      <c r="AC168" s="1553"/>
      <c r="AD168" s="1553"/>
      <c r="AE168" s="1553"/>
      <c r="AF168" s="1553"/>
      <c r="AG168" s="1553"/>
      <c r="AH168" s="1553"/>
      <c r="AI168" s="1553"/>
      <c r="AJ168" s="1553"/>
      <c r="AK168" s="1553"/>
      <c r="AL168" s="1553"/>
      <c r="AM168" s="1553"/>
      <c r="AN168" s="1553"/>
      <c r="AO168" s="1553"/>
      <c r="AP168" s="1553"/>
      <c r="AQ168" s="1553"/>
      <c r="AR168" s="1553"/>
      <c r="AS168" s="1553"/>
      <c r="AT168" s="1553"/>
      <c r="AU168" s="1553"/>
      <c r="AV168" s="1553"/>
      <c r="AW168" s="1553"/>
      <c r="AX168" s="1553"/>
      <c r="AY168" s="1553"/>
      <c r="AZ168" s="1553"/>
      <c r="BA168" s="1553"/>
      <c r="BB168" s="1553"/>
      <c r="BC168" s="1553"/>
      <c r="BD168" s="1533"/>
      <c r="BE168" s="1533"/>
    </row>
    <row r="169" spans="1:57" ht="15.75" customHeight="1">
      <c r="A169" s="1816"/>
      <c r="B169" s="2595" t="s">
        <v>2142</v>
      </c>
      <c r="C169" s="2596"/>
      <c r="D169" s="2596"/>
      <c r="E169" s="2596"/>
      <c r="F169" s="2596"/>
      <c r="G169" s="2596"/>
      <c r="H169" s="2596"/>
      <c r="I169" s="2596"/>
      <c r="J169" s="2596"/>
      <c r="K169" s="2596"/>
      <c r="L169" s="2596"/>
      <c r="M169" s="2596"/>
      <c r="N169" s="2596"/>
      <c r="O169" s="2596"/>
      <c r="P169" s="2596"/>
      <c r="Q169" s="2596"/>
      <c r="R169" s="2596"/>
      <c r="S169" s="2596"/>
      <c r="T169" s="2596"/>
      <c r="U169" s="2596"/>
      <c r="V169" s="2596"/>
      <c r="W169" s="2596"/>
      <c r="X169" s="2596"/>
      <c r="Y169" s="2596"/>
      <c r="Z169" s="2596"/>
      <c r="AA169" s="2596"/>
      <c r="AB169" s="2596"/>
      <c r="AC169" s="2596"/>
      <c r="AD169" s="2596"/>
      <c r="AE169" s="2596"/>
      <c r="AF169" s="2596"/>
      <c r="AG169" s="2596"/>
      <c r="AH169" s="2596"/>
      <c r="AI169" s="2596"/>
      <c r="AJ169" s="2596"/>
      <c r="AK169" s="2596"/>
      <c r="AL169" s="2596"/>
      <c r="AM169" s="2596"/>
      <c r="AN169" s="2596"/>
      <c r="AO169" s="2596"/>
      <c r="AP169" s="2596"/>
      <c r="AQ169" s="2596"/>
      <c r="AR169" s="2596"/>
      <c r="AS169" s="2596"/>
      <c r="AT169" s="2596"/>
      <c r="AU169" s="2596"/>
      <c r="AV169" s="2596"/>
      <c r="AW169" s="2596"/>
      <c r="AX169" s="2596"/>
      <c r="AY169" s="2596"/>
      <c r="AZ169" s="2596"/>
      <c r="BA169" s="2596"/>
      <c r="BB169" s="2596"/>
      <c r="BC169" s="2596"/>
      <c r="BD169" s="2597"/>
      <c r="BE169" s="1533"/>
    </row>
    <row r="170" spans="1:57" ht="15.75" customHeight="1">
      <c r="A170" s="1816"/>
      <c r="B170" s="1554"/>
      <c r="C170" s="1553"/>
      <c r="D170" s="1553"/>
      <c r="E170" s="1553"/>
      <c r="F170" s="1553"/>
      <c r="G170" s="1553"/>
      <c r="H170" s="1553"/>
      <c r="I170" s="1553"/>
      <c r="J170" s="1553"/>
      <c r="K170" s="1553"/>
      <c r="L170" s="1553"/>
      <c r="M170" s="1553"/>
      <c r="N170" s="1553"/>
      <c r="O170" s="1553"/>
      <c r="P170" s="1553"/>
      <c r="Q170" s="1553"/>
      <c r="R170" s="1553"/>
      <c r="S170" s="1553"/>
      <c r="T170" s="1553"/>
      <c r="U170" s="1553"/>
      <c r="V170" s="1553"/>
      <c r="W170" s="1553"/>
      <c r="X170" s="1553"/>
      <c r="Y170" s="1553"/>
      <c r="Z170" s="1553"/>
      <c r="AA170" s="1553"/>
      <c r="AB170" s="1553"/>
      <c r="AC170" s="1553"/>
      <c r="AD170" s="1553"/>
      <c r="AE170" s="1553"/>
      <c r="AF170" s="1553"/>
      <c r="AG170" s="1553"/>
      <c r="AH170" s="1553"/>
      <c r="AI170" s="1553"/>
      <c r="AJ170" s="1553"/>
      <c r="AK170" s="1553"/>
      <c r="AL170" s="1553"/>
      <c r="AM170" s="1553"/>
      <c r="AN170" s="1553"/>
      <c r="AO170" s="1553"/>
      <c r="AP170" s="1553"/>
      <c r="AQ170" s="1553"/>
      <c r="AR170" s="1553"/>
      <c r="AS170" s="1553"/>
      <c r="AT170" s="1553"/>
      <c r="AU170" s="1553"/>
      <c r="AV170" s="1553"/>
      <c r="AW170" s="1553"/>
      <c r="AX170" s="1553"/>
      <c r="AY170" s="1553"/>
      <c r="AZ170" s="1553"/>
      <c r="BA170" s="1553"/>
      <c r="BB170" s="1553"/>
      <c r="BC170" s="1553"/>
      <c r="BD170" s="1533"/>
      <c r="BE170" s="1533"/>
    </row>
    <row r="171" spans="1:57" ht="15.75" customHeight="1">
      <c r="A171" s="1816"/>
      <c r="B171" s="1555"/>
      <c r="C171" s="1553"/>
      <c r="D171" s="1553"/>
      <c r="E171" s="1553"/>
      <c r="F171" s="1553"/>
      <c r="G171" s="1553"/>
      <c r="H171" s="1556" t="s">
        <v>2143</v>
      </c>
      <c r="I171" s="1553"/>
      <c r="J171" s="1553"/>
      <c r="K171" s="1553"/>
      <c r="L171" s="1553"/>
      <c r="M171" s="1553"/>
      <c r="N171" s="1553"/>
      <c r="O171" s="1553"/>
      <c r="P171" s="1553"/>
      <c r="Q171" s="1553"/>
      <c r="R171" s="1553"/>
      <c r="S171" s="1553"/>
      <c r="T171" s="1553"/>
      <c r="U171" s="1553"/>
      <c r="V171" s="1553"/>
      <c r="W171" s="1553"/>
      <c r="X171" s="1553"/>
      <c r="Y171" s="1553"/>
      <c r="Z171" s="1553"/>
      <c r="AA171" s="1553"/>
      <c r="AB171" s="1553"/>
      <c r="AC171" s="1553"/>
      <c r="AD171" s="1553"/>
      <c r="AE171" s="1553"/>
      <c r="AF171" s="1553"/>
      <c r="AG171" s="1553"/>
      <c r="AH171" s="1553"/>
      <c r="AI171" s="1553"/>
      <c r="AJ171" s="1553"/>
      <c r="AK171" s="1553"/>
      <c r="AL171" s="1553"/>
      <c r="AM171" s="1553"/>
      <c r="AN171" s="1553"/>
      <c r="AO171" s="1553"/>
      <c r="AP171" s="1553"/>
      <c r="AQ171" s="1553"/>
      <c r="AR171" s="1553"/>
      <c r="AS171" s="1553"/>
      <c r="AT171" s="1553"/>
      <c r="AU171" s="1553"/>
      <c r="AV171" s="1553"/>
      <c r="AW171" s="1553"/>
      <c r="AX171" s="1553"/>
      <c r="AY171" s="1553"/>
      <c r="AZ171" s="1553"/>
      <c r="BA171" s="1553"/>
      <c r="BB171" s="1553"/>
      <c r="BC171" s="1553"/>
      <c r="BD171" s="1533"/>
      <c r="BE171" s="1533"/>
    </row>
    <row r="172" spans="1:57" ht="15.75" customHeight="1">
      <c r="A172" s="1816"/>
      <c r="B172" s="1555"/>
      <c r="C172" s="1553"/>
      <c r="D172" s="1553"/>
      <c r="E172" s="1553"/>
      <c r="F172" s="1553"/>
      <c r="G172" s="1553"/>
      <c r="H172" s="1553"/>
      <c r="I172" s="1553"/>
      <c r="J172" s="1553"/>
      <c r="K172" s="1553"/>
      <c r="L172" s="1553"/>
      <c r="M172" s="1553"/>
      <c r="N172" s="1553"/>
      <c r="O172" s="1553"/>
      <c r="P172" s="1553"/>
      <c r="Q172" s="1553"/>
      <c r="R172" s="1553"/>
      <c r="S172" s="1553"/>
      <c r="T172" s="1553"/>
      <c r="U172" s="1553"/>
      <c r="V172" s="1553"/>
      <c r="W172" s="1553"/>
      <c r="X172" s="1553"/>
      <c r="Y172" s="1553"/>
      <c r="Z172" s="1553"/>
      <c r="AA172" s="1553"/>
      <c r="AB172" s="1553"/>
      <c r="AC172" s="1553"/>
      <c r="AD172" s="1553"/>
      <c r="AE172" s="1553"/>
      <c r="AF172" s="1553"/>
      <c r="AG172" s="1553"/>
      <c r="AH172" s="1553"/>
      <c r="AI172" s="1553"/>
      <c r="AJ172" s="1553"/>
      <c r="AK172" s="1553"/>
      <c r="AL172" s="1553"/>
      <c r="AM172" s="1553"/>
      <c r="AN172" s="1553"/>
      <c r="AO172" s="1553"/>
      <c r="AP172" s="1553"/>
      <c r="AQ172" s="1553"/>
      <c r="AR172" s="1553"/>
      <c r="AS172" s="1553"/>
      <c r="AT172" s="1553"/>
      <c r="AU172" s="1553"/>
      <c r="AV172" s="1553"/>
      <c r="AW172" s="1553"/>
      <c r="AX172" s="1553"/>
      <c r="AY172" s="1553"/>
      <c r="AZ172" s="1553"/>
      <c r="BA172" s="1553"/>
      <c r="BB172" s="1553"/>
      <c r="BC172" s="1553"/>
      <c r="BD172" s="1533"/>
      <c r="BE172" s="1533"/>
    </row>
    <row r="173" spans="1:57" ht="15.75" customHeight="1">
      <c r="A173" s="1816"/>
      <c r="B173" s="1555"/>
      <c r="C173" s="1553"/>
      <c r="D173" s="1553"/>
      <c r="E173" s="1553"/>
      <c r="F173" s="1553"/>
      <c r="G173" s="1553"/>
      <c r="H173" s="2598" t="s">
        <v>2144</v>
      </c>
      <c r="I173" s="2598"/>
      <c r="J173" s="2598"/>
      <c r="K173" s="2598"/>
      <c r="L173" s="2598"/>
      <c r="M173" s="2598"/>
      <c r="N173" s="2598"/>
      <c r="O173" s="2598"/>
      <c r="P173" s="2598"/>
      <c r="Q173" s="2598"/>
      <c r="R173" s="2598"/>
      <c r="S173" s="2598"/>
      <c r="T173" s="2598"/>
      <c r="U173" s="2598"/>
      <c r="V173" s="2598"/>
      <c r="W173" s="2598"/>
      <c r="X173" s="2598"/>
      <c r="Y173" s="2598"/>
      <c r="Z173" s="2598"/>
      <c r="AA173" s="2598"/>
      <c r="AB173" s="2598"/>
      <c r="AC173" s="2598"/>
      <c r="AD173" s="2598"/>
      <c r="AE173" s="2598"/>
      <c r="AF173" s="2598"/>
      <c r="AG173" s="2598"/>
      <c r="AH173" s="2598"/>
      <c r="AI173" s="2598"/>
      <c r="AJ173" s="2598"/>
      <c r="AK173" s="2598"/>
      <c r="AL173" s="2598"/>
      <c r="AM173" s="2598"/>
      <c r="AN173" s="2598"/>
      <c r="AO173" s="2598"/>
      <c r="AP173" s="2598"/>
      <c r="AQ173" s="2598"/>
      <c r="AR173" s="2598"/>
      <c r="AS173" s="2598"/>
      <c r="AT173" s="2598"/>
      <c r="AU173" s="2598"/>
      <c r="AV173" s="2598"/>
      <c r="AW173" s="2598"/>
      <c r="AX173" s="2598"/>
      <c r="AY173" s="2598"/>
      <c r="AZ173" s="1553"/>
      <c r="BA173" s="1553"/>
      <c r="BB173" s="1553"/>
      <c r="BC173" s="1553"/>
      <c r="BD173" s="1533"/>
      <c r="BE173" s="1533"/>
    </row>
    <row r="174" spans="1:57" ht="15.75" customHeight="1">
      <c r="A174" s="1816"/>
      <c r="B174" s="1555"/>
      <c r="C174" s="1553"/>
      <c r="D174" s="1553"/>
      <c r="E174" s="1553"/>
      <c r="F174" s="1553"/>
      <c r="G174" s="1553"/>
      <c r="H174" s="1553"/>
      <c r="I174" s="1553"/>
      <c r="J174" s="1553"/>
      <c r="K174" s="1553"/>
      <c r="L174" s="1553"/>
      <c r="M174" s="1553"/>
      <c r="N174" s="1553"/>
      <c r="O174" s="1553"/>
      <c r="P174" s="1553"/>
      <c r="Q174" s="1553"/>
      <c r="R174" s="1553"/>
      <c r="S174" s="1553"/>
      <c r="T174" s="1553"/>
      <c r="U174" s="1553"/>
      <c r="V174" s="1553"/>
      <c r="W174" s="1553"/>
      <c r="X174" s="1553"/>
      <c r="Y174" s="1553"/>
      <c r="Z174" s="1553"/>
      <c r="AA174" s="1553"/>
      <c r="AB174" s="1553"/>
      <c r="AC174" s="1553"/>
      <c r="AD174" s="1553"/>
      <c r="AE174" s="1553"/>
      <c r="AF174" s="1553"/>
      <c r="AG174" s="1553"/>
      <c r="AH174" s="1553"/>
      <c r="AI174" s="1553"/>
      <c r="AJ174" s="1553"/>
      <c r="AK174" s="1553"/>
      <c r="AL174" s="1553"/>
      <c r="AM174" s="1553"/>
      <c r="AN174" s="1553"/>
      <c r="AO174" s="1553"/>
      <c r="AP174" s="1553"/>
      <c r="AQ174" s="1553"/>
      <c r="AR174" s="1553"/>
      <c r="AS174" s="1553"/>
      <c r="AT174" s="1553"/>
      <c r="AU174" s="1553"/>
      <c r="AV174" s="1553"/>
      <c r="AW174" s="1553"/>
      <c r="AX174" s="1553"/>
      <c r="AY174" s="1553"/>
      <c r="AZ174" s="1553"/>
      <c r="BA174" s="1553"/>
      <c r="BB174" s="1553"/>
      <c r="BC174" s="1553"/>
      <c r="BD174" s="1533"/>
      <c r="BE174" s="1533"/>
    </row>
    <row r="175" spans="1:57" ht="15.75" customHeight="1">
      <c r="A175" s="1816"/>
      <c r="B175" s="1555"/>
      <c r="C175" s="1553"/>
      <c r="D175" s="1553"/>
      <c r="E175" s="1553"/>
      <c r="F175" s="1553"/>
      <c r="G175" s="1553"/>
      <c r="H175" s="2599" t="s">
        <v>2145</v>
      </c>
      <c r="I175" s="2599"/>
      <c r="J175" s="2599"/>
      <c r="K175" s="2599"/>
      <c r="L175" s="2599"/>
      <c r="M175" s="2599"/>
      <c r="N175" s="2599"/>
      <c r="O175" s="2599"/>
      <c r="P175" s="2599"/>
      <c r="Q175" s="2599"/>
      <c r="R175" s="2599"/>
      <c r="S175" s="2599"/>
      <c r="T175" s="2599"/>
      <c r="U175" s="2599"/>
      <c r="V175" s="2599"/>
      <c r="W175" s="2599"/>
      <c r="X175" s="2599"/>
      <c r="Y175" s="2599"/>
      <c r="Z175" s="2599"/>
      <c r="AA175" s="2599"/>
      <c r="AB175" s="2599"/>
      <c r="AC175" s="2599"/>
      <c r="AD175" s="2599"/>
      <c r="AE175" s="2599"/>
      <c r="AF175" s="2599"/>
      <c r="AG175" s="2599"/>
      <c r="AH175" s="2599"/>
      <c r="AI175" s="2599"/>
      <c r="AJ175" s="2599"/>
      <c r="AK175" s="2599"/>
      <c r="AL175" s="2599"/>
      <c r="AM175" s="2599"/>
      <c r="AN175" s="2599"/>
      <c r="AO175" s="2599"/>
      <c r="AP175" s="2599"/>
      <c r="AQ175" s="2599"/>
      <c r="AR175" s="2599"/>
      <c r="AS175" s="2599"/>
      <c r="AT175" s="2599"/>
      <c r="AU175" s="2599"/>
      <c r="AV175" s="2599"/>
      <c r="AW175" s="2599"/>
      <c r="AX175" s="2599"/>
      <c r="AY175" s="2599"/>
      <c r="AZ175" s="2599"/>
      <c r="BA175" s="1553"/>
      <c r="BB175" s="1553"/>
      <c r="BC175" s="1553"/>
      <c r="BD175" s="1533"/>
      <c r="BE175" s="1533"/>
    </row>
    <row r="176" spans="1:57" ht="15.75" customHeight="1">
      <c r="A176" s="1816"/>
      <c r="B176" s="1526"/>
      <c r="C176" s="1553"/>
      <c r="D176" s="1553"/>
      <c r="E176" s="1553"/>
      <c r="F176" s="1553"/>
      <c r="G176" s="1553"/>
      <c r="H176" s="2599"/>
      <c r="I176" s="2599"/>
      <c r="J176" s="2599"/>
      <c r="K176" s="2599"/>
      <c r="L176" s="2599"/>
      <c r="M176" s="2599"/>
      <c r="N176" s="2599"/>
      <c r="O176" s="2599"/>
      <c r="P176" s="2599"/>
      <c r="Q176" s="2599"/>
      <c r="R176" s="2599"/>
      <c r="S176" s="2599"/>
      <c r="T176" s="2599"/>
      <c r="U176" s="2599"/>
      <c r="V176" s="2599"/>
      <c r="W176" s="2599"/>
      <c r="X176" s="2599"/>
      <c r="Y176" s="2599"/>
      <c r="Z176" s="2599"/>
      <c r="AA176" s="2599"/>
      <c r="AB176" s="2599"/>
      <c r="AC176" s="2599"/>
      <c r="AD176" s="2599"/>
      <c r="AE176" s="2599"/>
      <c r="AF176" s="2599"/>
      <c r="AG176" s="2599"/>
      <c r="AH176" s="2599"/>
      <c r="AI176" s="2599"/>
      <c r="AJ176" s="2599"/>
      <c r="AK176" s="2599"/>
      <c r="AL176" s="2599"/>
      <c r="AM176" s="2599"/>
      <c r="AN176" s="2599"/>
      <c r="AO176" s="2599"/>
      <c r="AP176" s="2599"/>
      <c r="AQ176" s="2599"/>
      <c r="AR176" s="2599"/>
      <c r="AS176" s="2599"/>
      <c r="AT176" s="2599"/>
      <c r="AU176" s="2599"/>
      <c r="AV176" s="2599"/>
      <c r="AW176" s="2599"/>
      <c r="AX176" s="2599"/>
      <c r="AY176" s="2599"/>
      <c r="AZ176" s="2599"/>
      <c r="BA176" s="1553"/>
      <c r="BB176" s="1553"/>
      <c r="BC176" s="1553"/>
      <c r="BD176" s="1533"/>
      <c r="BE176" s="1533"/>
    </row>
    <row r="177" spans="1:57" ht="15.75" customHeight="1">
      <c r="A177" s="1816"/>
      <c r="B177" s="1526"/>
      <c r="C177" s="1553"/>
      <c r="D177" s="1553"/>
      <c r="E177" s="1553"/>
      <c r="F177" s="1553"/>
      <c r="G177" s="1553"/>
      <c r="H177" s="2599"/>
      <c r="I177" s="2599"/>
      <c r="J177" s="2599"/>
      <c r="K177" s="2599"/>
      <c r="L177" s="2599"/>
      <c r="M177" s="2599"/>
      <c r="N177" s="2599"/>
      <c r="O177" s="2599"/>
      <c r="P177" s="2599"/>
      <c r="Q177" s="2599"/>
      <c r="R177" s="2599"/>
      <c r="S177" s="2599"/>
      <c r="T177" s="2599"/>
      <c r="U177" s="2599"/>
      <c r="V177" s="2599"/>
      <c r="W177" s="2599"/>
      <c r="X177" s="2599"/>
      <c r="Y177" s="2599"/>
      <c r="Z177" s="2599"/>
      <c r="AA177" s="2599"/>
      <c r="AB177" s="2599"/>
      <c r="AC177" s="2599"/>
      <c r="AD177" s="2599"/>
      <c r="AE177" s="2599"/>
      <c r="AF177" s="2599"/>
      <c r="AG177" s="2599"/>
      <c r="AH177" s="2599"/>
      <c r="AI177" s="2599"/>
      <c r="AJ177" s="2599"/>
      <c r="AK177" s="2599"/>
      <c r="AL177" s="2599"/>
      <c r="AM177" s="2599"/>
      <c r="AN177" s="2599"/>
      <c r="AO177" s="2599"/>
      <c r="AP177" s="2599"/>
      <c r="AQ177" s="2599"/>
      <c r="AR177" s="2599"/>
      <c r="AS177" s="2599"/>
      <c r="AT177" s="2599"/>
      <c r="AU177" s="2599"/>
      <c r="AV177" s="2599"/>
      <c r="AW177" s="2599"/>
      <c r="AX177" s="2599"/>
      <c r="AY177" s="2599"/>
      <c r="AZ177" s="2599"/>
      <c r="BA177" s="1553"/>
      <c r="BB177" s="1553"/>
      <c r="BC177" s="1553"/>
      <c r="BD177" s="1533"/>
      <c r="BE177" s="1533"/>
    </row>
    <row r="178" spans="1:57" ht="15.75" customHeight="1">
      <c r="A178" s="1816"/>
      <c r="B178" s="1526"/>
      <c r="C178" s="1553"/>
      <c r="D178" s="1553"/>
      <c r="E178" s="1553"/>
      <c r="F178" s="1553"/>
      <c r="G178" s="1553"/>
      <c r="H178" s="1557"/>
      <c r="I178" s="1557"/>
      <c r="J178" s="1557"/>
      <c r="K178" s="1557"/>
      <c r="L178" s="1557"/>
      <c r="M178" s="1557"/>
      <c r="N178" s="1557"/>
      <c r="O178" s="1557"/>
      <c r="P178" s="1557"/>
      <c r="Q178" s="1557"/>
      <c r="R178" s="1557"/>
      <c r="S178" s="1557"/>
      <c r="T178" s="1557"/>
      <c r="U178" s="1557"/>
      <c r="V178" s="1557"/>
      <c r="W178" s="1557"/>
      <c r="X178" s="1557"/>
      <c r="Y178" s="1557"/>
      <c r="Z178" s="1557"/>
      <c r="AA178" s="1557"/>
      <c r="AB178" s="1557"/>
      <c r="AC178" s="1557"/>
      <c r="AD178" s="1557"/>
      <c r="AE178" s="1557"/>
      <c r="AF178" s="1557"/>
      <c r="AG178" s="1557"/>
      <c r="AH178" s="1557"/>
      <c r="AI178" s="1557"/>
      <c r="AJ178" s="1557"/>
      <c r="AK178" s="1557"/>
      <c r="AL178" s="1557"/>
      <c r="AM178" s="1557"/>
      <c r="AN178" s="1557"/>
      <c r="AO178" s="1557"/>
      <c r="AP178" s="1557"/>
      <c r="AQ178" s="1557"/>
      <c r="AR178" s="1557"/>
      <c r="AS178" s="1557"/>
      <c r="AT178" s="1557"/>
      <c r="AU178" s="1557"/>
      <c r="AV178" s="1557"/>
      <c r="AW178" s="1557"/>
      <c r="AX178" s="1557"/>
      <c r="AY178" s="1557"/>
      <c r="AZ178" s="1553"/>
      <c r="BA178" s="1553"/>
      <c r="BB178" s="1553"/>
      <c r="BC178" s="1553"/>
      <c r="BD178" s="1533"/>
      <c r="BE178" s="1533"/>
    </row>
    <row r="179" spans="1:57" ht="15.75" customHeight="1">
      <c r="A179" s="1816"/>
      <c r="B179" s="1526"/>
      <c r="C179" s="1553"/>
      <c r="D179" s="1553"/>
      <c r="E179" s="1553"/>
      <c r="F179" s="1553"/>
      <c r="G179" s="1553"/>
      <c r="H179" s="1553"/>
      <c r="I179" s="1553"/>
      <c r="J179" s="1553"/>
      <c r="K179" s="1553"/>
      <c r="L179" s="1553"/>
      <c r="M179" s="1553"/>
      <c r="N179" s="1553"/>
      <c r="O179" s="1553"/>
      <c r="P179" s="1553"/>
      <c r="Q179" s="1553"/>
      <c r="R179" s="1553"/>
      <c r="S179" s="1553"/>
      <c r="T179" s="1553"/>
      <c r="U179" s="1553"/>
      <c r="V179" s="1553"/>
      <c r="W179" s="1553"/>
      <c r="X179" s="1553"/>
      <c r="Y179" s="1553"/>
      <c r="Z179" s="1553"/>
      <c r="AA179" s="1553"/>
      <c r="AB179" s="1553"/>
      <c r="AC179" s="1553"/>
      <c r="AD179" s="1553"/>
      <c r="AE179" s="1553"/>
      <c r="AF179" s="1553"/>
      <c r="AG179" s="1553"/>
      <c r="AH179" s="1553"/>
      <c r="AI179" s="1553"/>
      <c r="AJ179" s="1553"/>
      <c r="AK179" s="1553"/>
      <c r="AL179" s="1553"/>
      <c r="AM179" s="1553"/>
      <c r="AN179" s="1553"/>
      <c r="AO179" s="1553"/>
      <c r="AP179" s="1553"/>
      <c r="AQ179" s="1553"/>
      <c r="AR179" s="1553"/>
      <c r="AS179" s="1553"/>
      <c r="AT179" s="1553"/>
      <c r="AU179" s="1553"/>
      <c r="AV179" s="1553"/>
      <c r="AW179" s="1553"/>
      <c r="AX179" s="1553"/>
      <c r="AY179" s="1553"/>
      <c r="AZ179" s="1553"/>
      <c r="BA179" s="1553"/>
      <c r="BB179" s="1553"/>
      <c r="BC179" s="1553"/>
      <c r="BD179" s="1533"/>
      <c r="BE179" s="1533"/>
    </row>
    <row r="180" spans="1:57" ht="15.75" customHeight="1" thickBot="1">
      <c r="A180" s="1816"/>
      <c r="B180" s="1558"/>
      <c r="C180" s="1559"/>
      <c r="D180" s="1559"/>
      <c r="E180" s="1559"/>
      <c r="F180" s="1559"/>
      <c r="G180" s="1559"/>
      <c r="H180" s="2600" t="s">
        <v>2146</v>
      </c>
      <c r="I180" s="2600"/>
      <c r="J180" s="2600"/>
      <c r="K180" s="2600"/>
      <c r="L180" s="2600"/>
      <c r="M180" s="2600"/>
      <c r="N180" s="2600"/>
      <c r="O180" s="2600"/>
      <c r="P180" s="2600"/>
      <c r="Q180" s="2600"/>
      <c r="R180" s="2600"/>
      <c r="S180" s="2600"/>
      <c r="T180" s="2600"/>
      <c r="U180" s="2600"/>
      <c r="V180" s="2600"/>
      <c r="W180" s="2600"/>
      <c r="X180" s="2600"/>
      <c r="Y180" s="2600"/>
      <c r="Z180" s="2600"/>
      <c r="AA180" s="2600"/>
      <c r="AB180" s="2600"/>
      <c r="AC180" s="2600"/>
      <c r="AD180" s="2600"/>
      <c r="AE180" s="2600"/>
      <c r="AF180" s="2600"/>
      <c r="AG180" s="2600"/>
      <c r="AH180" s="2600"/>
      <c r="AI180" s="2600"/>
      <c r="AJ180" s="2600"/>
      <c r="AK180" s="2600"/>
      <c r="AL180" s="2600"/>
      <c r="AM180" s="2600"/>
      <c r="AN180" s="2600"/>
      <c r="AO180" s="2600"/>
      <c r="AP180" s="2600"/>
      <c r="AQ180" s="2600"/>
      <c r="AR180" s="2600"/>
      <c r="AS180" s="2600"/>
      <c r="AT180" s="2600"/>
      <c r="AU180" s="2600"/>
      <c r="AV180" s="2600"/>
      <c r="AW180" s="1559"/>
      <c r="AX180" s="1559"/>
      <c r="AY180" s="1559"/>
      <c r="AZ180" s="1559"/>
      <c r="BA180" s="1559"/>
      <c r="BB180" s="1559"/>
      <c r="BC180" s="1559"/>
      <c r="BD180" s="1560"/>
      <c r="BE180" s="1533"/>
    </row>
    <row r="181" spans="1:57" ht="15.75" customHeight="1" thickBot="1">
      <c r="A181" s="1816"/>
      <c r="B181" s="1561"/>
      <c r="C181" s="1562"/>
      <c r="D181" s="1562"/>
      <c r="E181" s="1562"/>
      <c r="F181" s="1562"/>
      <c r="G181" s="1562"/>
      <c r="H181" s="1562"/>
      <c r="I181" s="1562"/>
      <c r="J181" s="1562"/>
      <c r="K181" s="1562"/>
      <c r="L181" s="1562"/>
      <c r="M181" s="1562"/>
      <c r="N181" s="1562"/>
      <c r="O181" s="1562"/>
      <c r="P181" s="1562"/>
      <c r="Q181" s="1562"/>
      <c r="R181" s="1562"/>
      <c r="S181" s="1562"/>
      <c r="T181" s="1562"/>
      <c r="U181" s="1562"/>
      <c r="V181" s="1562"/>
      <c r="W181" s="1562"/>
      <c r="X181" s="1562"/>
      <c r="Y181" s="1562"/>
      <c r="Z181" s="1562"/>
      <c r="AA181" s="1562"/>
      <c r="AB181" s="1562"/>
      <c r="AC181" s="1562"/>
      <c r="AD181" s="1562"/>
      <c r="AE181" s="1562"/>
      <c r="AF181" s="1562"/>
      <c r="AG181" s="1562"/>
      <c r="AH181" s="1562"/>
      <c r="AI181" s="1562"/>
      <c r="AJ181" s="1562"/>
      <c r="AK181" s="1562"/>
      <c r="AL181" s="1562"/>
      <c r="AM181" s="1562"/>
      <c r="AN181" s="1562"/>
      <c r="AO181" s="1562"/>
      <c r="AP181" s="1562"/>
      <c r="AQ181" s="1562"/>
      <c r="AR181" s="1562"/>
      <c r="AS181" s="1562"/>
      <c r="AT181" s="1562"/>
      <c r="AU181" s="1562"/>
      <c r="AV181" s="1562"/>
      <c r="AW181" s="1562"/>
      <c r="AX181" s="1562"/>
      <c r="AY181" s="1562"/>
      <c r="AZ181" s="1562"/>
      <c r="BA181" s="1562"/>
      <c r="BB181" s="1562"/>
      <c r="BC181" s="1562"/>
      <c r="BD181" s="1563"/>
      <c r="BE181" s="1533"/>
    </row>
    <row r="182" spans="1:57" ht="15.75" customHeight="1" thickBot="1">
      <c r="A182" s="1816"/>
      <c r="B182" s="1561"/>
      <c r="C182" s="1562"/>
      <c r="D182" s="1562"/>
      <c r="E182" s="1562"/>
      <c r="F182" s="1562"/>
      <c r="G182" s="1562"/>
      <c r="H182" s="2593" t="s">
        <v>2147</v>
      </c>
      <c r="I182" s="2593"/>
      <c r="J182" s="2593"/>
      <c r="K182" s="2593"/>
      <c r="L182" s="1562"/>
      <c r="M182" s="1562"/>
      <c r="N182" s="1562"/>
      <c r="O182" s="1562"/>
      <c r="P182" s="1562"/>
      <c r="Q182" s="1562"/>
      <c r="R182" s="1562"/>
      <c r="S182" s="2590"/>
      <c r="T182" s="2591"/>
      <c r="U182" s="2591"/>
      <c r="V182" s="2591"/>
      <c r="W182" s="2591"/>
      <c r="X182" s="2591"/>
      <c r="Y182" s="2591"/>
      <c r="Z182" s="2591"/>
      <c r="AA182" s="2591"/>
      <c r="AB182" s="2591"/>
      <c r="AC182" s="2591"/>
      <c r="AD182" s="2591"/>
      <c r="AE182" s="2591"/>
      <c r="AF182" s="2591"/>
      <c r="AG182" s="2591"/>
      <c r="AH182" s="2591"/>
      <c r="AI182" s="2591"/>
      <c r="AJ182" s="2592"/>
      <c r="AK182" s="1562"/>
      <c r="AL182" s="1562"/>
      <c r="AM182" s="1562"/>
      <c r="AN182" s="1562"/>
      <c r="AO182" s="1562"/>
      <c r="AP182" s="1562"/>
      <c r="AQ182" s="1562"/>
      <c r="AR182" s="1562"/>
      <c r="AS182" s="1562"/>
      <c r="AT182" s="1562"/>
      <c r="AU182" s="1562"/>
      <c r="AV182" s="1562"/>
      <c r="AW182" s="1562"/>
      <c r="AX182" s="1562"/>
      <c r="AY182" s="1562"/>
      <c r="AZ182" s="1562"/>
      <c r="BA182" s="1562"/>
      <c r="BB182" s="1562"/>
      <c r="BC182" s="1562"/>
      <c r="BD182" s="1563"/>
      <c r="BE182" s="1533"/>
    </row>
    <row r="183" spans="1:57" ht="15.75" customHeight="1" thickBot="1">
      <c r="A183" s="1816"/>
      <c r="B183" s="1561"/>
      <c r="C183" s="1562"/>
      <c r="D183" s="1562"/>
      <c r="E183" s="1562"/>
      <c r="F183" s="1562"/>
      <c r="G183" s="1562"/>
      <c r="H183" s="1564"/>
      <c r="I183" s="1564"/>
      <c r="J183" s="1564"/>
      <c r="K183" s="1564"/>
      <c r="L183" s="1562"/>
      <c r="M183" s="1562"/>
      <c r="N183" s="1562"/>
      <c r="O183" s="1562"/>
      <c r="P183" s="1562"/>
      <c r="Q183" s="1562"/>
      <c r="R183" s="1562"/>
      <c r="S183" s="1562"/>
      <c r="T183" s="1562"/>
      <c r="U183" s="1562"/>
      <c r="V183" s="1562"/>
      <c r="W183" s="1562"/>
      <c r="X183" s="1562"/>
      <c r="Y183" s="1562"/>
      <c r="Z183" s="1562"/>
      <c r="AA183" s="1562"/>
      <c r="AB183" s="1562"/>
      <c r="AC183" s="1562"/>
      <c r="AD183" s="1562"/>
      <c r="AE183" s="1562"/>
      <c r="AF183" s="1562"/>
      <c r="AG183" s="1562"/>
      <c r="AH183" s="1562"/>
      <c r="AI183" s="1562"/>
      <c r="AJ183" s="1562"/>
      <c r="AK183" s="1562"/>
      <c r="AL183" s="1562"/>
      <c r="AM183" s="1562"/>
      <c r="AN183" s="1562"/>
      <c r="AO183" s="1562"/>
      <c r="AP183" s="1562"/>
      <c r="AQ183" s="1562"/>
      <c r="AR183" s="1562"/>
      <c r="AS183" s="1562"/>
      <c r="AT183" s="1562"/>
      <c r="AU183" s="1562"/>
      <c r="AV183" s="1562"/>
      <c r="AW183" s="1562"/>
      <c r="AX183" s="1562"/>
      <c r="AY183" s="1562"/>
      <c r="AZ183" s="1562"/>
      <c r="BA183" s="1562"/>
      <c r="BB183" s="1562"/>
      <c r="BC183" s="1562"/>
      <c r="BD183" s="1563"/>
      <c r="BE183" s="1533"/>
    </row>
    <row r="184" spans="1:57" ht="15.75" customHeight="1" thickBot="1">
      <c r="A184" s="1816"/>
      <c r="B184" s="1561"/>
      <c r="C184" s="1562"/>
      <c r="D184" s="1562"/>
      <c r="E184" s="1562"/>
      <c r="F184" s="1562"/>
      <c r="G184" s="1562"/>
      <c r="H184" s="2593" t="s">
        <v>2148</v>
      </c>
      <c r="I184" s="2593"/>
      <c r="J184" s="2593"/>
      <c r="K184" s="1564"/>
      <c r="L184" s="1562"/>
      <c r="M184" s="1562"/>
      <c r="N184" s="1562"/>
      <c r="O184" s="1562"/>
      <c r="P184" s="1562"/>
      <c r="Q184" s="1562"/>
      <c r="R184" s="1562"/>
      <c r="S184" s="2590"/>
      <c r="T184" s="2591"/>
      <c r="U184" s="2591"/>
      <c r="V184" s="2591"/>
      <c r="W184" s="2591"/>
      <c r="X184" s="2591"/>
      <c r="Y184" s="2591"/>
      <c r="Z184" s="2591"/>
      <c r="AA184" s="2591"/>
      <c r="AB184" s="2591"/>
      <c r="AC184" s="2591"/>
      <c r="AD184" s="2591"/>
      <c r="AE184" s="2591"/>
      <c r="AF184" s="2591"/>
      <c r="AG184" s="2591"/>
      <c r="AH184" s="2591"/>
      <c r="AI184" s="2591"/>
      <c r="AJ184" s="2592"/>
      <c r="AK184" s="1562"/>
      <c r="AL184" s="1562"/>
      <c r="AM184" s="1562"/>
      <c r="AN184" s="1562"/>
      <c r="AO184" s="1562"/>
      <c r="AP184" s="1562"/>
      <c r="AQ184" s="1562"/>
      <c r="AR184" s="1562"/>
      <c r="AS184" s="1562"/>
      <c r="AT184" s="1562"/>
      <c r="AU184" s="1562"/>
      <c r="AV184" s="1562"/>
      <c r="AW184" s="1562"/>
      <c r="AX184" s="1562"/>
      <c r="AY184" s="1562"/>
      <c r="AZ184" s="1562"/>
      <c r="BA184" s="1562"/>
      <c r="BB184" s="1562"/>
      <c r="BC184" s="1562"/>
      <c r="BD184" s="1563"/>
      <c r="BE184" s="1533"/>
    </row>
    <row r="185" spans="1:57" ht="15.75" customHeight="1" thickBot="1">
      <c r="A185" s="1816"/>
      <c r="B185" s="1561"/>
      <c r="C185" s="1562"/>
      <c r="D185" s="1562"/>
      <c r="E185" s="1562"/>
      <c r="F185" s="1562"/>
      <c r="G185" s="1562"/>
      <c r="H185" s="1564"/>
      <c r="I185" s="1564"/>
      <c r="J185" s="1564"/>
      <c r="K185" s="1564"/>
      <c r="L185" s="1562"/>
      <c r="M185" s="1562"/>
      <c r="N185" s="1562"/>
      <c r="O185" s="1562"/>
      <c r="P185" s="1562"/>
      <c r="Q185" s="1562"/>
      <c r="R185" s="1562"/>
      <c r="S185" s="1562"/>
      <c r="T185" s="1562"/>
      <c r="U185" s="1562"/>
      <c r="V185" s="1562"/>
      <c r="W185" s="1562"/>
      <c r="X185" s="1562"/>
      <c r="Y185" s="1562"/>
      <c r="Z185" s="1562"/>
      <c r="AA185" s="1562"/>
      <c r="AB185" s="1562"/>
      <c r="AC185" s="1562"/>
      <c r="AD185" s="1562"/>
      <c r="AE185" s="1562"/>
      <c r="AF185" s="1562"/>
      <c r="AG185" s="1562"/>
      <c r="AH185" s="1562"/>
      <c r="AI185" s="1562"/>
      <c r="AJ185" s="1562"/>
      <c r="AK185" s="1562"/>
      <c r="AL185" s="1562"/>
      <c r="AM185" s="1562"/>
      <c r="AN185" s="1562"/>
      <c r="AO185" s="1562"/>
      <c r="AP185" s="1562"/>
      <c r="AQ185" s="1562"/>
      <c r="AR185" s="1562"/>
      <c r="AS185" s="1562"/>
      <c r="AT185" s="1562"/>
      <c r="AU185" s="1562"/>
      <c r="AV185" s="1562"/>
      <c r="AW185" s="1562"/>
      <c r="AX185" s="1562"/>
      <c r="AY185" s="1562"/>
      <c r="AZ185" s="1562"/>
      <c r="BA185" s="1562"/>
      <c r="BB185" s="1562"/>
      <c r="BC185" s="1562"/>
      <c r="BD185" s="1563"/>
      <c r="BE185" s="1533"/>
    </row>
    <row r="186" spans="1:57" ht="15.75" customHeight="1" thickBot="1">
      <c r="A186" s="1816"/>
      <c r="B186" s="1561"/>
      <c r="C186" s="1562"/>
      <c r="D186" s="1562"/>
      <c r="E186" s="1562"/>
      <c r="F186" s="1562"/>
      <c r="G186" s="1562"/>
      <c r="H186" s="2593" t="s">
        <v>464</v>
      </c>
      <c r="I186" s="2593"/>
      <c r="J186" s="1564"/>
      <c r="K186" s="1564"/>
      <c r="L186" s="1562"/>
      <c r="M186" s="1562"/>
      <c r="N186" s="1562"/>
      <c r="O186" s="1562"/>
      <c r="P186" s="1562"/>
      <c r="Q186" s="1562"/>
      <c r="R186" s="1562"/>
      <c r="S186" s="2590"/>
      <c r="T186" s="2591"/>
      <c r="U186" s="2591"/>
      <c r="V186" s="2591"/>
      <c r="W186" s="2591"/>
      <c r="X186" s="2591"/>
      <c r="Y186" s="2591"/>
      <c r="Z186" s="2591"/>
      <c r="AA186" s="2591"/>
      <c r="AB186" s="2591"/>
      <c r="AC186" s="2591"/>
      <c r="AD186" s="2591"/>
      <c r="AE186" s="2591"/>
      <c r="AF186" s="2591"/>
      <c r="AG186" s="2591"/>
      <c r="AH186" s="2591"/>
      <c r="AI186" s="2591"/>
      <c r="AJ186" s="2592"/>
      <c r="AK186" s="1562"/>
      <c r="AL186" s="1562"/>
      <c r="AM186" s="1562"/>
      <c r="AN186" s="1562"/>
      <c r="AO186" s="1562"/>
      <c r="AP186" s="1562"/>
      <c r="AQ186" s="1562"/>
      <c r="AR186" s="1562"/>
      <c r="AS186" s="1562"/>
      <c r="AT186" s="1562"/>
      <c r="AU186" s="1562"/>
      <c r="AV186" s="1562"/>
      <c r="AW186" s="1562"/>
      <c r="AX186" s="1562"/>
      <c r="AY186" s="1562"/>
      <c r="AZ186" s="1562"/>
      <c r="BA186" s="1562"/>
      <c r="BB186" s="1562"/>
      <c r="BC186" s="1562"/>
      <c r="BD186" s="1563"/>
      <c r="BE186" s="1533"/>
    </row>
    <row r="187" spans="1:57" ht="15.75" customHeight="1" thickBot="1">
      <c r="A187" s="1816"/>
      <c r="B187" s="1561"/>
      <c r="C187" s="1562"/>
      <c r="D187" s="1562"/>
      <c r="E187" s="1562"/>
      <c r="F187" s="1562"/>
      <c r="G187" s="1562"/>
      <c r="H187" s="1562"/>
      <c r="I187" s="1562"/>
      <c r="J187" s="1562"/>
      <c r="K187" s="1562"/>
      <c r="L187" s="1562"/>
      <c r="M187" s="1562"/>
      <c r="N187" s="1562"/>
      <c r="O187" s="1562"/>
      <c r="P187" s="1562"/>
      <c r="Q187" s="1562"/>
      <c r="R187" s="1562"/>
      <c r="S187" s="1562"/>
      <c r="T187" s="1562"/>
      <c r="U187" s="1562"/>
      <c r="V187" s="1562"/>
      <c r="W187" s="1562"/>
      <c r="X187" s="1562"/>
      <c r="Y187" s="1562"/>
      <c r="Z187" s="1562"/>
      <c r="AA187" s="1562"/>
      <c r="AB187" s="1562"/>
      <c r="AC187" s="1562"/>
      <c r="AD187" s="1562"/>
      <c r="AE187" s="1562"/>
      <c r="AF187" s="1562"/>
      <c r="AG187" s="1562"/>
      <c r="AH187" s="1562"/>
      <c r="AI187" s="1562"/>
      <c r="AJ187" s="1562"/>
      <c r="AK187" s="1562"/>
      <c r="AL187" s="1562"/>
      <c r="AM187" s="1562"/>
      <c r="AN187" s="1562"/>
      <c r="AO187" s="1562"/>
      <c r="AP187" s="1562"/>
      <c r="AQ187" s="1562"/>
      <c r="AR187" s="1562"/>
      <c r="AS187" s="1562"/>
      <c r="AT187" s="1562"/>
      <c r="AU187" s="1562"/>
      <c r="AV187" s="1562"/>
      <c r="AW187" s="1562"/>
      <c r="AX187" s="1562"/>
      <c r="AY187" s="1562"/>
      <c r="AZ187" s="1562"/>
      <c r="BA187" s="1562"/>
      <c r="BB187" s="1562"/>
      <c r="BC187" s="1562"/>
      <c r="BD187" s="1563"/>
      <c r="BE187" s="1533"/>
    </row>
    <row r="188" spans="1:57" ht="15.75" customHeight="1" thickBot="1">
      <c r="A188" s="1816"/>
      <c r="B188" s="1561"/>
      <c r="C188" s="1562"/>
      <c r="D188" s="1562"/>
      <c r="E188" s="1562"/>
      <c r="F188" s="1562"/>
      <c r="G188" s="1562"/>
      <c r="H188" s="2594" t="s">
        <v>2149</v>
      </c>
      <c r="I188" s="2594"/>
      <c r="J188" s="2594"/>
      <c r="K188" s="2594"/>
      <c r="L188" s="2594"/>
      <c r="M188" s="2594"/>
      <c r="N188" s="2594"/>
      <c r="O188" s="2594"/>
      <c r="P188" s="1562"/>
      <c r="Q188" s="1562"/>
      <c r="R188" s="1562"/>
      <c r="S188" s="2590"/>
      <c r="T188" s="2591"/>
      <c r="U188" s="2591"/>
      <c r="V188" s="2591"/>
      <c r="W188" s="2591"/>
      <c r="X188" s="2591"/>
      <c r="Y188" s="2591"/>
      <c r="Z188" s="2591"/>
      <c r="AA188" s="2591"/>
      <c r="AB188" s="2591"/>
      <c r="AC188" s="2591"/>
      <c r="AD188" s="2591"/>
      <c r="AE188" s="2591"/>
      <c r="AF188" s="2591"/>
      <c r="AG188" s="2591"/>
      <c r="AH188" s="2591"/>
      <c r="AI188" s="2591"/>
      <c r="AJ188" s="2592"/>
      <c r="AK188" s="1562"/>
      <c r="AL188" s="1562"/>
      <c r="AM188" s="1562"/>
      <c r="AN188" s="1562"/>
      <c r="AO188" s="1562"/>
      <c r="AP188" s="1562"/>
      <c r="AQ188" s="1562"/>
      <c r="AR188" s="1562"/>
      <c r="AS188" s="1562"/>
      <c r="AT188" s="1562"/>
      <c r="AU188" s="1562"/>
      <c r="AV188" s="1562"/>
      <c r="AW188" s="1562"/>
      <c r="AX188" s="1562"/>
      <c r="AY188" s="1562"/>
      <c r="AZ188" s="1562"/>
      <c r="BA188" s="1562"/>
      <c r="BB188" s="1562"/>
      <c r="BC188" s="1562"/>
      <c r="BD188" s="1563"/>
      <c r="BE188" s="1533"/>
    </row>
    <row r="189" spans="1:57" ht="15.75" customHeight="1" thickBot="1">
      <c r="A189" s="1816"/>
      <c r="B189" s="1561"/>
      <c r="C189" s="1562"/>
      <c r="D189" s="1562"/>
      <c r="E189" s="1562"/>
      <c r="F189" s="1562"/>
      <c r="G189" s="1562"/>
      <c r="H189" s="1562"/>
      <c r="I189" s="1562"/>
      <c r="J189" s="1562"/>
      <c r="K189" s="1562"/>
      <c r="L189" s="1562"/>
      <c r="M189" s="1562"/>
      <c r="N189" s="1562"/>
      <c r="O189" s="1562"/>
      <c r="P189" s="1562"/>
      <c r="Q189" s="1562"/>
      <c r="R189" s="1562"/>
      <c r="S189" s="1562"/>
      <c r="T189" s="1562"/>
      <c r="U189" s="1562"/>
      <c r="V189" s="1562"/>
      <c r="W189" s="1562"/>
      <c r="X189" s="1562"/>
      <c r="Y189" s="1562"/>
      <c r="Z189" s="1562"/>
      <c r="AA189" s="1562"/>
      <c r="AB189" s="1562"/>
      <c r="AC189" s="1562"/>
      <c r="AD189" s="1562"/>
      <c r="AE189" s="1562"/>
      <c r="AF189" s="1562"/>
      <c r="AG189" s="1562"/>
      <c r="AH189" s="1562"/>
      <c r="AI189" s="1562"/>
      <c r="AJ189" s="1562"/>
      <c r="AK189" s="1562"/>
      <c r="AL189" s="1562"/>
      <c r="AM189" s="1562"/>
      <c r="AN189" s="1562"/>
      <c r="AO189" s="1562"/>
      <c r="AP189" s="1562"/>
      <c r="AQ189" s="1562"/>
      <c r="AR189" s="1562"/>
      <c r="AS189" s="1562"/>
      <c r="AT189" s="1562"/>
      <c r="AU189" s="1562"/>
      <c r="AV189" s="1562"/>
      <c r="AW189" s="1562"/>
      <c r="AX189" s="1562"/>
      <c r="AY189" s="1562"/>
      <c r="AZ189" s="1562"/>
      <c r="BA189" s="1562"/>
      <c r="BB189" s="1562"/>
      <c r="BC189" s="1562"/>
      <c r="BD189" s="1563"/>
      <c r="BE189" s="1533"/>
    </row>
    <row r="190" spans="1:57" ht="15.75" customHeight="1" thickBot="1">
      <c r="A190" s="1816"/>
      <c r="B190" s="1561"/>
      <c r="C190" s="1562"/>
      <c r="D190" s="1562"/>
      <c r="E190" s="1562"/>
      <c r="F190" s="1562"/>
      <c r="G190" s="1562"/>
      <c r="H190" s="2589" t="s">
        <v>2150</v>
      </c>
      <c r="I190" s="2589"/>
      <c r="J190" s="1562"/>
      <c r="K190" s="1562"/>
      <c r="L190" s="1562"/>
      <c r="M190" s="1562"/>
      <c r="N190" s="1562"/>
      <c r="O190" s="1562"/>
      <c r="P190" s="1562"/>
      <c r="Q190" s="1562"/>
      <c r="R190" s="1562"/>
      <c r="S190" s="2590"/>
      <c r="T190" s="2591"/>
      <c r="U190" s="2591"/>
      <c r="V190" s="2591"/>
      <c r="W190" s="2591"/>
      <c r="X190" s="2591"/>
      <c r="Y190" s="2591"/>
      <c r="Z190" s="2591"/>
      <c r="AA190" s="2591"/>
      <c r="AB190" s="2591"/>
      <c r="AC190" s="2591"/>
      <c r="AD190" s="2591"/>
      <c r="AE190" s="2591"/>
      <c r="AF190" s="2591"/>
      <c r="AG190" s="2591"/>
      <c r="AH190" s="2591"/>
      <c r="AI190" s="2591"/>
      <c r="AJ190" s="2592"/>
      <c r="AK190" s="1562"/>
      <c r="AL190" s="1562"/>
      <c r="AM190" s="1562"/>
      <c r="AN190" s="1562"/>
      <c r="AO190" s="1562"/>
      <c r="AP190" s="1562"/>
      <c r="AQ190" s="1562"/>
      <c r="AR190" s="1562"/>
      <c r="AS190" s="1562"/>
      <c r="AT190" s="1562"/>
      <c r="AU190" s="1562"/>
      <c r="AV190" s="1562"/>
      <c r="AW190" s="1562"/>
      <c r="AX190" s="1562"/>
      <c r="AY190" s="1562"/>
      <c r="AZ190" s="1562"/>
      <c r="BA190" s="1562"/>
      <c r="BB190" s="1562"/>
      <c r="BC190" s="1562"/>
      <c r="BD190" s="1563"/>
      <c r="BE190" s="1533"/>
    </row>
    <row r="191" spans="1:57" ht="15.75" customHeight="1" thickBot="1">
      <c r="A191" s="1816"/>
      <c r="B191" s="1565"/>
      <c r="C191" s="1566"/>
      <c r="D191" s="1566"/>
      <c r="E191" s="1566"/>
      <c r="F191" s="1566"/>
      <c r="G191" s="1566"/>
      <c r="H191" s="1566"/>
      <c r="I191" s="1566"/>
      <c r="J191" s="1566"/>
      <c r="K191" s="1566"/>
      <c r="L191" s="1566"/>
      <c r="M191" s="1566"/>
      <c r="N191" s="1566"/>
      <c r="O191" s="1566"/>
      <c r="P191" s="1566"/>
      <c r="Q191" s="1566"/>
      <c r="R191" s="1566"/>
      <c r="S191" s="1566"/>
      <c r="T191" s="1566"/>
      <c r="U191" s="1566"/>
      <c r="V191" s="1566"/>
      <c r="W191" s="1566"/>
      <c r="X191" s="1566"/>
      <c r="Y191" s="1566"/>
      <c r="Z191" s="1566"/>
      <c r="AA191" s="1566"/>
      <c r="AB191" s="1566"/>
      <c r="AC191" s="1566"/>
      <c r="AD191" s="1566"/>
      <c r="AE191" s="1566"/>
      <c r="AF191" s="1566"/>
      <c r="AG191" s="1566"/>
      <c r="AH191" s="1566"/>
      <c r="AI191" s="1566"/>
      <c r="AJ191" s="1566"/>
      <c r="AK191" s="1566"/>
      <c r="AL191" s="1566"/>
      <c r="AM191" s="1566"/>
      <c r="AN191" s="1566"/>
      <c r="AO191" s="1566"/>
      <c r="AP191" s="1566"/>
      <c r="AQ191" s="1566"/>
      <c r="AR191" s="1566"/>
      <c r="AS191" s="1566"/>
      <c r="AT191" s="1566"/>
      <c r="AU191" s="1566"/>
      <c r="AV191" s="1566"/>
      <c r="AW191" s="1566"/>
      <c r="AX191" s="1566"/>
      <c r="AY191" s="1566"/>
      <c r="AZ191" s="1566"/>
      <c r="BA191" s="1566"/>
      <c r="BB191" s="1566"/>
      <c r="BC191" s="1566"/>
      <c r="BD191" s="1567"/>
      <c r="BE191" s="1533"/>
    </row>
    <row r="192" spans="1:57" ht="15.75" customHeight="1" thickBot="1">
      <c r="A192" s="1559"/>
      <c r="B192" s="1559"/>
      <c r="C192" s="1559"/>
      <c r="D192" s="1559"/>
      <c r="E192" s="1559"/>
      <c r="F192" s="1559"/>
      <c r="G192" s="1559"/>
      <c r="H192" s="1559"/>
      <c r="I192" s="1559"/>
      <c r="J192" s="1559"/>
      <c r="K192" s="1559"/>
      <c r="L192" s="1559"/>
      <c r="M192" s="1559"/>
      <c r="N192" s="1559"/>
      <c r="O192" s="1559"/>
      <c r="P192" s="1559"/>
      <c r="Q192" s="1559"/>
      <c r="R192" s="1559"/>
      <c r="S192" s="1559"/>
      <c r="T192" s="1559"/>
      <c r="U192" s="1559"/>
      <c r="V192" s="1559"/>
      <c r="W192" s="1559"/>
      <c r="X192" s="1559"/>
      <c r="Y192" s="1559"/>
      <c r="Z192" s="1559"/>
      <c r="AA192" s="1559"/>
      <c r="AB192" s="1559"/>
      <c r="AC192" s="1559"/>
      <c r="AD192" s="1559"/>
      <c r="AE192" s="1559"/>
      <c r="AF192" s="1559"/>
      <c r="AG192" s="1559"/>
      <c r="AH192" s="1559"/>
      <c r="AI192" s="1559"/>
      <c r="AJ192" s="1559"/>
      <c r="AK192" s="1559"/>
      <c r="AL192" s="1559"/>
      <c r="AM192" s="1559"/>
      <c r="AN192" s="1559"/>
      <c r="AO192" s="1559"/>
      <c r="AP192" s="1559"/>
      <c r="AQ192" s="1559"/>
      <c r="AR192" s="1559"/>
      <c r="AS192" s="1559"/>
      <c r="AT192" s="1559"/>
      <c r="AU192" s="1559"/>
      <c r="AV192" s="1559"/>
      <c r="AW192" s="1559"/>
      <c r="AX192" s="1559"/>
      <c r="AY192" s="1559"/>
      <c r="AZ192" s="1559"/>
      <c r="BA192" s="1559"/>
      <c r="BB192" s="1559"/>
      <c r="BC192" s="1559"/>
      <c r="BD192" s="1559"/>
      <c r="BE192" s="1560"/>
    </row>
    <row r="195" spans="4:18" ht="15.75" customHeight="1">
      <c r="D195" s="1525"/>
    </row>
    <row r="196" spans="4:18" ht="15.75" customHeight="1">
      <c r="D196" s="1568"/>
    </row>
    <row r="197" spans="4:18" ht="15.75" customHeight="1">
      <c r="D197" s="1525"/>
    </row>
    <row r="198" spans="4:18" ht="15.75" customHeight="1">
      <c r="D198" s="1525"/>
    </row>
    <row r="199" spans="4:18" ht="15.75" customHeight="1">
      <c r="R199" s="1524"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abSelected="1" topLeftCell="A640" zoomScale="115" zoomScaleNormal="115" zoomScaleSheetLayoutView="100" workbookViewId="0">
      <selection activeCell="F274" sqref="F274:AD282"/>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35" t="s">
        <v>1559</v>
      </c>
      <c r="B1" s="3035"/>
      <c r="C1" s="3035"/>
      <c r="D1" s="3035"/>
      <c r="E1" s="3035"/>
      <c r="F1" s="3035"/>
      <c r="G1" s="3035"/>
      <c r="H1" s="3035"/>
      <c r="I1" s="3035"/>
      <c r="J1" s="3035"/>
      <c r="K1" s="3035"/>
      <c r="L1" s="3035"/>
      <c r="M1" s="3035"/>
      <c r="N1" s="3035"/>
      <c r="O1" s="3035"/>
      <c r="P1" s="3035"/>
      <c r="Q1" s="3035"/>
      <c r="R1" s="3035"/>
      <c r="S1" s="3035"/>
      <c r="T1" s="3035"/>
      <c r="U1" s="3035"/>
      <c r="V1" s="3035"/>
      <c r="W1" s="3035"/>
      <c r="X1" s="3035"/>
      <c r="Y1" s="3035"/>
      <c r="Z1" s="3035"/>
      <c r="AA1" s="3035"/>
      <c r="AB1" s="3035"/>
      <c r="AC1" s="3035"/>
      <c r="AD1" s="3035"/>
      <c r="AE1" s="3035"/>
      <c r="AF1" s="3035"/>
      <c r="AG1" s="3035"/>
      <c r="AH1" s="3035"/>
      <c r="AI1" s="3035"/>
      <c r="AJ1" s="3035"/>
      <c r="AK1" s="3035"/>
      <c r="AL1" s="3035"/>
      <c r="AM1" s="3035"/>
    </row>
    <row r="2" spans="1:42" s="927" customFormat="1" ht="12.75" customHeight="1" thickBot="1">
      <c r="A2" s="3036"/>
      <c r="B2" s="3036"/>
      <c r="C2" s="3036"/>
      <c r="D2" s="3036"/>
      <c r="E2" s="3036"/>
      <c r="F2" s="3036"/>
      <c r="G2" s="3036"/>
      <c r="H2" s="3036"/>
      <c r="I2" s="3036"/>
      <c r="J2" s="3036"/>
      <c r="K2" s="3036"/>
      <c r="L2" s="3036"/>
      <c r="M2" s="3036"/>
      <c r="N2" s="3036"/>
      <c r="O2" s="3036"/>
      <c r="P2" s="3036"/>
      <c r="Q2" s="3036"/>
      <c r="R2" s="3036"/>
      <c r="S2" s="3036"/>
      <c r="T2" s="3036"/>
      <c r="U2" s="3036"/>
      <c r="V2" s="3036"/>
      <c r="W2" s="3036"/>
      <c r="X2" s="3036"/>
      <c r="Y2" s="3036"/>
      <c r="Z2" s="3036"/>
      <c r="AA2" s="3036"/>
      <c r="AB2" s="3036"/>
      <c r="AC2" s="3036"/>
      <c r="AD2" s="3036"/>
      <c r="AE2" s="3036"/>
      <c r="AF2" s="3036"/>
      <c r="AG2" s="3036"/>
      <c r="AH2" s="3036"/>
      <c r="AI2" s="3036"/>
      <c r="AJ2" s="3036"/>
      <c r="AK2" s="3036"/>
      <c r="AL2" s="3036"/>
      <c r="AM2" s="3036"/>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5" t="s">
        <v>1564</v>
      </c>
      <c r="AF7" s="3015"/>
      <c r="AG7" s="3015"/>
      <c r="AH7" s="3015"/>
      <c r="AI7" s="3015"/>
      <c r="AJ7" s="3015"/>
      <c r="AK7" s="3015"/>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88" t="s">
        <v>626</v>
      </c>
      <c r="C12" s="2988"/>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37"/>
      <c r="AH12" s="3037"/>
      <c r="AI12" s="3037"/>
      <c r="AJ12" s="3038"/>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88" t="s">
        <v>626</v>
      </c>
      <c r="C15" s="2988"/>
      <c r="D15" s="940"/>
      <c r="E15" s="3016" t="s">
        <v>1567</v>
      </c>
      <c r="F15" s="3017"/>
      <c r="G15" s="3017"/>
      <c r="H15" s="3017"/>
      <c r="I15" s="3017"/>
      <c r="J15" s="3017"/>
      <c r="K15" s="3017"/>
      <c r="L15" s="3017"/>
      <c r="M15" s="3017"/>
      <c r="N15" s="3017"/>
      <c r="O15" s="3017"/>
      <c r="P15" s="3017"/>
      <c r="Q15" s="3017"/>
      <c r="R15" s="3017"/>
      <c r="S15" s="3017"/>
      <c r="T15" s="3017"/>
      <c r="U15" s="3017"/>
      <c r="V15" s="3017"/>
      <c r="W15" s="3017"/>
      <c r="X15" s="3017"/>
      <c r="Y15" s="3017"/>
      <c r="Z15" s="3017"/>
      <c r="AA15" s="3017"/>
      <c r="AB15" s="3017"/>
      <c r="AC15" s="3017"/>
      <c r="AD15" s="3017"/>
      <c r="AE15" s="3017"/>
      <c r="AF15" s="3017"/>
      <c r="AG15" s="3017"/>
      <c r="AH15" s="3017"/>
      <c r="AI15" s="3017"/>
      <c r="AJ15" s="3018"/>
      <c r="AK15" s="933"/>
      <c r="AL15" s="933"/>
      <c r="AM15" s="933"/>
      <c r="AN15" s="929"/>
      <c r="AO15" s="943">
        <f>IF($B24="yes",20,0)</f>
        <v>0</v>
      </c>
      <c r="AP15" s="51"/>
    </row>
    <row r="16" spans="1:42" s="930" customFormat="1" ht="12.75" customHeight="1">
      <c r="A16" s="933"/>
      <c r="B16" s="933"/>
      <c r="C16" s="933"/>
      <c r="D16" s="944"/>
      <c r="E16" s="3019"/>
      <c r="F16" s="3020"/>
      <c r="G16" s="3020"/>
      <c r="H16" s="3020"/>
      <c r="I16" s="3020"/>
      <c r="J16" s="3020"/>
      <c r="K16" s="3020"/>
      <c r="L16" s="3020"/>
      <c r="M16" s="3020"/>
      <c r="N16" s="3020"/>
      <c r="O16" s="3020"/>
      <c r="P16" s="3020"/>
      <c r="Q16" s="3020"/>
      <c r="R16" s="3020"/>
      <c r="S16" s="3020"/>
      <c r="T16" s="3020"/>
      <c r="U16" s="3020"/>
      <c r="V16" s="3020"/>
      <c r="W16" s="3020"/>
      <c r="X16" s="3020"/>
      <c r="Y16" s="3020"/>
      <c r="Z16" s="3020"/>
      <c r="AA16" s="3020"/>
      <c r="AB16" s="3020"/>
      <c r="AC16" s="3020"/>
      <c r="AD16" s="3020"/>
      <c r="AE16" s="3020"/>
      <c r="AF16" s="3020"/>
      <c r="AG16" s="3020"/>
      <c r="AH16" s="3020"/>
      <c r="AI16" s="3020"/>
      <c r="AJ16" s="3021"/>
      <c r="AK16" s="933"/>
      <c r="AL16" s="933"/>
      <c r="AM16" s="933"/>
      <c r="AN16" s="929"/>
      <c r="AO16" s="930">
        <f>IF(SUM(AO12:AO15)&gt;20,20,(SUM(AO12:AO15)))</f>
        <v>0</v>
      </c>
      <c r="AP16" s="930" t="s">
        <v>1568</v>
      </c>
    </row>
    <row r="17" spans="1:42" s="930" customFormat="1" ht="12.75" customHeight="1">
      <c r="A17" s="933"/>
      <c r="B17" s="933"/>
      <c r="C17" s="933"/>
      <c r="D17" s="944"/>
      <c r="E17" s="3019"/>
      <c r="F17" s="3020"/>
      <c r="G17" s="3020"/>
      <c r="H17" s="3020"/>
      <c r="I17" s="3020"/>
      <c r="J17" s="3020"/>
      <c r="K17" s="3020"/>
      <c r="L17" s="3020"/>
      <c r="M17" s="3020"/>
      <c r="N17" s="3020"/>
      <c r="O17" s="3020"/>
      <c r="P17" s="3020"/>
      <c r="Q17" s="3020"/>
      <c r="R17" s="3020"/>
      <c r="S17" s="3020"/>
      <c r="T17" s="3020"/>
      <c r="U17" s="3020"/>
      <c r="V17" s="3020"/>
      <c r="W17" s="3020"/>
      <c r="X17" s="3020"/>
      <c r="Y17" s="3020"/>
      <c r="Z17" s="3020"/>
      <c r="AA17" s="3020"/>
      <c r="AB17" s="3020"/>
      <c r="AC17" s="3020"/>
      <c r="AD17" s="3020"/>
      <c r="AE17" s="3020"/>
      <c r="AF17" s="3020"/>
      <c r="AG17" s="3020"/>
      <c r="AH17" s="3020"/>
      <c r="AI17" s="3020"/>
      <c r="AJ17" s="3021"/>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42"/>
      <c r="F19" s="3043"/>
      <c r="G19" s="3043"/>
      <c r="H19" s="3043"/>
      <c r="I19" s="3043"/>
      <c r="J19" s="3043"/>
      <c r="K19" s="3043"/>
      <c r="L19" s="3043"/>
      <c r="M19" s="3043"/>
      <c r="N19" s="3043"/>
      <c r="O19" s="3043"/>
      <c r="P19" s="3043"/>
      <c r="Q19" s="3043"/>
      <c r="R19" s="3043"/>
      <c r="S19" s="3043"/>
      <c r="T19" s="3043"/>
      <c r="U19" s="3043"/>
      <c r="V19" s="3043"/>
      <c r="W19" s="3043"/>
      <c r="X19" s="3043"/>
      <c r="Y19" s="3043"/>
      <c r="Z19" s="3043"/>
      <c r="AA19" s="3043"/>
      <c r="AB19" s="3043"/>
      <c r="AC19" s="3043"/>
      <c r="AD19" s="3043"/>
      <c r="AE19" s="3043"/>
      <c r="AF19" s="3043"/>
      <c r="AG19" s="3043"/>
      <c r="AH19" s="3043"/>
      <c r="AI19" s="3043"/>
      <c r="AJ19" s="3044"/>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88" t="s">
        <v>626</v>
      </c>
      <c r="C21" s="2988"/>
      <c r="D21" s="940"/>
      <c r="E21" s="3000" t="s">
        <v>1570</v>
      </c>
      <c r="F21" s="3001"/>
      <c r="G21" s="3001"/>
      <c r="H21" s="3001"/>
      <c r="I21" s="3001"/>
      <c r="J21" s="3001"/>
      <c r="K21" s="3001"/>
      <c r="L21" s="3001"/>
      <c r="M21" s="3001"/>
      <c r="N21" s="3001"/>
      <c r="O21" s="3001"/>
      <c r="P21" s="3001"/>
      <c r="Q21" s="3001"/>
      <c r="R21" s="3001"/>
      <c r="S21" s="3001"/>
      <c r="T21" s="3001"/>
      <c r="U21" s="3001"/>
      <c r="V21" s="3001"/>
      <c r="W21" s="3001"/>
      <c r="X21" s="3001"/>
      <c r="Y21" s="3001"/>
      <c r="Z21" s="3001"/>
      <c r="AA21" s="3001"/>
      <c r="AB21" s="3001"/>
      <c r="AC21" s="3001"/>
      <c r="AD21" s="3001"/>
      <c r="AE21" s="3001"/>
      <c r="AF21" s="3001"/>
      <c r="AG21" s="3001"/>
      <c r="AH21" s="3001"/>
      <c r="AI21" s="3001"/>
      <c r="AJ21" s="3002"/>
      <c r="AK21" s="933"/>
      <c r="AL21" s="933"/>
      <c r="AM21" s="933"/>
      <c r="AN21" s="929"/>
      <c r="AO21" s="930">
        <f>SUM(AO20)</f>
        <v>0</v>
      </c>
      <c r="AP21" s="930" t="s">
        <v>1568</v>
      </c>
    </row>
    <row r="22" spans="1:42" s="930" customFormat="1" ht="12.75" customHeight="1">
      <c r="A22" s="933"/>
      <c r="B22" s="933"/>
      <c r="C22" s="933"/>
      <c r="D22" s="943"/>
      <c r="E22" s="3003"/>
      <c r="F22" s="3004"/>
      <c r="G22" s="3004"/>
      <c r="H22" s="3004"/>
      <c r="I22" s="3004"/>
      <c r="J22" s="3004"/>
      <c r="K22" s="3004"/>
      <c r="L22" s="3004"/>
      <c r="M22" s="3004"/>
      <c r="N22" s="3004"/>
      <c r="O22" s="3004"/>
      <c r="P22" s="3004"/>
      <c r="Q22" s="3004"/>
      <c r="R22" s="3004"/>
      <c r="S22" s="3004"/>
      <c r="T22" s="3004"/>
      <c r="U22" s="3004"/>
      <c r="V22" s="3004"/>
      <c r="W22" s="3004"/>
      <c r="X22" s="3004"/>
      <c r="Y22" s="3004"/>
      <c r="Z22" s="3004"/>
      <c r="AA22" s="3004"/>
      <c r="AB22" s="3004"/>
      <c r="AC22" s="3004"/>
      <c r="AD22" s="3004"/>
      <c r="AE22" s="3004"/>
      <c r="AF22" s="3004"/>
      <c r="AG22" s="3004"/>
      <c r="AH22" s="3004"/>
      <c r="AI22" s="3004"/>
      <c r="AJ22" s="3005"/>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988" t="s">
        <v>626</v>
      </c>
      <c r="C24" s="2988"/>
      <c r="D24" s="940"/>
      <c r="E24" s="3006" t="s">
        <v>1571</v>
      </c>
      <c r="F24" s="3007"/>
      <c r="G24" s="3007"/>
      <c r="H24" s="3007"/>
      <c r="I24" s="3007"/>
      <c r="J24" s="3007"/>
      <c r="K24" s="3007"/>
      <c r="L24" s="3007"/>
      <c r="M24" s="3007"/>
      <c r="N24" s="3007"/>
      <c r="O24" s="3007"/>
      <c r="P24" s="3007"/>
      <c r="Q24" s="3007"/>
      <c r="R24" s="3007"/>
      <c r="S24" s="3007"/>
      <c r="T24" s="3007"/>
      <c r="U24" s="3007"/>
      <c r="V24" s="3007"/>
      <c r="W24" s="3007"/>
      <c r="X24" s="3007"/>
      <c r="Y24" s="3007"/>
      <c r="Z24" s="3007"/>
      <c r="AA24" s="3007"/>
      <c r="AB24" s="3007"/>
      <c r="AC24" s="3007"/>
      <c r="AD24" s="3007"/>
      <c r="AE24" s="3007"/>
      <c r="AF24" s="3007"/>
      <c r="AG24" s="3007"/>
      <c r="AH24" s="3007"/>
      <c r="AI24" s="3007"/>
      <c r="AJ24" s="3008"/>
      <c r="AK24" s="933"/>
      <c r="AL24" s="933"/>
      <c r="AM24" s="933"/>
      <c r="AN24" s="929"/>
      <c r="AO24" s="943">
        <f>IF($B39="yes",6,0)</f>
        <v>0</v>
      </c>
    </row>
    <row r="25" spans="1:42" s="930" customFormat="1" ht="12.75" customHeight="1">
      <c r="A25" s="933"/>
      <c r="B25" s="933"/>
      <c r="C25" s="933"/>
      <c r="D25" s="943"/>
      <c r="E25" s="3009"/>
      <c r="F25" s="3010"/>
      <c r="G25" s="3010"/>
      <c r="H25" s="3010"/>
      <c r="I25" s="3010"/>
      <c r="J25" s="3010"/>
      <c r="K25" s="3010"/>
      <c r="L25" s="3010"/>
      <c r="M25" s="3010"/>
      <c r="N25" s="3010"/>
      <c r="O25" s="3010"/>
      <c r="P25" s="3010"/>
      <c r="Q25" s="3010"/>
      <c r="R25" s="3010"/>
      <c r="S25" s="3010"/>
      <c r="T25" s="3010"/>
      <c r="U25" s="3010"/>
      <c r="V25" s="3010"/>
      <c r="W25" s="3010"/>
      <c r="X25" s="3010"/>
      <c r="Y25" s="3010"/>
      <c r="Z25" s="3010"/>
      <c r="AA25" s="3010"/>
      <c r="AB25" s="3010"/>
      <c r="AC25" s="3010"/>
      <c r="AD25" s="3010"/>
      <c r="AE25" s="3010"/>
      <c r="AF25" s="3010"/>
      <c r="AG25" s="3010"/>
      <c r="AH25" s="3010"/>
      <c r="AI25" s="3010"/>
      <c r="AJ25" s="3011"/>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988" t="s">
        <v>626</v>
      </c>
      <c r="C29" s="2988"/>
      <c r="D29" s="940"/>
      <c r="E29" s="3006" t="s">
        <v>1573</v>
      </c>
      <c r="F29" s="3007"/>
      <c r="G29" s="3007"/>
      <c r="H29" s="3007"/>
      <c r="I29" s="3007"/>
      <c r="J29" s="3007"/>
      <c r="K29" s="3007"/>
      <c r="L29" s="3007"/>
      <c r="M29" s="3007"/>
      <c r="N29" s="3007"/>
      <c r="O29" s="3007"/>
      <c r="P29" s="3007"/>
      <c r="Q29" s="3007"/>
      <c r="R29" s="3007"/>
      <c r="S29" s="3007"/>
      <c r="T29" s="3007"/>
      <c r="U29" s="3007"/>
      <c r="V29" s="3007"/>
      <c r="W29" s="3007"/>
      <c r="X29" s="3007"/>
      <c r="Y29" s="3007"/>
      <c r="Z29" s="3007"/>
      <c r="AA29" s="3007"/>
      <c r="AB29" s="3007"/>
      <c r="AC29" s="3007"/>
      <c r="AD29" s="3007"/>
      <c r="AE29" s="3007"/>
      <c r="AF29" s="3007"/>
      <c r="AG29" s="3007"/>
      <c r="AH29" s="3007"/>
      <c r="AI29" s="3007"/>
      <c r="AJ29" s="3008"/>
      <c r="AK29" s="933"/>
      <c r="AL29" s="933"/>
      <c r="AM29" s="933"/>
      <c r="AN29" s="929"/>
      <c r="AO29" s="943">
        <f>IF($B49="yes",6,0)</f>
        <v>0</v>
      </c>
    </row>
    <row r="30" spans="1:42" s="930" customFormat="1" ht="12.75" customHeight="1">
      <c r="A30" s="933"/>
      <c r="B30" s="933"/>
      <c r="C30" s="933"/>
      <c r="E30" s="3012"/>
      <c r="F30" s="3013"/>
      <c r="G30" s="3013"/>
      <c r="H30" s="3013"/>
      <c r="I30" s="3013"/>
      <c r="J30" s="3013"/>
      <c r="K30" s="3013"/>
      <c r="L30" s="3013"/>
      <c r="M30" s="3013"/>
      <c r="N30" s="3013"/>
      <c r="O30" s="3013"/>
      <c r="P30" s="3013"/>
      <c r="Q30" s="3013"/>
      <c r="R30" s="3013"/>
      <c r="S30" s="3013"/>
      <c r="T30" s="3013"/>
      <c r="U30" s="3013"/>
      <c r="V30" s="3013"/>
      <c r="W30" s="3013"/>
      <c r="X30" s="3013"/>
      <c r="Y30" s="3013"/>
      <c r="Z30" s="3013"/>
      <c r="AA30" s="3013"/>
      <c r="AB30" s="3013"/>
      <c r="AC30" s="3013"/>
      <c r="AD30" s="3013"/>
      <c r="AE30" s="3013"/>
      <c r="AF30" s="3013"/>
      <c r="AG30" s="3013"/>
      <c r="AH30" s="3013"/>
      <c r="AI30" s="3013"/>
      <c r="AJ30" s="3014"/>
      <c r="AK30" s="933"/>
      <c r="AL30" s="933"/>
      <c r="AM30" s="933"/>
      <c r="AN30" s="929"/>
      <c r="AO30" s="930">
        <f>IF(SUM(AO23:AO29)&gt;6,6,(SUM(AO23:AO29)))</f>
        <v>0</v>
      </c>
      <c r="AP30" s="930" t="s">
        <v>1568</v>
      </c>
    </row>
    <row r="31" spans="1:42" s="930" customFormat="1" ht="12.75" customHeight="1">
      <c r="A31" s="933"/>
      <c r="B31" s="933"/>
      <c r="C31" s="933"/>
      <c r="E31" s="3009"/>
      <c r="F31" s="3010"/>
      <c r="G31" s="3010"/>
      <c r="H31" s="3010"/>
      <c r="I31" s="3010"/>
      <c r="J31" s="3010"/>
      <c r="K31" s="3010"/>
      <c r="L31" s="3010"/>
      <c r="M31" s="3010"/>
      <c r="N31" s="3010"/>
      <c r="O31" s="3010"/>
      <c r="P31" s="3010"/>
      <c r="Q31" s="3010"/>
      <c r="R31" s="3010"/>
      <c r="S31" s="3010"/>
      <c r="T31" s="3010"/>
      <c r="U31" s="3010"/>
      <c r="V31" s="3010"/>
      <c r="W31" s="3010"/>
      <c r="X31" s="3010"/>
      <c r="Y31" s="3010"/>
      <c r="Z31" s="3010"/>
      <c r="AA31" s="3010"/>
      <c r="AB31" s="3010"/>
      <c r="AC31" s="3010"/>
      <c r="AD31" s="3010"/>
      <c r="AE31" s="3010"/>
      <c r="AF31" s="3010"/>
      <c r="AG31" s="3010"/>
      <c r="AH31" s="3010"/>
      <c r="AI31" s="3010"/>
      <c r="AJ31" s="3011"/>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9" t="s">
        <v>2400</v>
      </c>
      <c r="C34" s="3039"/>
      <c r="D34" s="3039"/>
      <c r="E34" s="3039"/>
      <c r="F34" s="3039"/>
      <c r="G34" s="3039"/>
      <c r="H34" s="3039"/>
      <c r="I34" s="3039"/>
      <c r="J34" s="3039"/>
      <c r="K34" s="3039"/>
      <c r="L34" s="3039"/>
      <c r="M34" s="3039"/>
      <c r="N34" s="3039"/>
      <c r="O34" s="3039"/>
      <c r="P34" s="3039"/>
      <c r="Q34" s="3039"/>
      <c r="R34" s="3039"/>
      <c r="S34" s="3039"/>
      <c r="T34" s="3039"/>
      <c r="U34" s="3039"/>
      <c r="V34" s="3039"/>
      <c r="W34" s="3039"/>
      <c r="X34" s="3039"/>
      <c r="Y34" s="3039"/>
      <c r="Z34" s="3039"/>
      <c r="AA34" s="3039"/>
      <c r="AB34" s="3039"/>
      <c r="AC34" s="3039"/>
      <c r="AD34" s="3039"/>
      <c r="AE34" s="3039"/>
      <c r="AF34" s="3039"/>
      <c r="AG34" s="3039"/>
      <c r="AH34" s="3039"/>
      <c r="AI34" s="3039"/>
      <c r="AJ34" s="3039"/>
      <c r="AK34" s="3039"/>
      <c r="AL34" s="933"/>
      <c r="AM34" s="933"/>
      <c r="AN34" s="929"/>
    </row>
    <row r="35" spans="1:41" s="930" customFormat="1" ht="12.75" customHeight="1">
      <c r="A35" s="933"/>
      <c r="B35" s="3039"/>
      <c r="C35" s="3039"/>
      <c r="D35" s="3039"/>
      <c r="E35" s="3039"/>
      <c r="F35" s="3039"/>
      <c r="G35" s="3039"/>
      <c r="H35" s="3039"/>
      <c r="I35" s="3039"/>
      <c r="J35" s="3039"/>
      <c r="K35" s="3039"/>
      <c r="L35" s="3039"/>
      <c r="M35" s="3039"/>
      <c r="N35" s="3039"/>
      <c r="O35" s="3039"/>
      <c r="P35" s="3039"/>
      <c r="Q35" s="3039"/>
      <c r="R35" s="3039"/>
      <c r="S35" s="3039"/>
      <c r="T35" s="3039"/>
      <c r="U35" s="3039"/>
      <c r="V35" s="3039"/>
      <c r="W35" s="3039"/>
      <c r="X35" s="3039"/>
      <c r="Y35" s="3039"/>
      <c r="Z35" s="3039"/>
      <c r="AA35" s="3039"/>
      <c r="AB35" s="3039"/>
      <c r="AC35" s="3039"/>
      <c r="AD35" s="3039"/>
      <c r="AE35" s="3039"/>
      <c r="AF35" s="3039"/>
      <c r="AG35" s="3039"/>
      <c r="AH35" s="3039"/>
      <c r="AI35" s="3039"/>
      <c r="AJ35" s="3039"/>
      <c r="AK35" s="3039"/>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88" t="s">
        <v>626</v>
      </c>
      <c r="C37" s="2988"/>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88" t="s">
        <v>626</v>
      </c>
      <c r="C39" s="2988"/>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88" t="s">
        <v>626</v>
      </c>
      <c r="C41" s="2988"/>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88" t="s">
        <v>626</v>
      </c>
      <c r="C43" s="2988"/>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88" t="s">
        <v>626</v>
      </c>
      <c r="C45" s="2988"/>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88" t="s">
        <v>626</v>
      </c>
      <c r="C47" s="2988"/>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88" t="s">
        <v>626</v>
      </c>
      <c r="C49" s="2988"/>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2994">
        <f>AO32</f>
        <v>0</v>
      </c>
      <c r="AL51" s="2995"/>
      <c r="AM51" s="2996"/>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5" t="s">
        <v>1585</v>
      </c>
      <c r="AF54" s="3015"/>
      <c r="AG54" s="3015"/>
      <c r="AH54" s="3015"/>
      <c r="AI54" s="3015"/>
      <c r="AJ54" s="3015"/>
      <c r="AK54" s="3015"/>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88" t="s">
        <v>626</v>
      </c>
      <c r="C57" s="2988"/>
      <c r="D57" s="940" t="s">
        <v>1586</v>
      </c>
      <c r="E57" s="3016" t="s">
        <v>2239</v>
      </c>
      <c r="F57" s="3017"/>
      <c r="G57" s="3017"/>
      <c r="H57" s="3017"/>
      <c r="I57" s="3017"/>
      <c r="J57" s="3017"/>
      <c r="K57" s="3017"/>
      <c r="L57" s="3017"/>
      <c r="M57" s="3017"/>
      <c r="N57" s="3017"/>
      <c r="O57" s="3017"/>
      <c r="P57" s="3017"/>
      <c r="Q57" s="3017"/>
      <c r="R57" s="3017"/>
      <c r="S57" s="3017"/>
      <c r="T57" s="3017"/>
      <c r="U57" s="3017"/>
      <c r="V57" s="3017"/>
      <c r="W57" s="3017"/>
      <c r="X57" s="3017"/>
      <c r="Y57" s="3017"/>
      <c r="Z57" s="3017"/>
      <c r="AA57" s="3017"/>
      <c r="AB57" s="3017"/>
      <c r="AC57" s="3017"/>
      <c r="AD57" s="3017"/>
      <c r="AE57" s="3017"/>
      <c r="AF57" s="3017"/>
      <c r="AG57" s="3017"/>
      <c r="AH57" s="3017"/>
      <c r="AI57" s="3017"/>
      <c r="AJ57" s="3018"/>
      <c r="AK57" s="936"/>
      <c r="AL57" s="933"/>
      <c r="AM57" s="933"/>
      <c r="AN57" s="929"/>
      <c r="AO57" s="943">
        <f>IF($B57="yes",10,0)</f>
        <v>0</v>
      </c>
    </row>
    <row r="58" spans="1:50" s="930" customFormat="1" ht="12.75" customHeight="1">
      <c r="A58" s="931"/>
      <c r="B58" s="933"/>
      <c r="C58" s="933"/>
      <c r="D58" s="944"/>
      <c r="E58" s="3019"/>
      <c r="F58" s="3020"/>
      <c r="G58" s="3020"/>
      <c r="H58" s="3020"/>
      <c r="I58" s="3020"/>
      <c r="J58" s="3020"/>
      <c r="K58" s="3020"/>
      <c r="L58" s="3020"/>
      <c r="M58" s="3020"/>
      <c r="N58" s="3020"/>
      <c r="O58" s="3020"/>
      <c r="P58" s="3020"/>
      <c r="Q58" s="3020"/>
      <c r="R58" s="3020"/>
      <c r="S58" s="3020"/>
      <c r="T58" s="3020"/>
      <c r="U58" s="3020"/>
      <c r="V58" s="3020"/>
      <c r="W58" s="3020"/>
      <c r="X58" s="3020"/>
      <c r="Y58" s="3020"/>
      <c r="Z58" s="3020"/>
      <c r="AA58" s="3020"/>
      <c r="AB58" s="3020"/>
      <c r="AC58" s="3020"/>
      <c r="AD58" s="3020"/>
      <c r="AE58" s="3020"/>
      <c r="AF58" s="3020"/>
      <c r="AG58" s="3020"/>
      <c r="AH58" s="3020"/>
      <c r="AI58" s="3020"/>
      <c r="AJ58" s="3021"/>
      <c r="AK58" s="936"/>
      <c r="AL58" s="933"/>
      <c r="AM58" s="933"/>
      <c r="AN58" s="929"/>
      <c r="AO58" s="943">
        <f>IF($B62="yes",10,0)</f>
        <v>10</v>
      </c>
    </row>
    <row r="59" spans="1:50" s="930" customFormat="1" ht="12.75" customHeight="1">
      <c r="A59" s="931"/>
      <c r="B59" s="933"/>
      <c r="C59" s="933"/>
      <c r="D59" s="944"/>
      <c r="E59" s="3019"/>
      <c r="F59" s="3020"/>
      <c r="G59" s="3020"/>
      <c r="H59" s="3020"/>
      <c r="I59" s="3020"/>
      <c r="J59" s="3020"/>
      <c r="K59" s="3020"/>
      <c r="L59" s="3020"/>
      <c r="M59" s="3020"/>
      <c r="N59" s="3020"/>
      <c r="O59" s="3020"/>
      <c r="P59" s="3020"/>
      <c r="Q59" s="3020"/>
      <c r="R59" s="3020"/>
      <c r="S59" s="3020"/>
      <c r="T59" s="3020"/>
      <c r="U59" s="3020"/>
      <c r="V59" s="3020"/>
      <c r="W59" s="3020"/>
      <c r="X59" s="3020"/>
      <c r="Y59" s="3020"/>
      <c r="Z59" s="3020"/>
      <c r="AA59" s="3020"/>
      <c r="AB59" s="3020"/>
      <c r="AC59" s="3020"/>
      <c r="AD59" s="3020"/>
      <c r="AE59" s="3020"/>
      <c r="AF59" s="3020"/>
      <c r="AG59" s="3020"/>
      <c r="AH59" s="3020"/>
      <c r="AI59" s="3020"/>
      <c r="AJ59" s="3021"/>
      <c r="AK59" s="936"/>
      <c r="AL59" s="933"/>
      <c r="AM59" s="933"/>
      <c r="AN59" s="929"/>
      <c r="AO59" s="943">
        <f>IF($B69="yes",10,0)</f>
        <v>0</v>
      </c>
    </row>
    <row r="60" spans="1:50" s="930" customFormat="1" ht="12.75" customHeight="1">
      <c r="A60" s="931"/>
      <c r="B60" s="933"/>
      <c r="C60" s="933"/>
      <c r="D60" s="944"/>
      <c r="E60" s="3022"/>
      <c r="F60" s="3023"/>
      <c r="G60" s="3023"/>
      <c r="H60" s="3023"/>
      <c r="I60" s="3023"/>
      <c r="J60" s="3023"/>
      <c r="K60" s="3023"/>
      <c r="L60" s="3023"/>
      <c r="M60" s="3023"/>
      <c r="N60" s="3023"/>
      <c r="O60" s="3023"/>
      <c r="P60" s="3023"/>
      <c r="Q60" s="3023"/>
      <c r="R60" s="3023"/>
      <c r="S60" s="3023"/>
      <c r="T60" s="3023"/>
      <c r="U60" s="3023"/>
      <c r="V60" s="3023"/>
      <c r="W60" s="3023"/>
      <c r="X60" s="3023"/>
      <c r="Y60" s="3023"/>
      <c r="Z60" s="3023"/>
      <c r="AA60" s="3023"/>
      <c r="AB60" s="3023"/>
      <c r="AC60" s="3023"/>
      <c r="AD60" s="3023"/>
      <c r="AE60" s="3023"/>
      <c r="AF60" s="3023"/>
      <c r="AG60" s="3023"/>
      <c r="AH60" s="3023"/>
      <c r="AI60" s="3023"/>
      <c r="AJ60" s="3024"/>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88" t="s">
        <v>578</v>
      </c>
      <c r="C62" s="2988"/>
      <c r="D62" s="940" t="s">
        <v>1588</v>
      </c>
      <c r="E62" s="1687" t="s">
        <v>2223</v>
      </c>
      <c r="F62" s="1688"/>
      <c r="G62" s="1688"/>
      <c r="H62" s="1688"/>
      <c r="I62" s="1688"/>
      <c r="J62" s="1688"/>
      <c r="K62" s="1688"/>
      <c r="L62" s="1688"/>
      <c r="M62" s="1688"/>
      <c r="N62" s="1688"/>
      <c r="O62" s="1688"/>
      <c r="P62" s="1688"/>
      <c r="Q62" s="1688"/>
      <c r="R62" s="1688"/>
      <c r="S62" s="1688"/>
      <c r="T62" s="1688"/>
      <c r="U62" s="1688"/>
      <c r="V62" s="1688"/>
      <c r="W62" s="1688"/>
      <c r="X62" s="1688"/>
      <c r="Y62" s="1688"/>
      <c r="Z62" s="1688"/>
      <c r="AA62" s="1688"/>
      <c r="AB62" s="1688"/>
      <c r="AC62" s="1688"/>
      <c r="AD62" s="1688"/>
      <c r="AE62" s="1688"/>
      <c r="AF62" s="1688"/>
      <c r="AG62" s="1688"/>
      <c r="AH62" s="1688"/>
      <c r="AI62" s="1688"/>
      <c r="AJ62" s="1689"/>
      <c r="AK62" s="936"/>
      <c r="AL62" s="933"/>
      <c r="AM62" s="933"/>
      <c r="AN62" s="929"/>
    </row>
    <row r="63" spans="1:50" s="930" customFormat="1" ht="12.75" customHeight="1">
      <c r="A63" s="931"/>
      <c r="B63" s="933"/>
      <c r="C63" s="933"/>
      <c r="D63" s="943"/>
      <c r="E63" s="2987" t="s">
        <v>626</v>
      </c>
      <c r="F63" s="2988"/>
      <c r="G63" s="969"/>
      <c r="H63" s="1686" t="s">
        <v>1589</v>
      </c>
      <c r="I63" s="1591"/>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0"/>
      <c r="AK63" s="936"/>
      <c r="AL63" s="933"/>
      <c r="AM63" s="933"/>
      <c r="AN63" s="929"/>
    </row>
    <row r="64" spans="1:50" s="930" customFormat="1" ht="12.75" customHeight="1">
      <c r="A64" s="931"/>
      <c r="B64" s="933"/>
      <c r="C64" s="933"/>
      <c r="D64" s="943"/>
      <c r="E64" s="3040" t="s">
        <v>578</v>
      </c>
      <c r="F64" s="3041"/>
      <c r="G64" s="969"/>
      <c r="H64" s="1686"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0"/>
      <c r="AK64" s="936"/>
      <c r="AL64" s="933"/>
      <c r="AM64" s="933"/>
      <c r="AN64" s="929"/>
    </row>
    <row r="65" spans="1:40" s="930" customFormat="1" ht="12.75" customHeight="1">
      <c r="A65" s="931"/>
      <c r="B65" s="933"/>
      <c r="C65" s="933"/>
      <c r="D65" s="943"/>
      <c r="E65" s="3040" t="s">
        <v>626</v>
      </c>
      <c r="F65" s="3041"/>
      <c r="G65" s="969"/>
      <c r="H65" s="1686"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0"/>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0"/>
      <c r="AK66" s="1592"/>
      <c r="AL66" s="933"/>
      <c r="AM66" s="933"/>
      <c r="AN66" s="929"/>
    </row>
    <row r="67" spans="1:40" s="930" customFormat="1" ht="12.75" customHeight="1">
      <c r="A67" s="931"/>
      <c r="B67" s="933"/>
      <c r="C67" s="933"/>
      <c r="D67" s="943"/>
      <c r="E67" s="2987" t="s">
        <v>626</v>
      </c>
      <c r="F67" s="2988"/>
      <c r="G67" s="1589"/>
      <c r="H67" s="1695" t="s">
        <v>2237</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90"/>
      <c r="AK67" s="1592"/>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88" t="s">
        <v>626</v>
      </c>
      <c r="C69" s="2988"/>
      <c r="D69" s="940" t="s">
        <v>1591</v>
      </c>
      <c r="E69" s="3006" t="s">
        <v>2240</v>
      </c>
      <c r="F69" s="3007"/>
      <c r="G69" s="3007"/>
      <c r="H69" s="3007"/>
      <c r="I69" s="3007"/>
      <c r="J69" s="3007"/>
      <c r="K69" s="3007"/>
      <c r="L69" s="3007"/>
      <c r="M69" s="3007"/>
      <c r="N69" s="3007"/>
      <c r="O69" s="3007"/>
      <c r="P69" s="3007"/>
      <c r="Q69" s="3007"/>
      <c r="R69" s="3007"/>
      <c r="S69" s="3007"/>
      <c r="T69" s="3007"/>
      <c r="U69" s="3007"/>
      <c r="V69" s="3007"/>
      <c r="W69" s="3007"/>
      <c r="X69" s="3007"/>
      <c r="Y69" s="3007"/>
      <c r="Z69" s="3007"/>
      <c r="AA69" s="3007"/>
      <c r="AB69" s="3007"/>
      <c r="AC69" s="3007"/>
      <c r="AD69" s="3007"/>
      <c r="AE69" s="3007"/>
      <c r="AF69" s="3007"/>
      <c r="AG69" s="3007"/>
      <c r="AH69" s="3007"/>
      <c r="AI69" s="3007"/>
      <c r="AJ69" s="3008"/>
      <c r="AK69" s="936"/>
      <c r="AL69" s="933"/>
      <c r="AM69" s="933"/>
      <c r="AN69" s="929"/>
    </row>
    <row r="70" spans="1:40" s="930" customFormat="1" ht="12.75" customHeight="1">
      <c r="A70" s="931"/>
      <c r="B70" s="933"/>
      <c r="C70" s="933"/>
      <c r="D70" s="943"/>
      <c r="E70" s="3009"/>
      <c r="F70" s="3010"/>
      <c r="G70" s="3010"/>
      <c r="H70" s="3010"/>
      <c r="I70" s="3010"/>
      <c r="J70" s="3010"/>
      <c r="K70" s="3010"/>
      <c r="L70" s="3010"/>
      <c r="M70" s="3010"/>
      <c r="N70" s="3010"/>
      <c r="O70" s="3010"/>
      <c r="P70" s="3010"/>
      <c r="Q70" s="3010"/>
      <c r="R70" s="3010"/>
      <c r="S70" s="3010"/>
      <c r="T70" s="3010"/>
      <c r="U70" s="3010"/>
      <c r="V70" s="3010"/>
      <c r="W70" s="3010"/>
      <c r="X70" s="3010"/>
      <c r="Y70" s="3010"/>
      <c r="Z70" s="3010"/>
      <c r="AA70" s="3010"/>
      <c r="AB70" s="3010"/>
      <c r="AC70" s="3010"/>
      <c r="AD70" s="3010"/>
      <c r="AE70" s="3010"/>
      <c r="AF70" s="3010"/>
      <c r="AG70" s="3010"/>
      <c r="AH70" s="3010"/>
      <c r="AI70" s="3010"/>
      <c r="AJ70" s="3011"/>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2994">
        <f>IF(AK51&gt;0,0,AO60)</f>
        <v>10</v>
      </c>
      <c r="AL72" s="2995"/>
      <c r="AM72" s="2996"/>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5" t="s">
        <v>1564</v>
      </c>
      <c r="AF75" s="3015"/>
      <c r="AG75" s="3015"/>
      <c r="AH75" s="3015"/>
      <c r="AI75" s="3015"/>
      <c r="AJ75" s="3015"/>
      <c r="AK75" s="3015"/>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88" t="s">
        <v>626</v>
      </c>
      <c r="C78" s="2988"/>
      <c r="D78" s="940" t="s">
        <v>1586</v>
      </c>
      <c r="E78" s="3025" t="s">
        <v>1596</v>
      </c>
      <c r="F78" s="3026"/>
      <c r="G78" s="3026"/>
      <c r="H78" s="3026"/>
      <c r="I78" s="3026"/>
      <c r="J78" s="3026"/>
      <c r="K78" s="3026"/>
      <c r="L78" s="3026"/>
      <c r="M78" s="3026"/>
      <c r="N78" s="3026"/>
      <c r="O78" s="3026"/>
      <c r="P78" s="3026"/>
      <c r="Q78" s="3026"/>
      <c r="R78" s="3026"/>
      <c r="S78" s="3026"/>
      <c r="T78" s="3026"/>
      <c r="U78" s="3026"/>
      <c r="V78" s="3026"/>
      <c r="W78" s="3026"/>
      <c r="X78" s="3026"/>
      <c r="Y78" s="3026"/>
      <c r="Z78" s="3026"/>
      <c r="AA78" s="3026"/>
      <c r="AB78" s="3026"/>
      <c r="AC78" s="3026"/>
      <c r="AD78" s="3026"/>
      <c r="AE78" s="3026"/>
      <c r="AF78" s="3026"/>
      <c r="AG78" s="3026"/>
      <c r="AH78" s="3026"/>
      <c r="AI78" s="3026"/>
      <c r="AJ78" s="3027"/>
      <c r="AK78" s="936"/>
      <c r="AL78" s="933"/>
      <c r="AM78" s="933"/>
      <c r="AN78" s="929"/>
    </row>
    <row r="79" spans="1:40" s="930" customFormat="1" ht="12.75" customHeight="1">
      <c r="A79" s="931"/>
      <c r="B79" s="932"/>
      <c r="C79" s="932"/>
      <c r="D79" s="932"/>
      <c r="E79" s="3028"/>
      <c r="F79" s="3029"/>
      <c r="G79" s="3029"/>
      <c r="H79" s="3029"/>
      <c r="I79" s="3029"/>
      <c r="J79" s="3029"/>
      <c r="K79" s="3029"/>
      <c r="L79" s="3029"/>
      <c r="M79" s="3029"/>
      <c r="N79" s="3029"/>
      <c r="O79" s="3029"/>
      <c r="P79" s="3029"/>
      <c r="Q79" s="3029"/>
      <c r="R79" s="3029"/>
      <c r="S79" s="3029"/>
      <c r="T79" s="3029"/>
      <c r="U79" s="3029"/>
      <c r="V79" s="3029"/>
      <c r="W79" s="3029"/>
      <c r="X79" s="3029"/>
      <c r="Y79" s="3029"/>
      <c r="Z79" s="3029"/>
      <c r="AA79" s="3029"/>
      <c r="AB79" s="3029"/>
      <c r="AC79" s="3029"/>
      <c r="AD79" s="3029"/>
      <c r="AE79" s="3029"/>
      <c r="AF79" s="3029"/>
      <c r="AG79" s="3029"/>
      <c r="AH79" s="3029"/>
      <c r="AI79" s="3029"/>
      <c r="AJ79" s="3030"/>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31">
        <f>Application!AH753</f>
        <v>0.55934959349593505</v>
      </c>
      <c r="F81" s="3032"/>
      <c r="G81" s="3032"/>
      <c r="H81" s="3032"/>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33">
        <f>0.6-ROUNDUP(E81,2)</f>
        <v>3.9999999999999925E-2</v>
      </c>
      <c r="F82" s="3034"/>
      <c r="G82" s="3034"/>
      <c r="H82" s="3034"/>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45">
        <f>IF(E82*200&gt;20,20,E82*200)</f>
        <v>7.9999999999999849</v>
      </c>
      <c r="F83" s="3046"/>
      <c r="G83" s="3046"/>
      <c r="H83" s="3046"/>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88" t="s">
        <v>578</v>
      </c>
      <c r="C86" s="2988"/>
      <c r="D86" s="940" t="s">
        <v>1588</v>
      </c>
      <c r="E86" s="3025" t="s">
        <v>2224</v>
      </c>
      <c r="F86" s="3026"/>
      <c r="G86" s="3026"/>
      <c r="H86" s="3026"/>
      <c r="I86" s="3026"/>
      <c r="J86" s="3026"/>
      <c r="K86" s="3026"/>
      <c r="L86" s="3026"/>
      <c r="M86" s="3026"/>
      <c r="N86" s="3026"/>
      <c r="O86" s="3026"/>
      <c r="P86" s="3026"/>
      <c r="Q86" s="3026"/>
      <c r="R86" s="3026"/>
      <c r="S86" s="3026"/>
      <c r="T86" s="3026"/>
      <c r="U86" s="3026"/>
      <c r="V86" s="3026"/>
      <c r="W86" s="3026"/>
      <c r="X86" s="3026"/>
      <c r="Y86" s="3026"/>
      <c r="Z86" s="3026"/>
      <c r="AA86" s="3026"/>
      <c r="AB86" s="3026"/>
      <c r="AC86" s="3026"/>
      <c r="AD86" s="3026"/>
      <c r="AE86" s="3026"/>
      <c r="AF86" s="3026"/>
      <c r="AG86" s="3026"/>
      <c r="AH86" s="3026"/>
      <c r="AI86" s="3026"/>
      <c r="AJ86" s="3027"/>
      <c r="AK86" s="936"/>
      <c r="AL86" s="933"/>
      <c r="AM86" s="933"/>
      <c r="AN86" s="929"/>
    </row>
    <row r="87" spans="1:47" s="930" customFormat="1" ht="12.75" customHeight="1">
      <c r="A87" s="931"/>
      <c r="B87" s="932"/>
      <c r="C87" s="932"/>
      <c r="D87" s="932"/>
      <c r="E87" s="3028"/>
      <c r="F87" s="3029"/>
      <c r="G87" s="3029"/>
      <c r="H87" s="3029"/>
      <c r="I87" s="3029"/>
      <c r="J87" s="3029"/>
      <c r="K87" s="3029"/>
      <c r="L87" s="3029"/>
      <c r="M87" s="3029"/>
      <c r="N87" s="3029"/>
      <c r="O87" s="3029"/>
      <c r="P87" s="3029"/>
      <c r="Q87" s="3029"/>
      <c r="R87" s="3029"/>
      <c r="S87" s="3029"/>
      <c r="T87" s="3029"/>
      <c r="U87" s="3029"/>
      <c r="V87" s="3029"/>
      <c r="W87" s="3029"/>
      <c r="X87" s="3029"/>
      <c r="Y87" s="3029"/>
      <c r="Z87" s="3029"/>
      <c r="AA87" s="3029"/>
      <c r="AB87" s="3029"/>
      <c r="AC87" s="3029"/>
      <c r="AD87" s="3029"/>
      <c r="AE87" s="3029"/>
      <c r="AF87" s="3029"/>
      <c r="AG87" s="3029"/>
      <c r="AH87" s="3029"/>
      <c r="AI87" s="3029"/>
      <c r="AJ87" s="3030"/>
      <c r="AK87" s="936"/>
      <c r="AL87" s="933"/>
      <c r="AM87" s="933"/>
      <c r="AN87" s="929"/>
    </row>
    <row r="88" spans="1:47" s="930" customFormat="1" ht="12.75" customHeight="1">
      <c r="A88" s="931"/>
      <c r="B88" s="932"/>
      <c r="C88" s="932"/>
      <c r="D88" s="932"/>
      <c r="E88" s="3028"/>
      <c r="F88" s="3029"/>
      <c r="G88" s="3029"/>
      <c r="H88" s="3029"/>
      <c r="I88" s="3029"/>
      <c r="J88" s="3029"/>
      <c r="K88" s="3029"/>
      <c r="L88" s="3029"/>
      <c r="M88" s="3029"/>
      <c r="N88" s="3029"/>
      <c r="O88" s="3029"/>
      <c r="P88" s="3029"/>
      <c r="Q88" s="3029"/>
      <c r="R88" s="3029"/>
      <c r="S88" s="3029"/>
      <c r="T88" s="3029"/>
      <c r="U88" s="3029"/>
      <c r="V88" s="3029"/>
      <c r="W88" s="3029"/>
      <c r="X88" s="3029"/>
      <c r="Y88" s="3029"/>
      <c r="Z88" s="3029"/>
      <c r="AA88" s="3029"/>
      <c r="AB88" s="3029"/>
      <c r="AC88" s="3029"/>
      <c r="AD88" s="3029"/>
      <c r="AE88" s="3029"/>
      <c r="AF88" s="3029"/>
      <c r="AG88" s="3029"/>
      <c r="AH88" s="3029"/>
      <c r="AI88" s="3029"/>
      <c r="AJ88" s="3030"/>
      <c r="AK88" s="936"/>
      <c r="AL88" s="933"/>
      <c r="AM88" s="933"/>
      <c r="AN88" s="929"/>
    </row>
    <row r="89" spans="1:47" s="930" customFormat="1" ht="12.75" customHeight="1">
      <c r="A89" s="931"/>
      <c r="B89" s="932"/>
      <c r="C89" s="932"/>
      <c r="D89" s="932"/>
      <c r="E89" s="3028"/>
      <c r="F89" s="3029"/>
      <c r="G89" s="3029"/>
      <c r="H89" s="3029"/>
      <c r="I89" s="3029"/>
      <c r="J89" s="3029"/>
      <c r="K89" s="3029"/>
      <c r="L89" s="3029"/>
      <c r="M89" s="3029"/>
      <c r="N89" s="3029"/>
      <c r="O89" s="3029"/>
      <c r="P89" s="3029"/>
      <c r="Q89" s="3029"/>
      <c r="R89" s="3029"/>
      <c r="S89" s="3029"/>
      <c r="T89" s="3029"/>
      <c r="U89" s="3029"/>
      <c r="V89" s="3029"/>
      <c r="W89" s="3029"/>
      <c r="X89" s="3029"/>
      <c r="Y89" s="3029"/>
      <c r="Z89" s="3029"/>
      <c r="AA89" s="3029"/>
      <c r="AB89" s="3029"/>
      <c r="AC89" s="3029"/>
      <c r="AD89" s="3029"/>
      <c r="AE89" s="3029"/>
      <c r="AF89" s="3029"/>
      <c r="AG89" s="3029"/>
      <c r="AH89" s="3029"/>
      <c r="AI89" s="3029"/>
      <c r="AJ89" s="3030"/>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31">
        <f>Application!AH753</f>
        <v>0.55934959349593505</v>
      </c>
      <c r="F91" s="3032"/>
      <c r="G91" s="3032"/>
      <c r="H91" s="3032"/>
      <c r="I91" s="971"/>
      <c r="J91" s="1478" t="s">
        <v>1597</v>
      </c>
      <c r="K91" s="1471"/>
      <c r="L91" s="1471"/>
      <c r="M91" s="1471"/>
      <c r="N91" s="1471"/>
      <c r="O91" s="1471"/>
      <c r="P91" s="1471"/>
      <c r="Q91" s="1471"/>
      <c r="R91" s="1480"/>
      <c r="S91" s="1480"/>
      <c r="T91" s="1480"/>
      <c r="U91" s="1480"/>
      <c r="V91" s="1480"/>
      <c r="W91" s="1480"/>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31">
        <f ca="1">SUMIF(Application!AH728:AL752,0.2,Application!G728:J752)/Application!G753+SUMIF(Application!AH728:AL752,0.25,Application!G728:J752)/Application!G753+SUMIF(Application!AH728:AL752,0.3,Application!G728:J752)/Application!G753</f>
        <v>0.1016260162601626</v>
      </c>
      <c r="F92" s="3032"/>
      <c r="G92" s="3032"/>
      <c r="H92" s="3032"/>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69"/>
    </row>
    <row r="93" spans="1:47" s="930" customFormat="1" ht="12.75" customHeight="1">
      <c r="A93" s="931"/>
      <c r="B93" s="932"/>
      <c r="C93" s="932"/>
      <c r="D93" s="932"/>
      <c r="E93" s="3031">
        <f ca="1">SUMIF(Application!AH728:AL752,0.35,Application!G728:J752)/Application!G753+SUMIF(Application!AH728:AL752,0.4,Application!G728:J752)/Application!G753+SUMIF(Application!AH728:AL752,0.45,Application!G728:J752)/Application!G753+SUMIF(Application!AH728:AL752,0.5,Application!G728:J752)/Application!G753</f>
        <v>0.1016260162601626</v>
      </c>
      <c r="F93" s="3032"/>
      <c r="G93" s="3032"/>
      <c r="H93" s="3032"/>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69"/>
    </row>
    <row r="94" spans="1:47" s="930" customFormat="1" ht="12.75" customHeight="1">
      <c r="A94" s="931"/>
      <c r="B94" s="932"/>
      <c r="C94" s="932"/>
      <c r="D94" s="932"/>
      <c r="E94" s="3049">
        <f ca="1">IF(AND(E91&lt;=0.6,E92&gt;=0.1,OR(E93&gt;=0.1,E92=1)),20,0)</f>
        <v>20</v>
      </c>
      <c r="F94" s="3050"/>
      <c r="G94" s="3050"/>
      <c r="H94" s="3050"/>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2994">
        <f ca="1">MAX(AP83,AP94)</f>
        <v>20</v>
      </c>
      <c r="AL97" s="2995"/>
      <c r="AM97" s="2996"/>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5" t="s">
        <v>1585</v>
      </c>
      <c r="AF100" s="3015"/>
      <c r="AG100" s="3015"/>
      <c r="AH100" s="3015"/>
      <c r="AI100" s="3015"/>
      <c r="AJ100" s="3015"/>
      <c r="AK100" s="3015"/>
      <c r="AL100" s="933"/>
      <c r="AM100" s="933"/>
      <c r="AN100" s="929"/>
      <c r="AO100" s="930" t="str">
        <f>Application!B728</f>
        <v>1 Bedroom</v>
      </c>
      <c r="AQ100" s="930">
        <f>Application!O728</f>
        <v>890</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1"/>
      <c r="AF101" s="1781"/>
      <c r="AG101" s="1781"/>
      <c r="AH101" s="1781"/>
      <c r="AI101" s="1781"/>
      <c r="AJ101" s="1781"/>
      <c r="AK101" s="933"/>
      <c r="AL101" s="933"/>
      <c r="AM101" s="933"/>
      <c r="AN101" s="929"/>
      <c r="AO101" s="930" t="str">
        <f>Application!B729</f>
        <v>1 Bedroom</v>
      </c>
      <c r="AQ101" s="930">
        <f>Application!O729</f>
        <v>1511</v>
      </c>
    </row>
    <row r="102" spans="1:49" s="930" customFormat="1" ht="12.75" customHeight="1">
      <c r="A102" s="933"/>
      <c r="B102" s="932"/>
      <c r="C102" s="932"/>
      <c r="D102" s="932"/>
      <c r="E102" s="1471"/>
      <c r="F102" s="1471"/>
      <c r="G102" s="1471"/>
      <c r="H102" s="1471"/>
      <c r="I102" s="1471"/>
      <c r="J102" s="1471"/>
      <c r="K102" s="1471"/>
      <c r="L102" s="1471"/>
      <c r="M102" s="1471"/>
      <c r="N102" s="1471"/>
      <c r="O102" s="1471"/>
      <c r="P102" s="1471"/>
      <c r="Q102" s="1471"/>
      <c r="R102" s="1471"/>
      <c r="S102" s="1471"/>
      <c r="T102" s="1471"/>
      <c r="U102" s="1471"/>
      <c r="V102" s="1471"/>
      <c r="W102" s="1471"/>
      <c r="X102" s="1471"/>
      <c r="Y102" s="1471"/>
      <c r="Z102" s="1471"/>
      <c r="AA102" s="1471"/>
      <c r="AB102" s="1471"/>
      <c r="AC102" s="1471"/>
      <c r="AD102" s="1471"/>
      <c r="AE102" s="1471"/>
      <c r="AF102" s="1471"/>
      <c r="AG102" s="1471"/>
      <c r="AH102" s="1471"/>
      <c r="AI102" s="1471"/>
      <c r="AJ102" s="1471"/>
      <c r="AK102" s="933"/>
      <c r="AL102" s="933"/>
      <c r="AM102" s="933"/>
      <c r="AN102" s="929"/>
      <c r="AO102" s="930" t="str">
        <f>Application!B730</f>
        <v>1 Bedroom</v>
      </c>
      <c r="AQ102" s="930">
        <f>Application!O730</f>
        <v>1822</v>
      </c>
    </row>
    <row r="103" spans="1:49" s="930" customFormat="1" ht="12.75" customHeight="1">
      <c r="A103" s="933"/>
      <c r="B103" s="2988" t="s">
        <v>578</v>
      </c>
      <c r="C103" s="2988"/>
      <c r="D103" s="940" t="s">
        <v>1586</v>
      </c>
      <c r="E103" s="3025" t="s">
        <v>2386</v>
      </c>
      <c r="F103" s="3026"/>
      <c r="G103" s="3026"/>
      <c r="H103" s="3026"/>
      <c r="I103" s="3026"/>
      <c r="J103" s="3026"/>
      <c r="K103" s="3026"/>
      <c r="L103" s="3026"/>
      <c r="M103" s="3026"/>
      <c r="N103" s="3026"/>
      <c r="O103" s="3026"/>
      <c r="P103" s="3026"/>
      <c r="Q103" s="3026"/>
      <c r="R103" s="3026"/>
      <c r="S103" s="3026"/>
      <c r="T103" s="3026"/>
      <c r="U103" s="3026"/>
      <c r="V103" s="3026"/>
      <c r="W103" s="3026"/>
      <c r="X103" s="3026"/>
      <c r="Y103" s="3026"/>
      <c r="Z103" s="3026"/>
      <c r="AA103" s="3026"/>
      <c r="AB103" s="3026"/>
      <c r="AC103" s="3026"/>
      <c r="AD103" s="3026"/>
      <c r="AE103" s="3026"/>
      <c r="AF103" s="3026"/>
      <c r="AG103" s="3026"/>
      <c r="AH103" s="3026"/>
      <c r="AI103" s="3026"/>
      <c r="AJ103" s="3027"/>
      <c r="AK103" s="933"/>
      <c r="AL103" s="933"/>
      <c r="AM103" s="933"/>
      <c r="AN103" s="929"/>
      <c r="AO103" s="930" t="str">
        <f>Application!B731</f>
        <v>1 Bedroom</v>
      </c>
      <c r="AQ103" s="930">
        <f>Application!O731</f>
        <v>890</v>
      </c>
      <c r="AU103" s="930" t="s">
        <v>2364</v>
      </c>
      <c r="AV103" s="1763" t="s">
        <v>2365</v>
      </c>
      <c r="AW103" s="930" t="s">
        <v>2366</v>
      </c>
    </row>
    <row r="104" spans="1:49" s="930" customFormat="1" ht="12.75" customHeight="1">
      <c r="A104" s="933"/>
      <c r="B104" s="932"/>
      <c r="C104" s="932"/>
      <c r="D104" s="932"/>
      <c r="E104" s="3028"/>
      <c r="F104" s="3029"/>
      <c r="G104" s="3029"/>
      <c r="H104" s="3029"/>
      <c r="I104" s="3029"/>
      <c r="J104" s="3029"/>
      <c r="K104" s="3029"/>
      <c r="L104" s="3029"/>
      <c r="M104" s="3029"/>
      <c r="N104" s="3029"/>
      <c r="O104" s="3029"/>
      <c r="P104" s="3029"/>
      <c r="Q104" s="3029"/>
      <c r="R104" s="3029"/>
      <c r="S104" s="3029"/>
      <c r="T104" s="3029"/>
      <c r="U104" s="3029"/>
      <c r="V104" s="3029"/>
      <c r="W104" s="3029"/>
      <c r="X104" s="3029"/>
      <c r="Y104" s="3029"/>
      <c r="Z104" s="3029"/>
      <c r="AA104" s="3029"/>
      <c r="AB104" s="3029"/>
      <c r="AC104" s="3029"/>
      <c r="AD104" s="3029"/>
      <c r="AE104" s="3029"/>
      <c r="AF104" s="3029"/>
      <c r="AG104" s="3029"/>
      <c r="AH104" s="3029"/>
      <c r="AI104" s="3029"/>
      <c r="AJ104" s="3030"/>
      <c r="AK104" s="933"/>
      <c r="AL104" s="933"/>
      <c r="AM104" s="933"/>
      <c r="AN104" s="929"/>
      <c r="AO104" s="930" t="str">
        <f>Application!B732</f>
        <v>1 Bedroom</v>
      </c>
      <c r="AQ104" s="930">
        <f>Application!O732</f>
        <v>1511</v>
      </c>
      <c r="AU104" s="1766" t="str">
        <f>E112</f>
        <v>Studio/SRO</v>
      </c>
      <c r="AV104" s="930">
        <f t="array" ref="AV104">SUM(IF(Application!B728:F752="SRO/Studio",Application!G728:J752))</f>
        <v>0</v>
      </c>
      <c r="AW104" s="1801">
        <f>AV104/AV110</f>
        <v>0</v>
      </c>
    </row>
    <row r="105" spans="1:49" s="930" customFormat="1" ht="12.75" customHeight="1">
      <c r="A105" s="933"/>
      <c r="B105" s="932"/>
      <c r="C105" s="932"/>
      <c r="D105" s="932"/>
      <c r="E105" s="3028"/>
      <c r="F105" s="3029"/>
      <c r="G105" s="3029"/>
      <c r="H105" s="3029"/>
      <c r="I105" s="3029"/>
      <c r="J105" s="3029"/>
      <c r="K105" s="3029"/>
      <c r="L105" s="3029"/>
      <c r="M105" s="3029"/>
      <c r="N105" s="3029"/>
      <c r="O105" s="3029"/>
      <c r="P105" s="3029"/>
      <c r="Q105" s="3029"/>
      <c r="R105" s="3029"/>
      <c r="S105" s="3029"/>
      <c r="T105" s="3029"/>
      <c r="U105" s="3029"/>
      <c r="V105" s="3029"/>
      <c r="W105" s="3029"/>
      <c r="X105" s="3029"/>
      <c r="Y105" s="3029"/>
      <c r="Z105" s="3029"/>
      <c r="AA105" s="3029"/>
      <c r="AB105" s="3029"/>
      <c r="AC105" s="3029"/>
      <c r="AD105" s="3029"/>
      <c r="AE105" s="3029"/>
      <c r="AF105" s="3029"/>
      <c r="AG105" s="3029"/>
      <c r="AH105" s="3029"/>
      <c r="AI105" s="3029"/>
      <c r="AJ105" s="3030"/>
      <c r="AK105" s="933"/>
      <c r="AL105" s="933"/>
      <c r="AM105" s="933"/>
      <c r="AN105" s="929"/>
      <c r="AO105" s="930" t="str">
        <f>Application!B733</f>
        <v>1 Bedroom</v>
      </c>
      <c r="AQ105" s="930">
        <f>Application!O733</f>
        <v>1822</v>
      </c>
      <c r="AU105" s="1766" t="str">
        <f>J112</f>
        <v>1-bedroom</v>
      </c>
      <c r="AV105" s="930">
        <f t="array" ref="AV105">SUM(IF(Application!B728:F752="1 Bedroom",Application!G728:J752))</f>
        <v>70</v>
      </c>
      <c r="AW105" s="1801">
        <f>AV105/AV110</f>
        <v>0.28455284552845528</v>
      </c>
    </row>
    <row r="106" spans="1:49" s="930" customFormat="1" ht="12.75" customHeight="1">
      <c r="A106" s="933"/>
      <c r="B106" s="932"/>
      <c r="C106" s="932"/>
      <c r="D106" s="932"/>
      <c r="E106" s="3028"/>
      <c r="F106" s="3029"/>
      <c r="G106" s="3029"/>
      <c r="H106" s="3029"/>
      <c r="I106" s="3029"/>
      <c r="J106" s="3029"/>
      <c r="K106" s="3029"/>
      <c r="L106" s="3029"/>
      <c r="M106" s="3029"/>
      <c r="N106" s="3029"/>
      <c r="O106" s="3029"/>
      <c r="P106" s="3029"/>
      <c r="Q106" s="3029"/>
      <c r="R106" s="3029"/>
      <c r="S106" s="3029"/>
      <c r="T106" s="3029"/>
      <c r="U106" s="3029"/>
      <c r="V106" s="3029"/>
      <c r="W106" s="3029"/>
      <c r="X106" s="3029"/>
      <c r="Y106" s="3029"/>
      <c r="Z106" s="3029"/>
      <c r="AA106" s="3029"/>
      <c r="AB106" s="3029"/>
      <c r="AC106" s="3029"/>
      <c r="AD106" s="3029"/>
      <c r="AE106" s="3029"/>
      <c r="AF106" s="3029"/>
      <c r="AG106" s="3029"/>
      <c r="AH106" s="3029"/>
      <c r="AI106" s="3029"/>
      <c r="AJ106" s="3030"/>
      <c r="AK106" s="933"/>
      <c r="AL106" s="933"/>
      <c r="AM106" s="933"/>
      <c r="AN106" s="929"/>
      <c r="AO106" s="930" t="str">
        <f>Application!B734</f>
        <v>2 Bedrooms</v>
      </c>
      <c r="AQ106" s="930">
        <f>Application!O734</f>
        <v>1062</v>
      </c>
      <c r="AU106" s="1766" t="str">
        <f>O112</f>
        <v>2-bedroom</v>
      </c>
      <c r="AV106" s="930">
        <f t="array" ref="AV106">SUM(IF(Application!B728:F752="2 Bedrooms",Application!G728:J752))</f>
        <v>113</v>
      </c>
      <c r="AW106" s="1801">
        <f>AV106/AV110</f>
        <v>0.45934959349593496</v>
      </c>
    </row>
    <row r="107" spans="1:49" s="930" customFormat="1" ht="12.75" customHeight="1">
      <c r="A107" s="933"/>
      <c r="B107" s="932"/>
      <c r="C107" s="932"/>
      <c r="D107" s="932"/>
      <c r="E107" s="3028"/>
      <c r="F107" s="3029"/>
      <c r="G107" s="3029"/>
      <c r="H107" s="3029"/>
      <c r="I107" s="3029"/>
      <c r="J107" s="3029"/>
      <c r="K107" s="3029"/>
      <c r="L107" s="3029"/>
      <c r="M107" s="3029"/>
      <c r="N107" s="3029"/>
      <c r="O107" s="3029"/>
      <c r="P107" s="3029"/>
      <c r="Q107" s="3029"/>
      <c r="R107" s="3029"/>
      <c r="S107" s="3029"/>
      <c r="T107" s="3029"/>
      <c r="U107" s="3029"/>
      <c r="V107" s="3029"/>
      <c r="W107" s="3029"/>
      <c r="X107" s="3029"/>
      <c r="Y107" s="3029"/>
      <c r="Z107" s="3029"/>
      <c r="AA107" s="3029"/>
      <c r="AB107" s="3029"/>
      <c r="AC107" s="3029"/>
      <c r="AD107" s="3029"/>
      <c r="AE107" s="3029"/>
      <c r="AF107" s="3029"/>
      <c r="AG107" s="3029"/>
      <c r="AH107" s="3029"/>
      <c r="AI107" s="3029"/>
      <c r="AJ107" s="3030"/>
      <c r="AK107" s="933"/>
      <c r="AL107" s="933"/>
      <c r="AM107" s="933"/>
      <c r="AN107" s="929"/>
      <c r="AO107" s="930" t="str">
        <f>Application!B735</f>
        <v>2 Bedrooms</v>
      </c>
      <c r="AQ107" s="930">
        <f>Application!O735</f>
        <v>1808</v>
      </c>
      <c r="AU107" s="1766" t="str">
        <f>T112</f>
        <v>3-bedroom</v>
      </c>
      <c r="AV107" s="930">
        <f t="array" ref="AV107">SUM(IF(Application!B728:F752="3 Bedrooms",Application!G728:J752))</f>
        <v>63</v>
      </c>
      <c r="AW107" s="1801">
        <f>AV107/AV110</f>
        <v>0.25609756097560976</v>
      </c>
    </row>
    <row r="108" spans="1:49" s="930" customFormat="1" ht="12.75" customHeight="1">
      <c r="A108" s="933"/>
      <c r="B108" s="932"/>
      <c r="C108" s="932"/>
      <c r="D108" s="932"/>
      <c r="E108" s="3028"/>
      <c r="F108" s="3029"/>
      <c r="G108" s="3029"/>
      <c r="H108" s="3029"/>
      <c r="I108" s="3029"/>
      <c r="J108" s="3029"/>
      <c r="K108" s="3029"/>
      <c r="L108" s="3029"/>
      <c r="M108" s="3029"/>
      <c r="N108" s="3029"/>
      <c r="O108" s="3029"/>
      <c r="P108" s="3029"/>
      <c r="Q108" s="3029"/>
      <c r="R108" s="3029"/>
      <c r="S108" s="3029"/>
      <c r="T108" s="3029"/>
      <c r="U108" s="3029"/>
      <c r="V108" s="3029"/>
      <c r="W108" s="3029"/>
      <c r="X108" s="3029"/>
      <c r="Y108" s="3029"/>
      <c r="Z108" s="3029"/>
      <c r="AA108" s="3029"/>
      <c r="AB108" s="3029"/>
      <c r="AC108" s="3029"/>
      <c r="AD108" s="3029"/>
      <c r="AE108" s="3029"/>
      <c r="AF108" s="3029"/>
      <c r="AG108" s="3029"/>
      <c r="AH108" s="3029"/>
      <c r="AI108" s="3029"/>
      <c r="AJ108" s="3030"/>
      <c r="AK108" s="933"/>
      <c r="AL108" s="933"/>
      <c r="AM108" s="933"/>
      <c r="AN108" s="929"/>
      <c r="AO108" s="930" t="str">
        <f>Application!B736</f>
        <v>2 Bedrooms</v>
      </c>
      <c r="AQ108" s="930">
        <f>Application!O736</f>
        <v>2181</v>
      </c>
      <c r="AU108" s="1766" t="str">
        <f>Y112</f>
        <v>4-bedroom</v>
      </c>
      <c r="AV108" s="930">
        <f t="array" ref="AV108">SUM(IF(Application!B728:F752="4 Bedrooms",Application!G728:J752))</f>
        <v>0</v>
      </c>
      <c r="AW108" s="1801">
        <f>AV108/AV110</f>
        <v>0</v>
      </c>
    </row>
    <row r="109" spans="1:49" s="930" customFormat="1" ht="12.75" customHeight="1">
      <c r="A109" s="933"/>
      <c r="B109" s="932"/>
      <c r="C109" s="932"/>
      <c r="D109" s="932"/>
      <c r="E109" s="3028"/>
      <c r="F109" s="3029"/>
      <c r="G109" s="3029"/>
      <c r="H109" s="3029"/>
      <c r="I109" s="3029"/>
      <c r="J109" s="3029"/>
      <c r="K109" s="3029"/>
      <c r="L109" s="3029"/>
      <c r="M109" s="3029"/>
      <c r="N109" s="3029"/>
      <c r="O109" s="3029"/>
      <c r="P109" s="3029"/>
      <c r="Q109" s="3029"/>
      <c r="R109" s="3029"/>
      <c r="S109" s="3029"/>
      <c r="T109" s="3029"/>
      <c r="U109" s="3029"/>
      <c r="V109" s="3029"/>
      <c r="W109" s="3029"/>
      <c r="X109" s="3029"/>
      <c r="Y109" s="3029"/>
      <c r="Z109" s="3029"/>
      <c r="AA109" s="3029"/>
      <c r="AB109" s="3029"/>
      <c r="AC109" s="3029"/>
      <c r="AD109" s="3029"/>
      <c r="AE109" s="3029"/>
      <c r="AF109" s="3029"/>
      <c r="AG109" s="3029"/>
      <c r="AH109" s="3029"/>
      <c r="AI109" s="3029"/>
      <c r="AJ109" s="3030"/>
      <c r="AK109" s="933"/>
      <c r="AL109" s="933"/>
      <c r="AM109" s="933"/>
      <c r="AN109" s="929"/>
      <c r="AO109" s="930" t="str">
        <f>Application!B737</f>
        <v>2 Bedrooms</v>
      </c>
      <c r="AQ109" s="930">
        <f>Application!O737</f>
        <v>1062</v>
      </c>
      <c r="AU109" s="1766" t="str">
        <f>AD112</f>
        <v>5-bedroom</v>
      </c>
      <c r="AV109" s="930">
        <f t="array" ref="AV109">SUM(IF(Application!B728:F752="5 Bedrooms",Application!G728:J752))</f>
        <v>0</v>
      </c>
      <c r="AW109" s="1801">
        <f>AV109/AV110</f>
        <v>0</v>
      </c>
    </row>
    <row r="110" spans="1:49" s="930" customFormat="1" ht="12.75" customHeight="1">
      <c r="A110" s="933"/>
      <c r="B110" s="932"/>
      <c r="C110" s="932"/>
      <c r="D110" s="932"/>
      <c r="E110" s="3028"/>
      <c r="F110" s="3029"/>
      <c r="G110" s="3029"/>
      <c r="H110" s="3029"/>
      <c r="I110" s="3029"/>
      <c r="J110" s="3029"/>
      <c r="K110" s="3029"/>
      <c r="L110" s="3029"/>
      <c r="M110" s="3029"/>
      <c r="N110" s="3029"/>
      <c r="O110" s="3029"/>
      <c r="P110" s="3029"/>
      <c r="Q110" s="3029"/>
      <c r="R110" s="3029"/>
      <c r="S110" s="3029"/>
      <c r="T110" s="3029"/>
      <c r="U110" s="3029"/>
      <c r="V110" s="3029"/>
      <c r="W110" s="3029"/>
      <c r="X110" s="3029"/>
      <c r="Y110" s="3029"/>
      <c r="Z110" s="3029"/>
      <c r="AA110" s="3029"/>
      <c r="AB110" s="3029"/>
      <c r="AC110" s="3029"/>
      <c r="AD110" s="3029"/>
      <c r="AE110" s="3029"/>
      <c r="AF110" s="3029"/>
      <c r="AG110" s="3029"/>
      <c r="AH110" s="3029"/>
      <c r="AI110" s="3029"/>
      <c r="AJ110" s="3030"/>
      <c r="AK110" s="933"/>
      <c r="AL110" s="933"/>
      <c r="AM110" s="933"/>
      <c r="AN110" s="929"/>
      <c r="AO110" s="930" t="str">
        <f>Application!B738</f>
        <v>2 Bedrooms</v>
      </c>
      <c r="AQ110" s="930">
        <f>Application!O738</f>
        <v>1808</v>
      </c>
      <c r="AV110" s="930">
        <f>SUM(AV104:AV109)</f>
        <v>246</v>
      </c>
      <c r="AW110" s="1801">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2 Bedrooms</v>
      </c>
      <c r="AQ111" s="930">
        <f>Application!O739</f>
        <v>2181</v>
      </c>
    </row>
    <row r="112" spans="1:49" s="930" customFormat="1" ht="12.75" customHeight="1">
      <c r="A112" s="933"/>
      <c r="B112" s="932"/>
      <c r="C112" s="933"/>
      <c r="D112" s="933"/>
      <c r="E112" s="3031" t="s">
        <v>1887</v>
      </c>
      <c r="F112" s="3032"/>
      <c r="G112" s="3032"/>
      <c r="H112" s="3032"/>
      <c r="I112" s="1471"/>
      <c r="J112" s="3032" t="s">
        <v>1980</v>
      </c>
      <c r="K112" s="3032"/>
      <c r="L112" s="3032"/>
      <c r="M112" s="3032"/>
      <c r="N112" s="1471"/>
      <c r="O112" s="3032" t="s">
        <v>1981</v>
      </c>
      <c r="P112" s="3032"/>
      <c r="Q112" s="3032"/>
      <c r="R112" s="3032"/>
      <c r="S112" s="1471"/>
      <c r="T112" s="3032" t="s">
        <v>1605</v>
      </c>
      <c r="U112" s="3032"/>
      <c r="V112" s="3032"/>
      <c r="W112" s="3032"/>
      <c r="X112" s="1471"/>
      <c r="Y112" s="3032" t="s">
        <v>1982</v>
      </c>
      <c r="Z112" s="3032"/>
      <c r="AA112" s="3032"/>
      <c r="AB112" s="3032"/>
      <c r="AC112" s="1471"/>
      <c r="AD112" s="3032" t="s">
        <v>1983</v>
      </c>
      <c r="AE112" s="3032"/>
      <c r="AF112" s="3032"/>
      <c r="AG112" s="3032"/>
      <c r="AH112" s="971"/>
      <c r="AI112" s="971"/>
      <c r="AJ112" s="973"/>
      <c r="AK112" s="933"/>
      <c r="AL112" s="933"/>
      <c r="AM112" s="933"/>
      <c r="AN112" s="929"/>
      <c r="AO112" s="930" t="str">
        <f>Application!B740</f>
        <v>3 Bedrooms</v>
      </c>
      <c r="AQ112" s="930">
        <f>Application!O740</f>
        <v>1220</v>
      </c>
    </row>
    <row r="113" spans="1:52" s="930" customFormat="1" ht="12.75" customHeight="1">
      <c r="A113" s="933"/>
      <c r="B113" s="954"/>
      <c r="C113" s="933"/>
      <c r="D113" s="933"/>
      <c r="E113" s="1474"/>
      <c r="F113" s="1470"/>
      <c r="G113" s="1470"/>
      <c r="H113" s="1470"/>
      <c r="I113" s="1471"/>
      <c r="J113" s="1470"/>
      <c r="K113" s="1470"/>
      <c r="L113" s="1470"/>
      <c r="M113" s="1470"/>
      <c r="N113" s="1471"/>
      <c r="O113" s="1470"/>
      <c r="P113" s="1470"/>
      <c r="Q113" s="1470"/>
      <c r="R113" s="1470"/>
      <c r="S113" s="1471"/>
      <c r="T113" s="1470"/>
      <c r="U113" s="1470"/>
      <c r="V113" s="1470"/>
      <c r="W113" s="1470"/>
      <c r="X113" s="1471"/>
      <c r="Y113" s="1470"/>
      <c r="Z113" s="1470"/>
      <c r="AA113" s="1470"/>
      <c r="AB113" s="1470"/>
      <c r="AC113" s="1471"/>
      <c r="AD113" s="1470"/>
      <c r="AE113" s="1470"/>
      <c r="AF113" s="1470"/>
      <c r="AG113" s="1470"/>
      <c r="AH113" s="1471"/>
      <c r="AI113" s="1471"/>
      <c r="AJ113" s="1472"/>
      <c r="AK113" s="933"/>
      <c r="AL113" s="933"/>
      <c r="AM113" s="933"/>
      <c r="AN113" s="929"/>
      <c r="AO113" s="930" t="str">
        <f>Application!B741</f>
        <v>3 Bedrooms</v>
      </c>
      <c r="AQ113" s="930">
        <f>Application!O741</f>
        <v>2082</v>
      </c>
    </row>
    <row r="114" spans="1:52" s="930" customFormat="1" ht="12.75" customHeight="1">
      <c r="A114" s="933"/>
      <c r="B114" s="954"/>
      <c r="C114" s="933"/>
      <c r="D114" s="933"/>
      <c r="E114" s="1475" t="s">
        <v>1984</v>
      </c>
      <c r="F114" s="1470"/>
      <c r="G114" s="1470"/>
      <c r="H114" s="1470"/>
      <c r="I114" s="1471"/>
      <c r="J114" s="1470"/>
      <c r="K114" s="1470"/>
      <c r="L114" s="1470"/>
      <c r="M114" s="1470"/>
      <c r="N114" s="1471"/>
      <c r="O114" s="1470"/>
      <c r="P114" s="1470"/>
      <c r="Q114" s="1470"/>
      <c r="R114" s="1470"/>
      <c r="S114" s="1471"/>
      <c r="T114" s="1470"/>
      <c r="U114" s="1470"/>
      <c r="V114" s="1470"/>
      <c r="W114" s="1470"/>
      <c r="X114" s="1471"/>
      <c r="Y114" s="1470"/>
      <c r="Z114" s="1470"/>
      <c r="AA114" s="1470"/>
      <c r="AB114" s="1470"/>
      <c r="AC114" s="1471"/>
      <c r="AD114" s="1470"/>
      <c r="AE114" s="1470"/>
      <c r="AF114" s="1470"/>
      <c r="AG114" s="1470"/>
      <c r="AH114" s="1471"/>
      <c r="AI114" s="1471"/>
      <c r="AJ114" s="1472"/>
      <c r="AK114" s="933"/>
      <c r="AL114" s="933"/>
      <c r="AM114" s="933"/>
      <c r="AN114" s="929"/>
      <c r="AO114" s="930" t="str">
        <f>Application!B742</f>
        <v>3 Bedrooms</v>
      </c>
      <c r="AQ114" s="930">
        <f>Application!O742</f>
        <v>2513</v>
      </c>
    </row>
    <row r="115" spans="1:52" s="930" customFormat="1" ht="12.75" customHeight="1">
      <c r="A115" s="933"/>
      <c r="B115" s="954"/>
      <c r="C115" s="933"/>
      <c r="D115" s="933"/>
      <c r="E115" s="3051"/>
      <c r="F115" s="3052"/>
      <c r="G115" s="3052"/>
      <c r="H115" s="3052"/>
      <c r="I115" s="1473"/>
      <c r="J115" s="3052">
        <v>2482</v>
      </c>
      <c r="K115" s="3052"/>
      <c r="L115" s="3052"/>
      <c r="M115" s="3052"/>
      <c r="N115" s="1473"/>
      <c r="O115" s="3052">
        <v>3135</v>
      </c>
      <c r="P115" s="3052"/>
      <c r="Q115" s="3052"/>
      <c r="R115" s="3052"/>
      <c r="S115" s="1473"/>
      <c r="T115" s="3052">
        <v>3997</v>
      </c>
      <c r="U115" s="3052"/>
      <c r="V115" s="3052"/>
      <c r="W115" s="3052"/>
      <c r="X115" s="1473"/>
      <c r="Y115" s="3052"/>
      <c r="Z115" s="3052"/>
      <c r="AA115" s="3052"/>
      <c r="AB115" s="3052"/>
      <c r="AC115" s="1473"/>
      <c r="AD115" s="3052"/>
      <c r="AE115" s="3052"/>
      <c r="AF115" s="3052"/>
      <c r="AG115" s="3052"/>
      <c r="AH115" s="1471"/>
      <c r="AI115" s="1471"/>
      <c r="AJ115" s="1472"/>
      <c r="AK115" s="933"/>
      <c r="AL115" s="933"/>
      <c r="AM115" s="933"/>
      <c r="AN115" s="929"/>
      <c r="AO115" s="930" t="str">
        <f>Application!B743</f>
        <v>3 Bedrooms</v>
      </c>
      <c r="AQ115" s="930">
        <f>Application!O743</f>
        <v>1220</v>
      </c>
    </row>
    <row r="116" spans="1:52" s="930" customFormat="1" ht="12.75" customHeight="1">
      <c r="A116" s="933"/>
      <c r="B116" s="954"/>
      <c r="C116" s="933"/>
      <c r="D116" s="933"/>
      <c r="E116" s="1474"/>
      <c r="F116" s="1470"/>
      <c r="G116" s="1470"/>
      <c r="H116" s="1470"/>
      <c r="I116" s="1471"/>
      <c r="J116" s="1470"/>
      <c r="K116" s="1470"/>
      <c r="L116" s="1470"/>
      <c r="M116" s="1470"/>
      <c r="N116" s="1471"/>
      <c r="O116" s="1470"/>
      <c r="P116" s="1470"/>
      <c r="Q116" s="1470"/>
      <c r="R116" s="1470"/>
      <c r="S116" s="1471"/>
      <c r="T116" s="1470"/>
      <c r="U116" s="1470"/>
      <c r="V116" s="1470"/>
      <c r="W116" s="1470"/>
      <c r="X116" s="1471"/>
      <c r="Y116" s="1470"/>
      <c r="Z116" s="1470"/>
      <c r="AA116" s="1470"/>
      <c r="AB116" s="1470"/>
      <c r="AC116" s="1471"/>
      <c r="AD116" s="1470"/>
      <c r="AE116" s="1470"/>
      <c r="AF116" s="1470"/>
      <c r="AG116" s="1470"/>
      <c r="AH116" s="1471"/>
      <c r="AI116" s="1471"/>
      <c r="AJ116" s="1472"/>
      <c r="AK116" s="933"/>
      <c r="AL116" s="933"/>
      <c r="AM116" s="933"/>
      <c r="AN116" s="929"/>
      <c r="AO116" s="930" t="str">
        <f>Application!B744</f>
        <v>3 Bedrooms</v>
      </c>
      <c r="AQ116" s="930">
        <f>Application!O744</f>
        <v>2082</v>
      </c>
      <c r="AU116" s="1799"/>
      <c r="AV116" s="1799"/>
      <c r="AW116" s="1799"/>
      <c r="AX116" s="1799"/>
      <c r="AY116" s="1799"/>
      <c r="AZ116" s="1799"/>
    </row>
    <row r="117" spans="1:52" s="930" customFormat="1" ht="12.75" customHeight="1">
      <c r="A117" s="933"/>
      <c r="B117" s="954"/>
      <c r="C117" s="933"/>
      <c r="D117" s="933"/>
      <c r="E117" s="1475" t="s">
        <v>2368</v>
      </c>
      <c r="F117" s="1470"/>
      <c r="G117" s="1470"/>
      <c r="H117" s="1470"/>
      <c r="I117" s="1471"/>
      <c r="J117" s="1470"/>
      <c r="K117" s="1470"/>
      <c r="L117" s="1470"/>
      <c r="M117" s="1470"/>
      <c r="N117" s="1471"/>
      <c r="O117" s="1470"/>
      <c r="P117" s="1470"/>
      <c r="Q117" s="1470"/>
      <c r="R117" s="1470"/>
      <c r="S117" s="1471"/>
      <c r="T117" s="1470"/>
      <c r="U117" s="1470"/>
      <c r="V117" s="1470"/>
      <c r="W117" s="1470"/>
      <c r="X117" s="1471"/>
      <c r="Y117" s="1470"/>
      <c r="Z117" s="1470"/>
      <c r="AA117" s="1470"/>
      <c r="AB117" s="1470"/>
      <c r="AC117" s="1471"/>
      <c r="AD117" s="1470"/>
      <c r="AE117" s="1470"/>
      <c r="AF117" s="1470"/>
      <c r="AG117" s="1470"/>
      <c r="AH117" s="1471"/>
      <c r="AI117" s="1471"/>
      <c r="AJ117" s="1472"/>
      <c r="AK117" s="933"/>
      <c r="AL117" s="933"/>
      <c r="AM117" s="933"/>
      <c r="AN117" s="929"/>
      <c r="AO117" s="930" t="str">
        <f>Application!B745</f>
        <v>3 Bedrooms</v>
      </c>
      <c r="AQ117" s="930">
        <f>Application!O745</f>
        <v>2513</v>
      </c>
      <c r="AU117" s="1799"/>
      <c r="AV117" s="1799"/>
      <c r="AW117" s="1799"/>
      <c r="AX117" s="1799"/>
      <c r="AY117" s="1799"/>
      <c r="AZ117" s="1799"/>
    </row>
    <row r="118" spans="1:52" s="930" customFormat="1" ht="12.75" customHeight="1">
      <c r="A118" s="933"/>
      <c r="B118" s="932"/>
      <c r="C118" s="933"/>
      <c r="D118" s="933"/>
      <c r="E118" s="3053">
        <f>Application!DX663</f>
        <v>0</v>
      </c>
      <c r="F118" s="2993"/>
      <c r="G118" s="2993"/>
      <c r="H118" s="2993"/>
      <c r="I118" s="1473"/>
      <c r="J118" s="2993">
        <f>Application!EC663</f>
        <v>1697.6999999999998</v>
      </c>
      <c r="K118" s="2993"/>
      <c r="L118" s="2993"/>
      <c r="M118" s="2993"/>
      <c r="N118" s="1473"/>
      <c r="O118" s="2993">
        <f>Application!EH663</f>
        <v>2032.4601769911505</v>
      </c>
      <c r="P118" s="2993"/>
      <c r="Q118" s="2993"/>
      <c r="R118" s="2993"/>
      <c r="S118" s="1477"/>
      <c r="T118" s="2993">
        <f>Application!EM663</f>
        <v>2328.2857142857142</v>
      </c>
      <c r="U118" s="2993"/>
      <c r="V118" s="2993"/>
      <c r="W118" s="2993"/>
      <c r="X118" s="1477"/>
      <c r="Y118" s="2993">
        <f>Application!ER663</f>
        <v>0</v>
      </c>
      <c r="Z118" s="2993"/>
      <c r="AA118" s="2993"/>
      <c r="AB118" s="2993"/>
      <c r="AC118" s="1477"/>
      <c r="AD118" s="2993">
        <f>Application!EW663</f>
        <v>0</v>
      </c>
      <c r="AE118" s="2993"/>
      <c r="AF118" s="2993"/>
      <c r="AG118" s="2993"/>
      <c r="AH118" s="971"/>
      <c r="AI118" s="971"/>
      <c r="AJ118" s="973"/>
      <c r="AK118" s="933"/>
      <c r="AL118" s="933"/>
      <c r="AM118" s="933"/>
      <c r="AN118" s="929"/>
      <c r="AO118" s="930" t="str">
        <f>Application!B746</f>
        <v>3 Bedrooms</v>
      </c>
      <c r="AQ118" s="930">
        <f>Application!O746</f>
        <v>1220</v>
      </c>
      <c r="AU118" s="1799"/>
      <c r="AV118" s="1799"/>
      <c r="AW118" s="1800"/>
      <c r="AX118" s="1800"/>
      <c r="AY118" s="1799"/>
      <c r="AZ118" s="1799"/>
    </row>
    <row r="119" spans="1:52" s="930" customFormat="1" ht="12.75" customHeight="1">
      <c r="A119" s="933"/>
      <c r="B119" s="932"/>
      <c r="C119" s="933"/>
      <c r="D119" s="933"/>
      <c r="E119" s="1476"/>
      <c r="F119" s="1470"/>
      <c r="G119" s="1470"/>
      <c r="H119" s="1470"/>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t="str">
        <f>Application!B747</f>
        <v>3 Bedrooms</v>
      </c>
      <c r="AQ119" s="930">
        <f>Application!O747</f>
        <v>2513</v>
      </c>
      <c r="AU119" s="1799"/>
      <c r="AV119" s="1799"/>
      <c r="AW119" s="1800"/>
      <c r="AX119" s="1800"/>
      <c r="AY119" s="1799"/>
      <c r="AZ119" s="1799"/>
    </row>
    <row r="120" spans="1:52" s="930" customFormat="1" ht="12.75" customHeight="1">
      <c r="A120" s="933"/>
      <c r="B120" s="932"/>
      <c r="C120" s="933"/>
      <c r="D120" s="933"/>
      <c r="E120" s="1475" t="s">
        <v>2369</v>
      </c>
      <c r="F120" s="1470"/>
      <c r="G120" s="1470"/>
      <c r="H120" s="1470"/>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799"/>
      <c r="AV120" s="1799"/>
      <c r="AW120" s="1800"/>
      <c r="AX120" s="1800"/>
      <c r="AY120" s="1799"/>
      <c r="AZ120" s="1799"/>
    </row>
    <row r="121" spans="1:52" s="930" customFormat="1" ht="12.75" customHeight="1">
      <c r="A121" s="933"/>
      <c r="B121" s="932"/>
      <c r="C121" s="933"/>
      <c r="D121" s="933"/>
      <c r="E121" s="3254" t="e">
        <f>(E115-E118)/E115</f>
        <v>#DIV/0!</v>
      </c>
      <c r="F121" s="3255"/>
      <c r="G121" s="3255"/>
      <c r="H121" s="3256"/>
      <c r="I121" s="971"/>
      <c r="J121" s="3254">
        <f>(J115-J118)/J115</f>
        <v>0.31599516518936349</v>
      </c>
      <c r="K121" s="3255"/>
      <c r="L121" s="3255"/>
      <c r="M121" s="3256"/>
      <c r="N121" s="971"/>
      <c r="O121" s="3254">
        <f>(O115-O118)/O115</f>
        <v>0.35168734386247191</v>
      </c>
      <c r="P121" s="3255"/>
      <c r="Q121" s="3255"/>
      <c r="R121" s="3256"/>
      <c r="S121" s="971"/>
      <c r="T121" s="3254">
        <f>(T115-T118)/T115</f>
        <v>0.41749169019621862</v>
      </c>
      <c r="U121" s="3255"/>
      <c r="V121" s="3255"/>
      <c r="W121" s="3256"/>
      <c r="X121" s="971"/>
      <c r="Y121" s="3254" t="e">
        <f>(Y115-Y118)/Y115</f>
        <v>#DIV/0!</v>
      </c>
      <c r="Z121" s="3255"/>
      <c r="AA121" s="3255"/>
      <c r="AB121" s="3256"/>
      <c r="AC121" s="971"/>
      <c r="AD121" s="3254" t="e">
        <f>(AD115-AD118)/AD115</f>
        <v>#DIV/0!</v>
      </c>
      <c r="AE121" s="3255"/>
      <c r="AF121" s="3255"/>
      <c r="AG121" s="3256"/>
      <c r="AH121" s="971"/>
      <c r="AI121" s="971"/>
      <c r="AJ121" s="973"/>
      <c r="AK121" s="933"/>
      <c r="AL121" s="933"/>
      <c r="AM121" s="933"/>
      <c r="AN121" s="929"/>
      <c r="AO121" s="930">
        <f>Application!B749</f>
        <v>0</v>
      </c>
      <c r="AQ121" s="930">
        <f>Application!O749</f>
        <v>0</v>
      </c>
      <c r="AU121" s="1799"/>
      <c r="AV121" s="1799"/>
      <c r="AW121" s="1800"/>
      <c r="AX121" s="1800"/>
      <c r="AY121" s="1799"/>
      <c r="AZ121" s="1799"/>
    </row>
    <row r="122" spans="1:52" s="930" customFormat="1" ht="12.75" customHeight="1">
      <c r="A122" s="933"/>
      <c r="B122" s="932"/>
      <c r="C122" s="933"/>
      <c r="D122" s="933"/>
      <c r="E122" s="1779"/>
      <c r="F122" s="1778"/>
      <c r="G122" s="1778"/>
      <c r="H122" s="1778"/>
      <c r="I122" s="971"/>
      <c r="J122" s="1778"/>
      <c r="K122" s="1778"/>
      <c r="L122" s="1778"/>
      <c r="M122" s="1778"/>
      <c r="N122" s="971"/>
      <c r="O122" s="1778"/>
      <c r="P122" s="1778"/>
      <c r="Q122" s="1778"/>
      <c r="R122" s="1778"/>
      <c r="S122" s="971"/>
      <c r="T122" s="1778"/>
      <c r="U122" s="1778"/>
      <c r="V122" s="1778"/>
      <c r="W122" s="1778"/>
      <c r="X122" s="971"/>
      <c r="Y122" s="1778"/>
      <c r="Z122" s="1778"/>
      <c r="AA122" s="1778"/>
      <c r="AB122" s="1778"/>
      <c r="AC122" s="971"/>
      <c r="AD122" s="1778"/>
      <c r="AE122" s="1778"/>
      <c r="AF122" s="1778"/>
      <c r="AG122" s="1778"/>
      <c r="AH122" s="971"/>
      <c r="AI122" s="971"/>
      <c r="AJ122" s="973"/>
      <c r="AK122" s="933"/>
      <c r="AL122" s="933"/>
      <c r="AM122" s="933"/>
      <c r="AN122" s="929"/>
      <c r="AO122" s="930">
        <f>Application!B750</f>
        <v>0</v>
      </c>
      <c r="AQ122" s="930">
        <f>Application!O750</f>
        <v>0</v>
      </c>
      <c r="AU122" s="1799"/>
      <c r="AV122" s="1799"/>
      <c r="AW122" s="1800"/>
      <c r="AX122" s="1800"/>
      <c r="AY122" s="1799"/>
      <c r="AZ122" s="1799"/>
    </row>
    <row r="123" spans="1:52" s="930" customFormat="1" ht="12.75" customHeight="1">
      <c r="A123" s="933"/>
      <c r="B123" s="932"/>
      <c r="C123" s="933"/>
      <c r="D123" s="933"/>
      <c r="E123" s="1780" t="s">
        <v>2370</v>
      </c>
      <c r="F123" s="1778"/>
      <c r="G123" s="1778"/>
      <c r="H123" s="1778"/>
      <c r="I123" s="971"/>
      <c r="J123" s="1778"/>
      <c r="K123" s="1778"/>
      <c r="L123" s="1778"/>
      <c r="M123" s="1778"/>
      <c r="N123" s="971"/>
      <c r="O123" s="1778"/>
      <c r="P123" s="1778"/>
      <c r="Q123" s="1778"/>
      <c r="R123" s="1778"/>
      <c r="S123" s="971"/>
      <c r="T123" s="1778"/>
      <c r="U123" s="1778"/>
      <c r="V123" s="1778"/>
      <c r="W123" s="1778"/>
      <c r="X123" s="971"/>
      <c r="Y123" s="1778"/>
      <c r="Z123" s="1778"/>
      <c r="AA123" s="1778"/>
      <c r="AB123" s="1778"/>
      <c r="AC123" s="971"/>
      <c r="AD123" s="1778"/>
      <c r="AE123" s="1778"/>
      <c r="AF123" s="1778"/>
      <c r="AG123" s="1778"/>
      <c r="AH123" s="971"/>
      <c r="AI123" s="971"/>
      <c r="AJ123" s="973"/>
      <c r="AK123" s="933"/>
      <c r="AL123" s="933"/>
      <c r="AM123" s="933"/>
      <c r="AN123" s="929"/>
      <c r="AO123" s="930">
        <f>Application!B751</f>
        <v>0</v>
      </c>
      <c r="AQ123" s="930">
        <f>Application!O751</f>
        <v>0</v>
      </c>
      <c r="AU123" s="1800"/>
      <c r="AV123" s="1799"/>
      <c r="AW123" s="1800"/>
      <c r="AX123" s="1800"/>
      <c r="AY123" s="1799"/>
      <c r="AZ123" s="1799"/>
    </row>
    <row r="124" spans="1:52" s="930" customFormat="1" ht="12.75" customHeight="1">
      <c r="A124" s="933"/>
      <c r="B124" s="932"/>
      <c r="C124" s="933"/>
      <c r="D124" s="933"/>
      <c r="E124" s="2990" t="e">
        <f>IF(((E121-0.1)*AW104)&gt;0,((E121-0.1)*AW104),0)</f>
        <v>#DIV/0!</v>
      </c>
      <c r="F124" s="2991"/>
      <c r="G124" s="2991"/>
      <c r="H124" s="2992"/>
      <c r="I124" s="971"/>
      <c r="J124" s="2990">
        <f>IF(((J121-0.1)*AW105)&gt;0,((J121-0.1)*AW105),0)</f>
        <v>6.1462038875022128E-2</v>
      </c>
      <c r="K124" s="2991"/>
      <c r="L124" s="2991"/>
      <c r="M124" s="2992"/>
      <c r="N124" s="971"/>
      <c r="O124" s="2990">
        <f>IF(((O121-0.1)*AW106)&gt;0,((O121-0.1)*AW106),0)</f>
        <v>0.11561247909129808</v>
      </c>
      <c r="P124" s="2991"/>
      <c r="Q124" s="2991"/>
      <c r="R124" s="2992"/>
      <c r="S124" s="971"/>
      <c r="T124" s="2990">
        <f>IF(((T121-0.1)*AW107)&gt;0,((T121-0.1)*AW107),0)</f>
        <v>8.1308847489275499E-2</v>
      </c>
      <c r="U124" s="2991"/>
      <c r="V124" s="2991"/>
      <c r="W124" s="2992"/>
      <c r="X124" s="971"/>
      <c r="Y124" s="2990" t="e">
        <f>IF(((Y121-0.1)*AW108)&gt;0,((Y121-0.1)*AW108),0)</f>
        <v>#DIV/0!</v>
      </c>
      <c r="Z124" s="2991"/>
      <c r="AA124" s="2991"/>
      <c r="AB124" s="2992"/>
      <c r="AC124" s="971"/>
      <c r="AD124" s="2990" t="e">
        <f>IF(((AD121-0.1)*AW109)&gt;0,((AD121-0.1)*AW109),0)</f>
        <v>#DIV/0!</v>
      </c>
      <c r="AE124" s="2991"/>
      <c r="AF124" s="2991"/>
      <c r="AG124" s="2992"/>
      <c r="AH124" s="971"/>
      <c r="AI124" s="971"/>
      <c r="AJ124" s="973"/>
      <c r="AK124" s="933"/>
      <c r="AL124" s="933"/>
      <c r="AM124" s="933"/>
      <c r="AN124" s="929"/>
      <c r="AO124" s="930">
        <f>Application!B752</f>
        <v>0</v>
      </c>
      <c r="AQ124" s="930">
        <f>Application!O752</f>
        <v>0</v>
      </c>
      <c r="AU124" s="1799"/>
      <c r="AV124" s="1799"/>
      <c r="AW124" s="1799"/>
      <c r="AX124" s="1800"/>
      <c r="AY124" s="1799"/>
      <c r="AZ124" s="1799"/>
    </row>
    <row r="125" spans="1:52" s="930" customFormat="1" ht="12.75" customHeight="1">
      <c r="A125" s="933"/>
      <c r="B125" s="932"/>
      <c r="C125" s="933"/>
      <c r="D125" s="933"/>
      <c r="E125" s="1476"/>
      <c r="F125" s="1470"/>
      <c r="G125" s="1470"/>
      <c r="H125" s="1470"/>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799"/>
      <c r="AV125" s="1799"/>
      <c r="AW125" s="1799"/>
      <c r="AX125" s="1799"/>
      <c r="AY125" s="1799"/>
      <c r="AZ125" s="1799"/>
    </row>
    <row r="126" spans="1:52" s="930" customFormat="1" ht="12.75" customHeight="1">
      <c r="A126" s="933"/>
      <c r="B126" s="932"/>
      <c r="C126" s="933"/>
      <c r="D126" s="933"/>
      <c r="E126" s="3254">
        <f>ROUNDDOWN(SUMIF(E124:AG124,"&gt;0"),2)</f>
        <v>0.25</v>
      </c>
      <c r="F126" s="3255"/>
      <c r="G126" s="3255"/>
      <c r="H126" s="3256"/>
      <c r="I126" s="1471"/>
      <c r="J126" s="1478" t="s">
        <v>2371</v>
      </c>
      <c r="K126" s="1471"/>
      <c r="L126" s="1471"/>
      <c r="M126" s="1471"/>
      <c r="N126" s="1471"/>
      <c r="O126" s="1471"/>
      <c r="P126" s="971"/>
      <c r="Q126" s="971"/>
      <c r="R126" s="971"/>
      <c r="S126" s="971"/>
      <c r="T126" s="971"/>
      <c r="U126" s="971"/>
      <c r="V126" s="971"/>
      <c r="W126" s="971"/>
      <c r="X126" s="971"/>
      <c r="Y126" s="971"/>
      <c r="Z126" s="971"/>
      <c r="AA126" s="971"/>
      <c r="AB126" s="971"/>
      <c r="AC126" s="971"/>
      <c r="AD126" s="1479"/>
      <c r="AE126" s="1479"/>
      <c r="AF126" s="1479"/>
      <c r="AG126" s="1479"/>
      <c r="AH126" s="971"/>
      <c r="AI126" s="971"/>
      <c r="AJ126" s="973"/>
      <c r="AK126" s="933"/>
      <c r="AL126" s="933"/>
      <c r="AM126" s="933"/>
      <c r="AN126" s="929"/>
      <c r="AU126" s="1799"/>
      <c r="AV126" s="1799"/>
      <c r="AW126" s="1799"/>
      <c r="AX126" s="1800"/>
      <c r="AY126" s="1799"/>
      <c r="AZ126" s="1799"/>
    </row>
    <row r="127" spans="1:52" s="930" customFormat="1" ht="12.75" customHeight="1">
      <c r="A127" s="933"/>
      <c r="B127" s="932"/>
      <c r="C127" s="933"/>
      <c r="D127" s="933"/>
      <c r="E127" s="2994">
        <f>IF((E126*100)&gt;10,10,E126*100)</f>
        <v>10</v>
      </c>
      <c r="F127" s="2995"/>
      <c r="G127" s="2995"/>
      <c r="H127" s="2996"/>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799"/>
      <c r="AV127" s="1799"/>
      <c r="AW127" s="1799"/>
      <c r="AX127" s="1799"/>
      <c r="AY127" s="1799"/>
      <c r="AZ127" s="1799"/>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2"/>
      <c r="AU128" s="1799"/>
      <c r="AV128" s="1799"/>
      <c r="AW128" s="1800"/>
      <c r="AX128" s="1799"/>
      <c r="AY128" s="1799"/>
      <c r="AZ128" s="1799"/>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799"/>
      <c r="AV129" s="1799"/>
      <c r="AW129" s="1799"/>
      <c r="AX129" s="1799"/>
      <c r="AY129" s="1799"/>
      <c r="AZ129" s="1799"/>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2994">
        <f>E127</f>
        <v>10</v>
      </c>
      <c r="AL131" s="2995"/>
      <c r="AM131" s="2996"/>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015" t="s">
        <v>1585</v>
      </c>
      <c r="AF134" s="3015"/>
      <c r="AG134" s="3015"/>
      <c r="AH134" s="3015"/>
      <c r="AI134" s="3015"/>
      <c r="AJ134" s="3015"/>
      <c r="AK134" s="3015"/>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47" t="s">
        <v>1609</v>
      </c>
      <c r="AG136" s="3047"/>
      <c r="AH136" s="3047"/>
      <c r="AI136" s="3047"/>
      <c r="AJ136" s="3047"/>
      <c r="AK136" s="3047"/>
      <c r="AL136" s="3047"/>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4"/>
      <c r="AM137" s="986"/>
      <c r="AN137" s="926"/>
    </row>
    <row r="138" spans="1:52" s="927" customFormat="1" ht="15" customHeight="1">
      <c r="A138" s="931"/>
      <c r="B138" s="3048" t="s">
        <v>2621</v>
      </c>
      <c r="C138" s="3048"/>
      <c r="D138" s="3048"/>
      <c r="E138" s="3048"/>
      <c r="F138" s="3048"/>
      <c r="G138" s="3048"/>
      <c r="H138" s="3048"/>
      <c r="I138" s="3048"/>
      <c r="J138" s="3048"/>
      <c r="K138" s="3048"/>
      <c r="L138" s="3048"/>
      <c r="M138" s="3048"/>
      <c r="N138" s="3048"/>
      <c r="O138" s="3048"/>
      <c r="P138" s="3048"/>
      <c r="Q138" s="3048"/>
      <c r="R138" s="3048"/>
      <c r="S138" s="3048"/>
      <c r="T138" s="3048"/>
      <c r="U138" s="3048"/>
      <c r="V138" s="3048"/>
      <c r="W138" s="3048"/>
      <c r="X138" s="3048"/>
      <c r="Y138" s="3048"/>
      <c r="Z138" s="3048"/>
      <c r="AA138" s="3048"/>
      <c r="AB138" s="3048"/>
      <c r="AC138" s="3048"/>
      <c r="AD138" s="932"/>
      <c r="AE138" s="1594"/>
      <c r="AF138" s="1594"/>
      <c r="AG138" s="1594"/>
      <c r="AH138" s="1594"/>
      <c r="AI138" s="1594"/>
      <c r="AJ138" s="1594"/>
      <c r="AK138" s="1594"/>
      <c r="AL138" s="1594"/>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4"/>
      <c r="AF139" s="1594"/>
      <c r="AG139" s="1594"/>
      <c r="AH139" s="1594"/>
      <c r="AI139" s="1594"/>
      <c r="AJ139" s="1594"/>
      <c r="AK139" s="1594"/>
      <c r="AL139" s="1594"/>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2997" t="s">
        <v>1612</v>
      </c>
      <c r="C141" s="2997"/>
      <c r="D141" s="2997"/>
      <c r="E141" s="2997"/>
      <c r="F141" s="2997"/>
      <c r="G141" s="2997"/>
      <c r="H141" s="2997"/>
      <c r="I141" s="2997"/>
      <c r="J141" s="2997"/>
      <c r="K141" s="2997"/>
      <c r="L141" s="2997"/>
      <c r="M141" s="2997"/>
      <c r="N141" s="2997"/>
      <c r="O141" s="2997"/>
      <c r="P141" s="2997"/>
      <c r="Q141" s="2997"/>
      <c r="R141" s="2997"/>
      <c r="S141" s="2997"/>
      <c r="T141" s="2997"/>
      <c r="U141" s="2997"/>
      <c r="V141" s="2997"/>
      <c r="W141" s="2997"/>
      <c r="X141" s="2997"/>
      <c r="Y141" s="2997"/>
      <c r="Z141" s="2997"/>
      <c r="AA141" s="2997"/>
      <c r="AB141" s="2997"/>
      <c r="AC141" s="2997"/>
      <c r="AD141" s="2997"/>
      <c r="AE141" s="2997"/>
      <c r="AF141" s="2997"/>
      <c r="AG141" s="2997"/>
      <c r="AH141" s="2997"/>
      <c r="AI141" s="2997"/>
      <c r="AM141" s="986"/>
      <c r="AN141" s="926"/>
      <c r="AO141" s="994" t="s">
        <v>1612</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2998" t="s">
        <v>626</v>
      </c>
      <c r="AC143" s="2998"/>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2997" t="s">
        <v>1614</v>
      </c>
      <c r="C146" s="2997"/>
      <c r="D146" s="2997"/>
      <c r="E146" s="2997"/>
      <c r="F146" s="2997"/>
      <c r="G146" s="2997"/>
      <c r="H146" s="2997"/>
      <c r="I146" s="2997"/>
      <c r="J146" s="2997"/>
      <c r="K146" s="2997"/>
      <c r="L146" s="2997"/>
      <c r="M146" s="2997"/>
      <c r="N146" s="2997"/>
      <c r="O146" s="2997"/>
      <c r="P146" s="2997"/>
      <c r="Q146" s="2997"/>
      <c r="R146" s="2997"/>
      <c r="S146" s="2997"/>
      <c r="T146" s="2997"/>
      <c r="U146" s="2997"/>
      <c r="V146" s="2997"/>
      <c r="W146" s="2997"/>
      <c r="X146" s="2997"/>
      <c r="Y146" s="2997"/>
      <c r="Z146" s="2997"/>
      <c r="AA146" s="2997"/>
      <c r="AB146" s="2997"/>
      <c r="AC146" s="2997"/>
      <c r="AD146" s="2997"/>
      <c r="AE146" s="2997"/>
      <c r="AF146" s="2997"/>
      <c r="AG146" s="2997"/>
      <c r="AH146" s="2997"/>
      <c r="AI146" s="2997"/>
      <c r="AJ146" s="2997"/>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2999">
        <f>IF($AB$143="N/A",VLOOKUP($B$141,$AO$139:$AP$142,2,FALSE),VLOOKUP($B$146,$AO$144:$AP$147,2,FALSE))</f>
        <v>7</v>
      </c>
      <c r="AK149" s="2999"/>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3"/>
      <c r="F151" s="1633"/>
      <c r="G151" s="1633"/>
      <c r="H151" s="1633"/>
      <c r="I151" s="1633"/>
      <c r="J151" s="1633"/>
      <c r="K151" s="1633"/>
      <c r="L151" s="1633"/>
      <c r="M151" s="1633"/>
      <c r="N151" s="1633"/>
      <c r="O151" s="1633"/>
      <c r="P151" s="1633"/>
      <c r="Q151" s="1633"/>
      <c r="R151" s="1633"/>
      <c r="S151" s="1633"/>
      <c r="T151" s="1633"/>
      <c r="U151" s="1633"/>
      <c r="V151" s="1633"/>
      <c r="W151" s="1633"/>
      <c r="X151" s="1633"/>
      <c r="Y151" s="1633"/>
      <c r="Z151" s="1633"/>
      <c r="AA151" s="1633"/>
      <c r="AB151" s="1633"/>
      <c r="AC151" s="1633"/>
      <c r="AD151" s="1633"/>
      <c r="AE151" s="927"/>
      <c r="AF151" s="3047" t="s">
        <v>1623</v>
      </c>
      <c r="AG151" s="3047"/>
      <c r="AH151" s="3047"/>
      <c r="AI151" s="3047"/>
      <c r="AJ151" s="3047"/>
      <c r="AK151" s="3047"/>
      <c r="AL151" s="3047"/>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2997" t="s">
        <v>1621</v>
      </c>
      <c r="D153" s="2997"/>
      <c r="E153" s="2997"/>
      <c r="F153" s="2997"/>
      <c r="G153" s="2997"/>
      <c r="H153" s="2997"/>
      <c r="I153" s="2997"/>
      <c r="J153" s="2997"/>
      <c r="K153" s="2997"/>
      <c r="L153" s="2997"/>
      <c r="M153" s="2997"/>
      <c r="N153" s="2997"/>
      <c r="O153" s="2997"/>
      <c r="P153" s="2997"/>
      <c r="Q153" s="2997"/>
      <c r="R153" s="2997"/>
      <c r="S153" s="2997"/>
      <c r="T153" s="2997"/>
      <c r="U153" s="2997"/>
      <c r="V153" s="2997"/>
      <c r="W153" s="2997"/>
      <c r="X153" s="2997"/>
      <c r="Y153" s="2997"/>
      <c r="Z153" s="2997"/>
      <c r="AA153" s="2997"/>
      <c r="AB153" s="2997"/>
      <c r="AC153" s="2997"/>
      <c r="AD153" s="2997"/>
      <c r="AE153" s="2997"/>
      <c r="AF153" s="2997"/>
      <c r="AG153" s="2997"/>
      <c r="AH153" s="2997"/>
      <c r="AI153" s="2997"/>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2998" t="s">
        <v>626</v>
      </c>
      <c r="AD155" s="2998"/>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2997" t="s">
        <v>1614</v>
      </c>
      <c r="D157" s="2997"/>
      <c r="E157" s="2997"/>
      <c r="F157" s="2997"/>
      <c r="G157" s="2997"/>
      <c r="H157" s="2997"/>
      <c r="I157" s="2997"/>
      <c r="J157" s="2997"/>
      <c r="K157" s="2997"/>
      <c r="L157" s="2997"/>
      <c r="M157" s="2997"/>
      <c r="N157" s="2997"/>
      <c r="O157" s="2997"/>
      <c r="P157" s="2997"/>
      <c r="Q157" s="2997"/>
      <c r="R157" s="2997"/>
      <c r="S157" s="2997"/>
      <c r="T157" s="2997"/>
      <c r="U157" s="2997"/>
      <c r="V157" s="2997"/>
      <c r="W157" s="2997"/>
      <c r="X157" s="2997"/>
      <c r="Y157" s="2997"/>
      <c r="Z157" s="2997"/>
      <c r="AA157" s="2997"/>
      <c r="AB157" s="2997"/>
      <c r="AC157" s="2997"/>
      <c r="AD157" s="2997"/>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048" t="s">
        <v>2622</v>
      </c>
      <c r="D161" s="3048"/>
      <c r="E161" s="3048"/>
      <c r="F161" s="3048"/>
      <c r="G161" s="3048"/>
      <c r="H161" s="3048"/>
      <c r="I161" s="3048"/>
      <c r="J161" s="3048"/>
      <c r="K161" s="3048"/>
      <c r="L161" s="3048"/>
      <c r="M161" s="3048"/>
      <c r="N161" s="3048"/>
      <c r="O161" s="3048"/>
      <c r="P161" s="3048"/>
      <c r="Q161" s="3048"/>
      <c r="R161" s="3048"/>
      <c r="S161" s="3048"/>
      <c r="T161" s="3048"/>
      <c r="U161" s="3048"/>
      <c r="V161" s="3048"/>
      <c r="W161" s="3048"/>
      <c r="X161" s="3048"/>
      <c r="Y161" s="3048"/>
      <c r="Z161" s="3048"/>
      <c r="AA161" s="3048"/>
      <c r="AB161" s="3048"/>
      <c r="AC161" s="3048"/>
      <c r="AD161" s="3048"/>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70">
        <f>IF($AC$155="N/A",VLOOKUP($C$153,$AO$153:$AP$156,2,FALSE),VLOOKUP($C$157,$AO$160:$AP$162,2,FALSE))</f>
        <v>3</v>
      </c>
      <c r="AK163" s="3070"/>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2994">
        <f>$AJ$149+$AJ$163</f>
        <v>10</v>
      </c>
      <c r="AL166" s="2995"/>
      <c r="AM166" s="2996"/>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7" t="s">
        <v>1585</v>
      </c>
      <c r="AF169" s="3067"/>
      <c r="AG169" s="3067"/>
      <c r="AH169" s="3067"/>
      <c r="AI169" s="3067"/>
      <c r="AJ169" s="3067"/>
      <c r="AK169" s="3067"/>
      <c r="AL169" s="1599"/>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599"/>
      <c r="AD170" s="1599"/>
      <c r="AE170" s="927"/>
      <c r="AF170" s="927"/>
      <c r="AG170" s="927"/>
      <c r="AH170" s="927"/>
      <c r="AI170" s="927"/>
      <c r="AJ170" s="927"/>
      <c r="AK170" s="927"/>
      <c r="AL170" s="927"/>
      <c r="AM170" s="1026"/>
      <c r="AN170" s="1000"/>
      <c r="AP170" s="943" t="s">
        <v>1633</v>
      </c>
      <c r="AQ170" s="943">
        <v>10</v>
      </c>
    </row>
    <row r="171" spans="1:81" s="943" customFormat="1" ht="12.75" customHeight="1">
      <c r="A171" s="927"/>
      <c r="B171" s="3068" t="s">
        <v>1638</v>
      </c>
      <c r="C171" s="3068"/>
      <c r="D171" s="3068"/>
      <c r="E171" s="3068"/>
      <c r="F171" s="3068"/>
      <c r="G171" s="3068"/>
      <c r="H171" s="3068"/>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68"/>
      <c r="AD171" s="1023"/>
      <c r="AE171" s="1023"/>
      <c r="AF171" s="3047" t="s">
        <v>1634</v>
      </c>
      <c r="AG171" s="3047"/>
      <c r="AH171" s="3047"/>
      <c r="AI171" s="3047"/>
      <c r="AJ171" s="3047"/>
      <c r="AK171" s="3047"/>
      <c r="AL171" s="3047"/>
      <c r="AN171" s="1000"/>
      <c r="AP171" s="943" t="s">
        <v>1157</v>
      </c>
      <c r="AQ171" s="943">
        <v>10</v>
      </c>
    </row>
    <row r="172" spans="1:81" s="943" customFormat="1" ht="12.75" customHeight="1">
      <c r="A172" s="927"/>
      <c r="B172" s="3069" t="s">
        <v>2225</v>
      </c>
      <c r="C172" s="3069"/>
      <c r="D172" s="3069"/>
      <c r="E172" s="3069"/>
      <c r="F172" s="3069"/>
      <c r="G172" s="3069"/>
      <c r="H172" s="3069"/>
      <c r="I172" s="3069"/>
      <c r="J172" s="3069"/>
      <c r="K172" s="3069"/>
      <c r="L172" s="3069"/>
      <c r="M172" s="3069"/>
      <c r="N172" s="3069"/>
      <c r="O172" s="3069"/>
      <c r="P172" s="3069"/>
      <c r="Q172" s="3069"/>
      <c r="R172" s="3069"/>
      <c r="S172" s="3069"/>
      <c r="T172" s="3048" t="s">
        <v>626</v>
      </c>
      <c r="U172" s="3048"/>
      <c r="V172" s="3048"/>
      <c r="W172" s="3048"/>
      <c r="X172" s="3048"/>
      <c r="Y172" s="3048"/>
      <c r="Z172" s="3048"/>
      <c r="AA172" s="3048"/>
      <c r="AB172" s="3048"/>
      <c r="AC172" s="3048"/>
      <c r="AD172" s="1006"/>
      <c r="AE172" s="1006"/>
      <c r="AF172" s="1006"/>
      <c r="AG172" s="1006"/>
      <c r="AH172" s="1006"/>
      <c r="AI172" s="1006"/>
      <c r="AJ172" s="1798"/>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8"/>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74">
        <f>IF(AK72&gt;0,VLOOKUP($B$171,AP168:AQ175,2,FALSE),0)</f>
        <v>10</v>
      </c>
      <c r="AL174" s="3075"/>
      <c r="AM174" s="3076"/>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7" t="s">
        <v>1643</v>
      </c>
      <c r="AF177" s="3067"/>
      <c r="AG177" s="3067"/>
      <c r="AH177" s="3067"/>
      <c r="AI177" s="3067"/>
      <c r="AJ177" s="3067"/>
      <c r="AK177" s="3067"/>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2989" t="s">
        <v>2526</v>
      </c>
      <c r="C182" s="2989"/>
      <c r="D182" s="2989"/>
      <c r="E182" s="2989"/>
      <c r="F182" s="2989"/>
      <c r="G182" s="2989"/>
      <c r="H182" s="2989"/>
      <c r="I182" s="2989"/>
      <c r="J182" s="2989"/>
      <c r="K182" s="2989"/>
      <c r="L182" s="2989"/>
      <c r="M182" s="2989"/>
      <c r="N182" s="2989"/>
      <c r="O182" s="2989"/>
      <c r="P182" s="2989"/>
      <c r="Q182" s="2989"/>
      <c r="R182" s="2989"/>
      <c r="S182" s="2989"/>
      <c r="T182" s="2989"/>
      <c r="U182" s="2989"/>
      <c r="V182" s="2989"/>
      <c r="W182" s="2989"/>
      <c r="X182" s="2989"/>
      <c r="Y182" s="2989"/>
      <c r="Z182" s="2989"/>
      <c r="AA182" s="2989"/>
      <c r="AB182" s="2989"/>
      <c r="AC182" s="1397"/>
      <c r="AD182" s="3060">
        <v>15000000</v>
      </c>
      <c r="AE182" s="3060"/>
      <c r="AF182" s="3060"/>
      <c r="AG182" s="3060"/>
      <c r="AH182" s="3060"/>
      <c r="AI182" s="3060"/>
      <c r="AJ182" s="3060"/>
      <c r="AK182" s="1024"/>
    </row>
    <row r="183" spans="1:37">
      <c r="A183" s="1016"/>
      <c r="B183" s="2989"/>
      <c r="C183" s="2989"/>
      <c r="D183" s="2989"/>
      <c r="E183" s="2989"/>
      <c r="F183" s="2989"/>
      <c r="G183" s="2989"/>
      <c r="H183" s="2989"/>
      <c r="I183" s="2989"/>
      <c r="J183" s="2989"/>
      <c r="K183" s="2989"/>
      <c r="L183" s="2989"/>
      <c r="M183" s="2989"/>
      <c r="N183" s="2989"/>
      <c r="O183" s="2989"/>
      <c r="P183" s="2989"/>
      <c r="Q183" s="2989"/>
      <c r="R183" s="2989"/>
      <c r="S183" s="2989"/>
      <c r="T183" s="2989"/>
      <c r="U183" s="2989"/>
      <c r="V183" s="2989"/>
      <c r="W183" s="2989"/>
      <c r="X183" s="2989"/>
      <c r="Y183" s="2989"/>
      <c r="Z183" s="2989"/>
      <c r="AA183" s="2989"/>
      <c r="AB183" s="2989"/>
      <c r="AC183" s="1397"/>
      <c r="AD183" s="3060"/>
      <c r="AE183" s="3060"/>
      <c r="AF183" s="3060"/>
      <c r="AG183" s="3060"/>
      <c r="AH183" s="3060"/>
      <c r="AI183" s="3060"/>
      <c r="AJ183" s="3060"/>
      <c r="AK183" s="1024"/>
    </row>
    <row r="184" spans="1:37">
      <c r="A184" s="1016"/>
      <c r="B184" s="2989"/>
      <c r="C184" s="2989"/>
      <c r="D184" s="2989"/>
      <c r="E184" s="2989"/>
      <c r="F184" s="2989"/>
      <c r="G184" s="2989"/>
      <c r="H184" s="2989"/>
      <c r="I184" s="2989"/>
      <c r="J184" s="2989"/>
      <c r="K184" s="2989"/>
      <c r="L184" s="2989"/>
      <c r="M184" s="2989"/>
      <c r="N184" s="2989"/>
      <c r="O184" s="2989"/>
      <c r="P184" s="2989"/>
      <c r="Q184" s="2989"/>
      <c r="R184" s="2989"/>
      <c r="S184" s="2989"/>
      <c r="T184" s="2989"/>
      <c r="U184" s="2989"/>
      <c r="V184" s="2989"/>
      <c r="W184" s="2989"/>
      <c r="X184" s="2989"/>
      <c r="Y184" s="2989"/>
      <c r="Z184" s="2989"/>
      <c r="AA184" s="2989"/>
      <c r="AB184" s="2989"/>
      <c r="AC184" s="1397"/>
      <c r="AD184" s="3060"/>
      <c r="AE184" s="3060"/>
      <c r="AF184" s="3060"/>
      <c r="AG184" s="3060"/>
      <c r="AH184" s="3060"/>
      <c r="AI184" s="3060"/>
      <c r="AJ184" s="3060"/>
      <c r="AK184" s="1024"/>
    </row>
    <row r="185" spans="1:37">
      <c r="A185" s="1016"/>
      <c r="B185" s="2989"/>
      <c r="C185" s="2989"/>
      <c r="D185" s="2989"/>
      <c r="E185" s="2989"/>
      <c r="F185" s="2989"/>
      <c r="G185" s="2989"/>
      <c r="H185" s="2989"/>
      <c r="I185" s="2989"/>
      <c r="J185" s="2989"/>
      <c r="K185" s="2989"/>
      <c r="L185" s="2989"/>
      <c r="M185" s="2989"/>
      <c r="N185" s="2989"/>
      <c r="O185" s="2989"/>
      <c r="P185" s="2989"/>
      <c r="Q185" s="2989"/>
      <c r="R185" s="2989"/>
      <c r="S185" s="2989"/>
      <c r="T185" s="2989"/>
      <c r="U185" s="2989"/>
      <c r="V185" s="2989"/>
      <c r="W185" s="2989"/>
      <c r="X185" s="2989"/>
      <c r="Y185" s="2989"/>
      <c r="Z185" s="2989"/>
      <c r="AA185" s="2989"/>
      <c r="AB185" s="2989"/>
      <c r="AC185" s="1397"/>
      <c r="AD185" s="3060"/>
      <c r="AE185" s="3060"/>
      <c r="AF185" s="3060"/>
      <c r="AG185" s="3060"/>
      <c r="AH185" s="3060"/>
      <c r="AI185" s="3060"/>
      <c r="AJ185" s="3060"/>
      <c r="AK185" s="1024"/>
    </row>
    <row r="186" spans="1:37">
      <c r="A186" s="1016"/>
      <c r="B186" s="2989"/>
      <c r="C186" s="2989"/>
      <c r="D186" s="2989"/>
      <c r="E186" s="2989"/>
      <c r="F186" s="2989"/>
      <c r="G186" s="2989"/>
      <c r="H186" s="2989"/>
      <c r="I186" s="2989"/>
      <c r="J186" s="2989"/>
      <c r="K186" s="2989"/>
      <c r="L186" s="2989"/>
      <c r="M186" s="2989"/>
      <c r="N186" s="2989"/>
      <c r="O186" s="2989"/>
      <c r="P186" s="2989"/>
      <c r="Q186" s="2989"/>
      <c r="R186" s="2989"/>
      <c r="S186" s="2989"/>
      <c r="T186" s="2989"/>
      <c r="U186" s="2989"/>
      <c r="V186" s="2989"/>
      <c r="W186" s="2989"/>
      <c r="X186" s="2989"/>
      <c r="Y186" s="2989"/>
      <c r="Z186" s="2989"/>
      <c r="AA186" s="2989"/>
      <c r="AB186" s="2989"/>
      <c r="AC186" s="1397"/>
      <c r="AD186" s="3060"/>
      <c r="AE186" s="3060"/>
      <c r="AF186" s="3060"/>
      <c r="AG186" s="3060"/>
      <c r="AH186" s="3060"/>
      <c r="AI186" s="3060"/>
      <c r="AJ186" s="3060"/>
      <c r="AK186" s="1024"/>
    </row>
    <row r="187" spans="1:37">
      <c r="A187" s="1016"/>
      <c r="B187" s="2989"/>
      <c r="C187" s="2989"/>
      <c r="D187" s="2989"/>
      <c r="E187" s="2989"/>
      <c r="F187" s="2989"/>
      <c r="G187" s="2989"/>
      <c r="H187" s="2989"/>
      <c r="I187" s="2989"/>
      <c r="J187" s="2989"/>
      <c r="K187" s="2989"/>
      <c r="L187" s="2989"/>
      <c r="M187" s="2989"/>
      <c r="N187" s="2989"/>
      <c r="O187" s="2989"/>
      <c r="P187" s="2989"/>
      <c r="Q187" s="2989"/>
      <c r="R187" s="2989"/>
      <c r="S187" s="2989"/>
      <c r="T187" s="2989"/>
      <c r="U187" s="2989"/>
      <c r="V187" s="2989"/>
      <c r="W187" s="2989"/>
      <c r="X187" s="2989"/>
      <c r="Y187" s="2989"/>
      <c r="Z187" s="2989"/>
      <c r="AA187" s="2989"/>
      <c r="AB187" s="2989"/>
      <c r="AC187" s="1397"/>
      <c r="AD187" s="3060"/>
      <c r="AE187" s="3060"/>
      <c r="AF187" s="3060"/>
      <c r="AG187" s="3060"/>
      <c r="AH187" s="3060"/>
      <c r="AI187" s="3060"/>
      <c r="AJ187" s="3060"/>
      <c r="AK187" s="1024"/>
    </row>
    <row r="188" spans="1:37">
      <c r="A188" s="1016"/>
      <c r="B188" s="2989"/>
      <c r="C188" s="2989"/>
      <c r="D188" s="2989"/>
      <c r="E188" s="2989"/>
      <c r="F188" s="2989"/>
      <c r="G188" s="2989"/>
      <c r="H188" s="2989"/>
      <c r="I188" s="2989"/>
      <c r="J188" s="2989"/>
      <c r="K188" s="2989"/>
      <c r="L188" s="2989"/>
      <c r="M188" s="2989"/>
      <c r="N188" s="2989"/>
      <c r="O188" s="2989"/>
      <c r="P188" s="2989"/>
      <c r="Q188" s="2989"/>
      <c r="R188" s="2989"/>
      <c r="S188" s="2989"/>
      <c r="T188" s="2989"/>
      <c r="U188" s="2989"/>
      <c r="V188" s="2989"/>
      <c r="W188" s="2989"/>
      <c r="X188" s="2989"/>
      <c r="Y188" s="2989"/>
      <c r="Z188" s="2989"/>
      <c r="AA188" s="2989"/>
      <c r="AB188" s="2989"/>
      <c r="AC188" s="1397"/>
      <c r="AD188" s="3060"/>
      <c r="AE188" s="3060"/>
      <c r="AF188" s="3060"/>
      <c r="AG188" s="3060"/>
      <c r="AH188" s="3060"/>
      <c r="AI188" s="3060"/>
      <c r="AJ188" s="3060"/>
      <c r="AK188" s="1024"/>
    </row>
    <row r="189" spans="1:37">
      <c r="A189" s="1016"/>
      <c r="B189" s="2989"/>
      <c r="C189" s="2989"/>
      <c r="D189" s="2989"/>
      <c r="E189" s="2989"/>
      <c r="F189" s="2989"/>
      <c r="G189" s="2989"/>
      <c r="H189" s="2989"/>
      <c r="I189" s="2989"/>
      <c r="J189" s="2989"/>
      <c r="K189" s="2989"/>
      <c r="L189" s="2989"/>
      <c r="M189" s="2989"/>
      <c r="N189" s="2989"/>
      <c r="O189" s="2989"/>
      <c r="P189" s="2989"/>
      <c r="Q189" s="2989"/>
      <c r="R189" s="2989"/>
      <c r="S189" s="2989"/>
      <c r="T189" s="2989"/>
      <c r="U189" s="2989"/>
      <c r="V189" s="2989"/>
      <c r="W189" s="2989"/>
      <c r="X189" s="2989"/>
      <c r="Y189" s="2989"/>
      <c r="Z189" s="2989"/>
      <c r="AA189" s="2989"/>
      <c r="AB189" s="2989"/>
      <c r="AC189" s="1397"/>
      <c r="AD189" s="3060"/>
      <c r="AE189" s="3060"/>
      <c r="AF189" s="3060"/>
      <c r="AG189" s="3060"/>
      <c r="AH189" s="3060"/>
      <c r="AI189" s="3060"/>
      <c r="AJ189" s="3060"/>
      <c r="AK189" s="1024"/>
    </row>
    <row r="190" spans="1:37">
      <c r="A190" s="1016"/>
      <c r="B190" s="2989"/>
      <c r="C190" s="2989"/>
      <c r="D190" s="2989"/>
      <c r="E190" s="2989"/>
      <c r="F190" s="2989"/>
      <c r="G190" s="2989"/>
      <c r="H190" s="2989"/>
      <c r="I190" s="2989"/>
      <c r="J190" s="2989"/>
      <c r="K190" s="2989"/>
      <c r="L190" s="2989"/>
      <c r="M190" s="2989"/>
      <c r="N190" s="2989"/>
      <c r="O190" s="2989"/>
      <c r="P190" s="2989"/>
      <c r="Q190" s="2989"/>
      <c r="R190" s="2989"/>
      <c r="S190" s="2989"/>
      <c r="T190" s="2989"/>
      <c r="U190" s="2989"/>
      <c r="V190" s="2989"/>
      <c r="W190" s="2989"/>
      <c r="X190" s="2989"/>
      <c r="Y190" s="2989"/>
      <c r="Z190" s="2989"/>
      <c r="AA190" s="2989"/>
      <c r="AB190" s="2989"/>
      <c r="AC190" s="1397"/>
      <c r="AD190" s="3060"/>
      <c r="AE190" s="3060"/>
      <c r="AF190" s="3060"/>
      <c r="AG190" s="3060"/>
      <c r="AH190" s="3060"/>
      <c r="AI190" s="3060"/>
      <c r="AJ190" s="3060"/>
      <c r="AK190" s="1024"/>
    </row>
    <row r="191" spans="1:37">
      <c r="A191" s="1016"/>
      <c r="B191" s="2989"/>
      <c r="C191" s="2989"/>
      <c r="D191" s="2989"/>
      <c r="E191" s="2989"/>
      <c r="F191" s="2989"/>
      <c r="G191" s="2989"/>
      <c r="H191" s="2989"/>
      <c r="I191" s="2989"/>
      <c r="J191" s="2989"/>
      <c r="K191" s="2989"/>
      <c r="L191" s="2989"/>
      <c r="M191" s="2989"/>
      <c r="N191" s="2989"/>
      <c r="O191" s="2989"/>
      <c r="P191" s="2989"/>
      <c r="Q191" s="2989"/>
      <c r="R191" s="2989"/>
      <c r="S191" s="2989"/>
      <c r="T191" s="2989"/>
      <c r="U191" s="2989"/>
      <c r="V191" s="2989"/>
      <c r="W191" s="2989"/>
      <c r="X191" s="2989"/>
      <c r="Y191" s="2989"/>
      <c r="Z191" s="2989"/>
      <c r="AA191" s="2989"/>
      <c r="AB191" s="2989"/>
      <c r="AC191" s="1397"/>
      <c r="AD191" s="3060"/>
      <c r="AE191" s="3060"/>
      <c r="AF191" s="3060"/>
      <c r="AG191" s="3060"/>
      <c r="AH191" s="3060"/>
      <c r="AI191" s="3060"/>
      <c r="AJ191" s="3060"/>
      <c r="AK191" s="1024"/>
    </row>
    <row r="192" spans="1:37">
      <c r="A192" s="1016"/>
      <c r="B192" s="3223" t="s">
        <v>1931</v>
      </c>
      <c r="C192" s="3223"/>
      <c r="D192" s="3223"/>
      <c r="E192" s="3223"/>
      <c r="F192" s="3223"/>
      <c r="G192" s="3223"/>
      <c r="H192" s="3223"/>
      <c r="I192" s="3223"/>
      <c r="J192" s="3223"/>
      <c r="K192" s="3223"/>
      <c r="L192" s="3223"/>
      <c r="M192" s="3223"/>
      <c r="N192" s="3223"/>
      <c r="O192" s="3223"/>
      <c r="P192" s="3223"/>
      <c r="Q192" s="3223"/>
      <c r="R192" s="3223"/>
      <c r="S192" s="3223"/>
      <c r="T192" s="3223"/>
      <c r="U192" s="3223"/>
      <c r="V192" s="3223"/>
      <c r="W192" s="3223"/>
      <c r="X192" s="3223"/>
      <c r="Y192" s="3223"/>
      <c r="Z192" s="3223"/>
      <c r="AA192" s="3223"/>
      <c r="AB192" s="3223"/>
      <c r="AC192" s="927"/>
      <c r="AD192" s="3081">
        <f>AB243</f>
        <v>0</v>
      </c>
      <c r="AE192" s="3081"/>
      <c r="AF192" s="3081"/>
      <c r="AG192" s="3081"/>
      <c r="AH192" s="3081"/>
      <c r="AI192" s="3081"/>
      <c r="AJ192" s="3081"/>
      <c r="AK192" s="1024"/>
    </row>
    <row r="193" spans="1:37">
      <c r="A193" s="1016"/>
      <c r="B193" s="3221" t="s">
        <v>1894</v>
      </c>
      <c r="C193" s="3221"/>
      <c r="D193" s="3221"/>
      <c r="E193" s="3221"/>
      <c r="F193" s="3221"/>
      <c r="G193" s="3221"/>
      <c r="H193" s="3221"/>
      <c r="I193" s="3221"/>
      <c r="J193" s="3221"/>
      <c r="K193" s="3221"/>
      <c r="L193" s="3221"/>
      <c r="M193" s="3221"/>
      <c r="N193" s="3221"/>
      <c r="O193" s="3221"/>
      <c r="P193" s="3221"/>
      <c r="Q193" s="3221"/>
      <c r="R193" s="3221"/>
      <c r="S193" s="3221"/>
      <c r="T193" s="3221"/>
      <c r="U193" s="3221"/>
      <c r="V193" s="3221"/>
      <c r="W193" s="3221"/>
      <c r="X193" s="3221"/>
      <c r="Y193" s="3221"/>
      <c r="Z193" s="3221"/>
      <c r="AA193" s="3221"/>
      <c r="AB193" s="3221"/>
      <c r="AC193" s="1397"/>
      <c r="AD193" s="3082">
        <f>'Sources and Uses Budget'!B15</f>
        <v>0</v>
      </c>
      <c r="AE193" s="3082"/>
      <c r="AF193" s="3082"/>
      <c r="AG193" s="3082"/>
      <c r="AH193" s="3082"/>
      <c r="AI193" s="3082"/>
      <c r="AJ193" s="3082"/>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86">
        <f>SUM(AD182:AJ192)-AD193</f>
        <v>15000000</v>
      </c>
      <c r="AE194" s="3086"/>
      <c r="AF194" s="3086"/>
      <c r="AG194" s="3086"/>
      <c r="AH194" s="3086"/>
      <c r="AI194" s="3086"/>
      <c r="AJ194" s="3086"/>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5" t="s">
        <v>1901</v>
      </c>
      <c r="C198" s="1496"/>
      <c r="D198" s="1497"/>
      <c r="E198" s="1497"/>
      <c r="F198" s="1497"/>
      <c r="G198" s="1497"/>
      <c r="H198" s="1497"/>
      <c r="I198" s="1497"/>
      <c r="J198" s="1497"/>
      <c r="K198" s="1498"/>
      <c r="L198" s="1498"/>
      <c r="M198" s="1498"/>
      <c r="N198" s="1498"/>
      <c r="O198" s="1498"/>
      <c r="P198" s="1498"/>
      <c r="Q198" s="1498"/>
      <c r="R198" s="1498"/>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499" t="s">
        <v>1902</v>
      </c>
      <c r="C199" s="1500"/>
      <c r="D199" s="1501"/>
      <c r="E199" s="1501"/>
      <c r="F199" s="1501"/>
      <c r="G199" s="1501"/>
      <c r="H199" s="1501"/>
      <c r="I199" s="1501"/>
      <c r="J199" s="1501"/>
      <c r="K199" s="1502"/>
      <c r="L199" s="1502"/>
      <c r="M199" s="1502"/>
      <c r="N199" s="1502"/>
      <c r="O199" s="1502"/>
      <c r="P199" s="1502"/>
      <c r="Q199" s="1502"/>
      <c r="R199" s="1502"/>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499" t="s">
        <v>1985</v>
      </c>
      <c r="C200" s="1500"/>
      <c r="D200" s="1501"/>
      <c r="E200" s="1501"/>
      <c r="F200" s="1501"/>
      <c r="G200" s="1501"/>
      <c r="H200" s="1501"/>
      <c r="I200" s="1501"/>
      <c r="J200" s="1501"/>
      <c r="K200" s="1502"/>
      <c r="L200" s="1502"/>
      <c r="M200" s="1502"/>
      <c r="N200" s="1502"/>
      <c r="O200" s="1502"/>
      <c r="P200" s="1502"/>
      <c r="Q200" s="1502"/>
      <c r="R200" s="1502"/>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499" t="s">
        <v>1903</v>
      </c>
      <c r="C201" s="1500"/>
      <c r="D201" s="1501"/>
      <c r="E201" s="1501"/>
      <c r="F201" s="1501"/>
      <c r="G201" s="1501"/>
      <c r="H201" s="1501"/>
      <c r="I201" s="1501"/>
      <c r="J201" s="1501"/>
      <c r="K201" s="1502"/>
      <c r="L201" s="1502"/>
      <c r="M201" s="1502"/>
      <c r="N201" s="1502"/>
      <c r="O201" s="1502"/>
      <c r="P201" s="1502"/>
      <c r="Q201" s="1502"/>
      <c r="R201" s="1502"/>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3" t="s">
        <v>1904</v>
      </c>
      <c r="C202" s="1500"/>
      <c r="D202" s="1501"/>
      <c r="E202" s="1501"/>
      <c r="F202" s="1501"/>
      <c r="G202" s="1501"/>
      <c r="H202" s="1501"/>
      <c r="I202" s="1501"/>
      <c r="J202" s="1501"/>
      <c r="K202" s="1502"/>
      <c r="L202" s="1502"/>
      <c r="M202" s="1502"/>
      <c r="N202" s="1502"/>
      <c r="O202" s="1502"/>
      <c r="P202" s="1502"/>
      <c r="Q202" s="1502"/>
      <c r="R202" s="1502"/>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4" t="s">
        <v>1986</v>
      </c>
      <c r="C203" s="1505"/>
      <c r="D203" s="1506"/>
      <c r="E203" s="1506"/>
      <c r="F203" s="1506"/>
      <c r="G203" s="1506"/>
      <c r="H203" s="1506"/>
      <c r="I203" s="1506"/>
      <c r="J203" s="1506"/>
      <c r="K203" s="1507"/>
      <c r="L203" s="1507"/>
      <c r="M203" s="1507"/>
      <c r="N203" s="1507"/>
      <c r="O203" s="1507"/>
      <c r="P203" s="1507"/>
      <c r="Q203" s="1507"/>
      <c r="R203" s="1507"/>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3" t="s">
        <v>1911</v>
      </c>
      <c r="J205" s="3063"/>
      <c r="K205" s="3063"/>
      <c r="L205" s="991"/>
      <c r="M205" s="991"/>
      <c r="N205" s="991"/>
      <c r="O205" s="991"/>
      <c r="P205" s="991"/>
      <c r="Q205" s="991"/>
      <c r="R205" s="991"/>
      <c r="S205" s="991"/>
      <c r="T205" s="3258" t="s">
        <v>1905</v>
      </c>
      <c r="U205" s="3258"/>
      <c r="V205" s="3258"/>
      <c r="W205" s="3258"/>
      <c r="X205" s="3258"/>
      <c r="Y205" s="3258"/>
      <c r="Z205" s="1401"/>
      <c r="AA205" s="1402"/>
      <c r="AB205" s="3225" t="s">
        <v>1906</v>
      </c>
      <c r="AC205" s="3225"/>
      <c r="AD205" s="3225"/>
      <c r="AE205" s="3225"/>
      <c r="AF205" s="3225"/>
      <c r="AG205" s="3225"/>
      <c r="AH205" s="1371"/>
      <c r="AI205" s="1371"/>
      <c r="AJ205" s="1371"/>
      <c r="AK205" s="1024"/>
    </row>
    <row r="206" spans="1:37">
      <c r="A206" s="1016"/>
      <c r="B206" s="3061" t="s">
        <v>1884</v>
      </c>
      <c r="C206" s="3061"/>
      <c r="D206" s="3061"/>
      <c r="E206" s="3061"/>
      <c r="F206" s="3061"/>
      <c r="G206" s="3061"/>
      <c r="I206" s="3062" t="s">
        <v>1912</v>
      </c>
      <c r="J206" s="3062"/>
      <c r="K206" s="3062"/>
      <c r="L206" s="1797"/>
      <c r="N206" s="3056" t="s">
        <v>1907</v>
      </c>
      <c r="O206" s="3056"/>
      <c r="P206" s="3056"/>
      <c r="Q206" s="3056"/>
      <c r="R206" s="3056"/>
      <c r="T206" s="3056" t="s">
        <v>1908</v>
      </c>
      <c r="U206" s="3056"/>
      <c r="V206" s="3056"/>
      <c r="W206" s="3056"/>
      <c r="X206" s="3056"/>
      <c r="Y206" s="3056"/>
      <c r="Z206" s="1403"/>
      <c r="AA206" s="1402"/>
      <c r="AB206" s="3224" t="s">
        <v>1909</v>
      </c>
      <c r="AC206" s="3224"/>
      <c r="AD206" s="3224"/>
      <c r="AE206" s="3224"/>
      <c r="AF206" s="3224"/>
      <c r="AG206" s="3224"/>
      <c r="AH206" s="1371"/>
      <c r="AI206" s="1371"/>
      <c r="AJ206" s="1371"/>
      <c r="AK206" s="1024"/>
    </row>
    <row r="207" spans="1:37">
      <c r="A207" s="1016"/>
      <c r="B207" s="3064" t="s">
        <v>1384</v>
      </c>
      <c r="C207" s="3064"/>
      <c r="D207" s="3064"/>
      <c r="E207" s="3064"/>
      <c r="F207" s="3064"/>
      <c r="G207" s="3064"/>
      <c r="H207" s="1405"/>
      <c r="I207" s="3054"/>
      <c r="J207" s="3054"/>
      <c r="K207" s="3054"/>
      <c r="L207" s="1797"/>
      <c r="N207" s="3057"/>
      <c r="O207" s="3057"/>
      <c r="P207" s="3057"/>
      <c r="Q207" s="3057"/>
      <c r="R207" s="3057"/>
      <c r="T207" s="3222"/>
      <c r="U207" s="3222"/>
      <c r="V207" s="3222"/>
      <c r="W207" s="3222"/>
      <c r="X207" s="3222"/>
      <c r="Y207" s="3222"/>
      <c r="Z207" s="1404"/>
      <c r="AA207" s="1404"/>
      <c r="AB207" s="3066">
        <f t="shared" ref="AB207:AB216" si="0">MAX(($T207-$N207)*$I207*12,0)</f>
        <v>0</v>
      </c>
      <c r="AC207" s="3066"/>
      <c r="AD207" s="3066"/>
      <c r="AE207" s="3066"/>
      <c r="AF207" s="3066"/>
      <c r="AG207" s="3066"/>
      <c r="AH207" s="1371"/>
      <c r="AI207" s="1371"/>
      <c r="AJ207" s="1371"/>
      <c r="AK207" s="1024"/>
    </row>
    <row r="208" spans="1:37">
      <c r="A208" s="1016"/>
      <c r="B208" s="3064" t="s">
        <v>1384</v>
      </c>
      <c r="C208" s="3064"/>
      <c r="D208" s="3064"/>
      <c r="E208" s="3064"/>
      <c r="F208" s="3064"/>
      <c r="G208" s="3064"/>
      <c r="I208" s="3054"/>
      <c r="J208" s="3054"/>
      <c r="K208" s="3054"/>
      <c r="L208" s="1797"/>
      <c r="N208" s="3057"/>
      <c r="O208" s="3057"/>
      <c r="P208" s="3057"/>
      <c r="Q208" s="3057"/>
      <c r="R208" s="3057"/>
      <c r="T208" s="3222"/>
      <c r="U208" s="3222"/>
      <c r="V208" s="3222"/>
      <c r="W208" s="3222"/>
      <c r="X208" s="3222"/>
      <c r="Y208" s="3222"/>
      <c r="Z208" s="1404"/>
      <c r="AA208" s="1404"/>
      <c r="AB208" s="3066">
        <f t="shared" si="0"/>
        <v>0</v>
      </c>
      <c r="AC208" s="3066"/>
      <c r="AD208" s="3066"/>
      <c r="AE208" s="3066"/>
      <c r="AF208" s="3066"/>
      <c r="AG208" s="3066"/>
      <c r="AH208" s="1371"/>
      <c r="AI208" s="1371"/>
      <c r="AJ208" s="1371"/>
      <c r="AK208" s="1024"/>
    </row>
    <row r="209" spans="1:37">
      <c r="A209" s="1016"/>
      <c r="B209" s="3064" t="s">
        <v>1384</v>
      </c>
      <c r="C209" s="3064"/>
      <c r="D209" s="3064"/>
      <c r="E209" s="3064"/>
      <c r="F209" s="3064"/>
      <c r="G209" s="3064"/>
      <c r="I209" s="3054"/>
      <c r="J209" s="3054"/>
      <c r="K209" s="3054"/>
      <c r="L209" s="1797"/>
      <c r="N209" s="3057"/>
      <c r="O209" s="3057"/>
      <c r="P209" s="3057"/>
      <c r="Q209" s="3057"/>
      <c r="R209" s="3057"/>
      <c r="T209" s="3222"/>
      <c r="U209" s="3222"/>
      <c r="V209" s="3222"/>
      <c r="W209" s="3222"/>
      <c r="X209" s="3222"/>
      <c r="Y209" s="3222"/>
      <c r="Z209" s="1404"/>
      <c r="AA209" s="1404"/>
      <c r="AB209" s="3066">
        <f t="shared" si="0"/>
        <v>0</v>
      </c>
      <c r="AC209" s="3066"/>
      <c r="AD209" s="3066"/>
      <c r="AE209" s="3066"/>
      <c r="AF209" s="3066"/>
      <c r="AG209" s="3066"/>
      <c r="AH209" s="1371"/>
      <c r="AI209" s="1371"/>
      <c r="AJ209" s="1371"/>
      <c r="AK209" s="1024"/>
    </row>
    <row r="210" spans="1:37">
      <c r="A210" s="1016"/>
      <c r="B210" s="3064" t="s">
        <v>1384</v>
      </c>
      <c r="C210" s="3064"/>
      <c r="D210" s="3064"/>
      <c r="E210" s="3064"/>
      <c r="F210" s="3064"/>
      <c r="G210" s="3064"/>
      <c r="I210" s="3054"/>
      <c r="J210" s="3054"/>
      <c r="K210" s="3054"/>
      <c r="L210" s="1797"/>
      <c r="N210" s="3057"/>
      <c r="O210" s="3057"/>
      <c r="P210" s="3057"/>
      <c r="Q210" s="3057"/>
      <c r="R210" s="3057"/>
      <c r="T210" s="3222"/>
      <c r="U210" s="3222"/>
      <c r="V210" s="3222"/>
      <c r="W210" s="3222"/>
      <c r="X210" s="3222"/>
      <c r="Y210" s="3222"/>
      <c r="Z210" s="1404"/>
      <c r="AA210" s="1404"/>
      <c r="AB210" s="3066">
        <f t="shared" si="0"/>
        <v>0</v>
      </c>
      <c r="AC210" s="3066"/>
      <c r="AD210" s="3066"/>
      <c r="AE210" s="3066"/>
      <c r="AF210" s="3066"/>
      <c r="AG210" s="3066"/>
      <c r="AH210" s="1371"/>
      <c r="AI210" s="1371"/>
      <c r="AJ210" s="1371"/>
      <c r="AK210" s="1024"/>
    </row>
    <row r="211" spans="1:37">
      <c r="A211" s="1016"/>
      <c r="B211" s="3064" t="s">
        <v>1384</v>
      </c>
      <c r="C211" s="3064"/>
      <c r="D211" s="3064"/>
      <c r="E211" s="3064"/>
      <c r="F211" s="3064"/>
      <c r="G211" s="3064"/>
      <c r="I211" s="3054"/>
      <c r="J211" s="3054"/>
      <c r="K211" s="3054"/>
      <c r="L211" s="1809"/>
      <c r="N211" s="3057"/>
      <c r="O211" s="3057"/>
      <c r="P211" s="3057"/>
      <c r="Q211" s="3057"/>
      <c r="R211" s="3057"/>
      <c r="T211" s="3222"/>
      <c r="U211" s="3222"/>
      <c r="V211" s="3222"/>
      <c r="W211" s="3222"/>
      <c r="X211" s="3222"/>
      <c r="Y211" s="3222"/>
      <c r="Z211" s="1404"/>
      <c r="AA211" s="1404"/>
      <c r="AB211" s="3066">
        <f t="shared" si="0"/>
        <v>0</v>
      </c>
      <c r="AC211" s="3066"/>
      <c r="AD211" s="3066"/>
      <c r="AE211" s="3066"/>
      <c r="AF211" s="3066"/>
      <c r="AG211" s="3066"/>
      <c r="AH211" s="1371"/>
      <c r="AI211" s="1371"/>
      <c r="AJ211" s="1371"/>
      <c r="AK211" s="1024"/>
    </row>
    <row r="212" spans="1:37">
      <c r="A212" s="1016"/>
      <c r="B212" s="3064" t="s">
        <v>1384</v>
      </c>
      <c r="C212" s="3064"/>
      <c r="D212" s="3064"/>
      <c r="E212" s="3064"/>
      <c r="F212" s="3064"/>
      <c r="G212" s="3064"/>
      <c r="I212" s="3054"/>
      <c r="J212" s="3054"/>
      <c r="K212" s="3054"/>
      <c r="L212" s="1809"/>
      <c r="N212" s="3057"/>
      <c r="O212" s="3057"/>
      <c r="P212" s="3057"/>
      <c r="Q212" s="3057"/>
      <c r="R212" s="3057"/>
      <c r="T212" s="3222"/>
      <c r="U212" s="3222"/>
      <c r="V212" s="3222"/>
      <c r="W212" s="3222"/>
      <c r="X212" s="3222"/>
      <c r="Y212" s="3222"/>
      <c r="Z212" s="1404"/>
      <c r="AA212" s="1404"/>
      <c r="AB212" s="3066">
        <f t="shared" si="0"/>
        <v>0</v>
      </c>
      <c r="AC212" s="3066"/>
      <c r="AD212" s="3066"/>
      <c r="AE212" s="3066"/>
      <c r="AF212" s="3066"/>
      <c r="AG212" s="3066"/>
      <c r="AH212" s="1371"/>
      <c r="AI212" s="1371"/>
      <c r="AJ212" s="1371"/>
      <c r="AK212" s="1024"/>
    </row>
    <row r="213" spans="1:37">
      <c r="A213" s="1016"/>
      <c r="B213" s="3064" t="s">
        <v>1384</v>
      </c>
      <c r="C213" s="3064"/>
      <c r="D213" s="3064"/>
      <c r="E213" s="3064"/>
      <c r="F213" s="3064"/>
      <c r="G213" s="3064"/>
      <c r="I213" s="3054"/>
      <c r="J213" s="3054"/>
      <c r="K213" s="3054"/>
      <c r="L213" s="1809"/>
      <c r="N213" s="3057"/>
      <c r="O213" s="3057"/>
      <c r="P213" s="3057"/>
      <c r="Q213" s="3057"/>
      <c r="R213" s="3057"/>
      <c r="T213" s="3222"/>
      <c r="U213" s="3222"/>
      <c r="V213" s="3222"/>
      <c r="W213" s="3222"/>
      <c r="X213" s="3222"/>
      <c r="Y213" s="3222"/>
      <c r="Z213" s="1404"/>
      <c r="AA213" s="1404"/>
      <c r="AB213" s="3066">
        <f t="shared" si="0"/>
        <v>0</v>
      </c>
      <c r="AC213" s="3066"/>
      <c r="AD213" s="3066"/>
      <c r="AE213" s="3066"/>
      <c r="AF213" s="3066"/>
      <c r="AG213" s="3066"/>
      <c r="AH213" s="1371"/>
      <c r="AI213" s="1371"/>
      <c r="AJ213" s="1371"/>
      <c r="AK213" s="1024"/>
    </row>
    <row r="214" spans="1:37">
      <c r="A214" s="1016"/>
      <c r="B214" s="3064" t="s">
        <v>1384</v>
      </c>
      <c r="C214" s="3064"/>
      <c r="D214" s="3064"/>
      <c r="E214" s="3064"/>
      <c r="F214" s="3064"/>
      <c r="G214" s="3064"/>
      <c r="I214" s="3054"/>
      <c r="J214" s="3054"/>
      <c r="K214" s="3054"/>
      <c r="L214" s="1809"/>
      <c r="N214" s="3057"/>
      <c r="O214" s="3057"/>
      <c r="P214" s="3057"/>
      <c r="Q214" s="3057"/>
      <c r="R214" s="3057"/>
      <c r="T214" s="3222"/>
      <c r="U214" s="3222"/>
      <c r="V214" s="3222"/>
      <c r="W214" s="3222"/>
      <c r="X214" s="3222"/>
      <c r="Y214" s="3222"/>
      <c r="Z214" s="1404"/>
      <c r="AA214" s="1404"/>
      <c r="AB214" s="3066">
        <f t="shared" si="0"/>
        <v>0</v>
      </c>
      <c r="AC214" s="3066"/>
      <c r="AD214" s="3066"/>
      <c r="AE214" s="3066"/>
      <c r="AF214" s="3066"/>
      <c r="AG214" s="3066"/>
      <c r="AH214" s="1371"/>
      <c r="AI214" s="1371"/>
      <c r="AJ214" s="1371"/>
      <c r="AK214" s="1024"/>
    </row>
    <row r="215" spans="1:37">
      <c r="A215" s="1016"/>
      <c r="B215" s="3064" t="s">
        <v>1384</v>
      </c>
      <c r="C215" s="3064"/>
      <c r="D215" s="3064"/>
      <c r="E215" s="3064"/>
      <c r="F215" s="3064"/>
      <c r="G215" s="3064"/>
      <c r="I215" s="3054"/>
      <c r="J215" s="3054"/>
      <c r="K215" s="3054"/>
      <c r="L215" s="1809"/>
      <c r="N215" s="3057"/>
      <c r="O215" s="3057"/>
      <c r="P215" s="3057"/>
      <c r="Q215" s="3057"/>
      <c r="R215" s="3057"/>
      <c r="T215" s="3222"/>
      <c r="U215" s="3222"/>
      <c r="V215" s="3222"/>
      <c r="W215" s="3222"/>
      <c r="X215" s="3222"/>
      <c r="Y215" s="3222"/>
      <c r="Z215" s="1404"/>
      <c r="AA215" s="1404"/>
      <c r="AB215" s="3066">
        <f t="shared" si="0"/>
        <v>0</v>
      </c>
      <c r="AC215" s="3066"/>
      <c r="AD215" s="3066"/>
      <c r="AE215" s="3066"/>
      <c r="AF215" s="3066"/>
      <c r="AG215" s="3066"/>
      <c r="AH215" s="1371"/>
      <c r="AI215" s="1371"/>
      <c r="AJ215" s="1371"/>
      <c r="AK215" s="1024"/>
    </row>
    <row r="216" spans="1:37">
      <c r="A216" s="1016"/>
      <c r="B216" s="3064" t="s">
        <v>1384</v>
      </c>
      <c r="C216" s="3064"/>
      <c r="D216" s="3064"/>
      <c r="E216" s="3064"/>
      <c r="F216" s="3064"/>
      <c r="G216" s="3064"/>
      <c r="I216" s="3055"/>
      <c r="J216" s="3055"/>
      <c r="K216" s="3055"/>
      <c r="L216" s="1809"/>
      <c r="N216" s="3057"/>
      <c r="O216" s="3057"/>
      <c r="P216" s="3057"/>
      <c r="Q216" s="3057"/>
      <c r="R216" s="3057"/>
      <c r="T216" s="3222"/>
      <c r="U216" s="3222"/>
      <c r="V216" s="3222"/>
      <c r="W216" s="3222"/>
      <c r="X216" s="3222"/>
      <c r="Y216" s="3222"/>
      <c r="Z216" s="1404"/>
      <c r="AA216" s="1404"/>
      <c r="AB216" s="3233">
        <f t="shared" si="0"/>
        <v>0</v>
      </c>
      <c r="AC216" s="3233"/>
      <c r="AD216" s="3233"/>
      <c r="AE216" s="3233"/>
      <c r="AF216" s="3233"/>
      <c r="AG216" s="3233"/>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6"/>
      <c r="AB217" s="3066">
        <f>SUM(AB207:AB216)</f>
        <v>0</v>
      </c>
      <c r="AC217" s="3066"/>
      <c r="AD217" s="3066"/>
      <c r="AE217" s="3066"/>
      <c r="AF217" s="3066"/>
      <c r="AG217" s="3066"/>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6"/>
      <c r="AC223" s="3226"/>
      <c r="AD223" s="3226"/>
      <c r="AE223" s="3226"/>
      <c r="AF223" s="3226"/>
      <c r="AG223" s="3226"/>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6"/>
      <c r="AC226" s="3226"/>
      <c r="AD226" s="3226"/>
      <c r="AE226" s="3226"/>
      <c r="AF226" s="3226"/>
      <c r="AG226" s="3226"/>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7"/>
      <c r="AC227" s="3257"/>
      <c r="AD227" s="3257"/>
      <c r="AE227" s="3257"/>
      <c r="AF227" s="3257"/>
      <c r="AG227" s="3257"/>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4">
        <f>IFERROR(AB226/AB227,0)</f>
        <v>0</v>
      </c>
      <c r="AC228" s="3234"/>
      <c r="AD228" s="3234"/>
      <c r="AE228" s="3234"/>
      <c r="AF228" s="3234"/>
      <c r="AG228" s="3234"/>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65">
        <f>MAX(AB223,AB228)</f>
        <v>0</v>
      </c>
      <c r="AC230" s="3065"/>
      <c r="AD230" s="3065"/>
      <c r="AE230" s="3065"/>
      <c r="AF230" s="3065"/>
      <c r="AG230" s="3065"/>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8">
        <f>AB217+AB230</f>
        <v>0</v>
      </c>
      <c r="AC233" s="3058"/>
      <c r="AD233" s="3058"/>
      <c r="AE233" s="3058"/>
      <c r="AF233" s="3058"/>
      <c r="AG233" s="3058"/>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0">
        <v>0.05</v>
      </c>
      <c r="AC234" s="3090"/>
      <c r="AD234" s="3090"/>
      <c r="AE234" s="3090"/>
      <c r="AF234" s="3090"/>
      <c r="AG234" s="3090"/>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1">
        <f>AB233-(AB233*AB234)</f>
        <v>0</v>
      </c>
      <c r="AC235" s="3091"/>
      <c r="AD235" s="3091"/>
      <c r="AE235" s="3091"/>
      <c r="AF235" s="3091"/>
      <c r="AG235" s="3091"/>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8">
        <f>AB235/AB241</f>
        <v>0</v>
      </c>
      <c r="AC237" s="3058"/>
      <c r="AD237" s="3058"/>
      <c r="AE237" s="3058"/>
      <c r="AF237" s="3058"/>
      <c r="AG237" s="3058"/>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9">
        <v>15</v>
      </c>
      <c r="AC239" s="3059"/>
      <c r="AD239" s="3059"/>
      <c r="AE239" s="3059"/>
      <c r="AF239" s="3059"/>
      <c r="AG239" s="3059"/>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2">
        <v>0.04</v>
      </c>
      <c r="AC240" s="3092"/>
      <c r="AD240" s="3092"/>
      <c r="AE240" s="3092"/>
      <c r="AF240" s="3092"/>
      <c r="AG240" s="3092"/>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3">
        <v>1.1499999999999999</v>
      </c>
      <c r="AC241" s="3093"/>
      <c r="AD241" s="3093"/>
      <c r="AE241" s="3093"/>
      <c r="AF241" s="3093"/>
      <c r="AG241" s="3093"/>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3">
        <f>PV(AB240/12,AB239*12,-AB237/12, ,0)</f>
        <v>0</v>
      </c>
      <c r="AC243" s="3084"/>
      <c r="AD243" s="3084"/>
      <c r="AE243" s="3084"/>
      <c r="AF243" s="3084"/>
      <c r="AG243" s="3085"/>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7">
        <f>IFERROR(('Sources and Uses Budget'!D105/'Sources and Uses Budget'!B105),0)</f>
        <v>0</v>
      </c>
      <c r="AC249" s="3088"/>
      <c r="AD249" s="3088"/>
      <c r="AE249" s="3088"/>
      <c r="AF249" s="3088"/>
      <c r="AG249" s="3089"/>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7">
        <f>AD194*(1-AB249)</f>
        <v>15000000</v>
      </c>
      <c r="AH251" s="3077"/>
      <c r="AI251" s="3077"/>
      <c r="AJ251" s="3077"/>
      <c r="AK251" s="3077"/>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7">
        <f>'Sources and Uses Budget'!C105</f>
        <v>124455933</v>
      </c>
      <c r="AH252" s="3077"/>
      <c r="AI252" s="3077"/>
      <c r="AJ252" s="3077"/>
      <c r="AK252" s="3077"/>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8">
        <f>ROUNDDOWN(IF(AND(C274="Yes",AK72=10),((AG251*2)/AG252),AG251/AG252),2)</f>
        <v>0.12</v>
      </c>
      <c r="AH253" s="3078"/>
      <c r="AI253" s="3078"/>
      <c r="AJ253" s="3078"/>
      <c r="AK253" s="3078"/>
    </row>
    <row r="254" spans="1:39">
      <c r="A254" s="1045"/>
      <c r="B254" s="1697"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6"/>
      <c r="AH254" s="1696"/>
      <c r="AI254" s="1696"/>
      <c r="AJ254" s="1696"/>
      <c r="AK254" s="1696"/>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079">
        <f>IF(AG253=0,0,IF((AG253*100)&gt;8,8,(AG253*100)))</f>
        <v>8</v>
      </c>
      <c r="AL256" s="3079"/>
      <c r="AM256" s="3080"/>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1" t="s">
        <v>578</v>
      </c>
      <c r="D261" s="3071"/>
      <c r="E261" s="940"/>
      <c r="F261" s="3242" t="s">
        <v>2415</v>
      </c>
      <c r="G261" s="3243"/>
      <c r="H261" s="3243"/>
      <c r="I261" s="3243"/>
      <c r="J261" s="3243"/>
      <c r="K261" s="3243"/>
      <c r="L261" s="3243"/>
      <c r="M261" s="3243"/>
      <c r="N261" s="3243"/>
      <c r="O261" s="3243"/>
      <c r="P261" s="3243"/>
      <c r="Q261" s="3243"/>
      <c r="R261" s="3243"/>
      <c r="S261" s="3243"/>
      <c r="T261" s="3243"/>
      <c r="U261" s="3243"/>
      <c r="V261" s="3243"/>
      <c r="W261" s="3243"/>
      <c r="X261" s="3243"/>
      <c r="Y261" s="3243"/>
      <c r="Z261" s="3243"/>
      <c r="AA261" s="3243"/>
      <c r="AB261" s="3243"/>
      <c r="AC261" s="3243"/>
      <c r="AD261" s="3244"/>
      <c r="AE261" s="943"/>
      <c r="AF261" s="1066"/>
      <c r="AG261" s="3072" t="s">
        <v>1634</v>
      </c>
      <c r="AH261" s="3072"/>
      <c r="AI261" s="3072"/>
      <c r="AJ261" s="3072"/>
      <c r="AK261" s="1026"/>
      <c r="AL261" s="1026"/>
      <c r="AM261" s="1026"/>
      <c r="AN261" s="1061"/>
      <c r="AO261" s="943"/>
      <c r="AS261" s="21"/>
      <c r="AT261" s="21"/>
    </row>
    <row r="262" spans="1:81" ht="13.7" customHeight="1">
      <c r="A262" s="1060"/>
      <c r="B262" s="1065"/>
      <c r="C262" s="1067"/>
      <c r="D262" s="943"/>
      <c r="E262" s="940"/>
      <c r="F262" s="3245"/>
      <c r="G262" s="3246"/>
      <c r="H262" s="3246"/>
      <c r="I262" s="3246"/>
      <c r="J262" s="3246"/>
      <c r="K262" s="3246"/>
      <c r="L262" s="3246"/>
      <c r="M262" s="3246"/>
      <c r="N262" s="3246"/>
      <c r="O262" s="3246"/>
      <c r="P262" s="3246"/>
      <c r="Q262" s="3246"/>
      <c r="R262" s="3246"/>
      <c r="S262" s="3246"/>
      <c r="T262" s="3246"/>
      <c r="U262" s="3246"/>
      <c r="V262" s="3246"/>
      <c r="W262" s="3246"/>
      <c r="X262" s="3246"/>
      <c r="Y262" s="3246"/>
      <c r="Z262" s="3246"/>
      <c r="AA262" s="3246"/>
      <c r="AB262" s="3246"/>
      <c r="AC262" s="3246"/>
      <c r="AD262" s="3247"/>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5"/>
      <c r="G263" s="3246"/>
      <c r="H263" s="3246"/>
      <c r="I263" s="3246"/>
      <c r="J263" s="3246"/>
      <c r="K263" s="3246"/>
      <c r="L263" s="3246"/>
      <c r="M263" s="3246"/>
      <c r="N263" s="3246"/>
      <c r="O263" s="3246"/>
      <c r="P263" s="3246"/>
      <c r="Q263" s="3246"/>
      <c r="R263" s="3246"/>
      <c r="S263" s="3246"/>
      <c r="T263" s="3246"/>
      <c r="U263" s="3246"/>
      <c r="V263" s="3246"/>
      <c r="W263" s="3246"/>
      <c r="X263" s="3246"/>
      <c r="Y263" s="3246"/>
      <c r="Z263" s="3246"/>
      <c r="AA263" s="3246"/>
      <c r="AB263" s="3246"/>
      <c r="AC263" s="3246"/>
      <c r="AD263" s="3247"/>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3"/>
      <c r="D264" s="3073"/>
      <c r="E264" s="940"/>
      <c r="F264" s="3248"/>
      <c r="G264" s="3249"/>
      <c r="H264" s="3249"/>
      <c r="I264" s="3249"/>
      <c r="J264" s="3249"/>
      <c r="K264" s="3249"/>
      <c r="L264" s="3249"/>
      <c r="M264" s="3249"/>
      <c r="N264" s="3249"/>
      <c r="O264" s="3249"/>
      <c r="P264" s="3249"/>
      <c r="Q264" s="3249"/>
      <c r="R264" s="3249"/>
      <c r="S264" s="3249"/>
      <c r="T264" s="3249"/>
      <c r="U264" s="3249"/>
      <c r="V264" s="3249"/>
      <c r="W264" s="3249"/>
      <c r="X264" s="3249"/>
      <c r="Y264" s="3249"/>
      <c r="Z264" s="3249"/>
      <c r="AA264" s="3249"/>
      <c r="AB264" s="3249"/>
      <c r="AC264" s="3249"/>
      <c r="AD264" s="3250"/>
      <c r="AE264" s="943"/>
      <c r="AF264" s="1066"/>
      <c r="AG264" s="3072"/>
      <c r="AH264" s="3072"/>
      <c r="AI264" s="3072"/>
      <c r="AJ264" s="3072"/>
      <c r="AK264" s="1026"/>
      <c r="AL264" s="1026"/>
      <c r="AM264" s="1026"/>
      <c r="AN264" s="1061"/>
      <c r="AS264" s="21"/>
      <c r="AT264" s="21"/>
    </row>
    <row r="265" spans="1:81" ht="13.7" hidden="1" customHeight="1">
      <c r="A265" s="1060"/>
      <c r="C265" s="1069"/>
      <c r="D265" s="1069"/>
      <c r="E265" s="1069"/>
      <c r="F265" s="1831"/>
      <c r="G265" s="1832"/>
      <c r="H265" s="1832"/>
      <c r="I265" s="1832"/>
      <c r="J265" s="1832"/>
      <c r="K265" s="1832"/>
      <c r="L265" s="1832"/>
      <c r="M265" s="1832"/>
      <c r="N265" s="1832"/>
      <c r="O265" s="1832"/>
      <c r="P265" s="1832"/>
      <c r="Q265" s="1832"/>
      <c r="R265" s="1832"/>
      <c r="S265" s="1832"/>
      <c r="T265" s="1832"/>
      <c r="U265" s="1832"/>
      <c r="V265" s="1832"/>
      <c r="W265" s="1832"/>
      <c r="X265" s="1832"/>
      <c r="Y265" s="1832"/>
      <c r="Z265" s="1832"/>
      <c r="AA265" s="1832"/>
      <c r="AB265" s="1832"/>
      <c r="AC265" s="1832"/>
      <c r="AD265" s="1833"/>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079">
        <f>IF($C$261="yes",10,0)</f>
        <v>10</v>
      </c>
      <c r="AL267" s="3079"/>
      <c r="AM267" s="3080"/>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00" t="s">
        <v>1653</v>
      </c>
      <c r="B274" s="3100"/>
      <c r="C274" s="3071" t="s">
        <v>626</v>
      </c>
      <c r="D274" s="3071"/>
      <c r="E274" s="940"/>
      <c r="F274" s="3101" t="s">
        <v>1654</v>
      </c>
      <c r="G274" s="3102"/>
      <c r="H274" s="3102"/>
      <c r="I274" s="3102"/>
      <c r="J274" s="3102"/>
      <c r="K274" s="3102"/>
      <c r="L274" s="3102"/>
      <c r="M274" s="3102"/>
      <c r="N274" s="3102"/>
      <c r="O274" s="3102"/>
      <c r="P274" s="3102"/>
      <c r="Q274" s="3102"/>
      <c r="R274" s="3102"/>
      <c r="S274" s="3102"/>
      <c r="T274" s="3102"/>
      <c r="U274" s="3102"/>
      <c r="V274" s="3102"/>
      <c r="W274" s="3102"/>
      <c r="X274" s="3102"/>
      <c r="Y274" s="3102"/>
      <c r="Z274" s="3102"/>
      <c r="AA274" s="3102"/>
      <c r="AB274" s="3102"/>
      <c r="AC274" s="3102"/>
      <c r="AD274" s="3103"/>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4"/>
      <c r="G275" s="3095"/>
      <c r="H275" s="3095"/>
      <c r="I275" s="3095"/>
      <c r="J275" s="3095"/>
      <c r="K275" s="3095"/>
      <c r="L275" s="3095"/>
      <c r="M275" s="3095"/>
      <c r="N275" s="3095"/>
      <c r="O275" s="3095"/>
      <c r="P275" s="3095"/>
      <c r="Q275" s="3095"/>
      <c r="R275" s="3095"/>
      <c r="S275" s="3095"/>
      <c r="T275" s="3095"/>
      <c r="U275" s="3095"/>
      <c r="V275" s="3095"/>
      <c r="W275" s="3095"/>
      <c r="X275" s="3095"/>
      <c r="Y275" s="3095"/>
      <c r="Z275" s="3095"/>
      <c r="AA275" s="3095"/>
      <c r="AB275" s="3095"/>
      <c r="AC275" s="3095"/>
      <c r="AD275" s="3096"/>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094"/>
      <c r="G276" s="3095"/>
      <c r="H276" s="3095"/>
      <c r="I276" s="3095"/>
      <c r="J276" s="3095"/>
      <c r="K276" s="3095"/>
      <c r="L276" s="3095"/>
      <c r="M276" s="3095"/>
      <c r="N276" s="3095"/>
      <c r="O276" s="3095"/>
      <c r="P276" s="3095"/>
      <c r="Q276" s="3095"/>
      <c r="R276" s="3095"/>
      <c r="S276" s="3095"/>
      <c r="T276" s="3095"/>
      <c r="U276" s="3095"/>
      <c r="V276" s="3095"/>
      <c r="W276" s="3095"/>
      <c r="X276" s="3095"/>
      <c r="Y276" s="3095"/>
      <c r="Z276" s="3095"/>
      <c r="AA276" s="3095"/>
      <c r="AB276" s="3095"/>
      <c r="AC276" s="3095"/>
      <c r="AD276" s="3096"/>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94" t="s">
        <v>1656</v>
      </c>
      <c r="G277" s="3095"/>
      <c r="H277" s="3095"/>
      <c r="I277" s="3095"/>
      <c r="J277" s="3095"/>
      <c r="K277" s="3095"/>
      <c r="L277" s="3095"/>
      <c r="M277" s="3095"/>
      <c r="N277" s="3095"/>
      <c r="O277" s="3095"/>
      <c r="P277" s="3095"/>
      <c r="Q277" s="3095"/>
      <c r="R277" s="3095"/>
      <c r="S277" s="3095"/>
      <c r="T277" s="3095"/>
      <c r="U277" s="3095"/>
      <c r="V277" s="3095"/>
      <c r="W277" s="3095"/>
      <c r="X277" s="3095"/>
      <c r="Y277" s="3095"/>
      <c r="Z277" s="3095"/>
      <c r="AA277" s="3095"/>
      <c r="AB277" s="3095"/>
      <c r="AC277" s="3095"/>
      <c r="AD277" s="3096"/>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4"/>
      <c r="G278" s="3095"/>
      <c r="H278" s="3095"/>
      <c r="I278" s="3095"/>
      <c r="J278" s="3095"/>
      <c r="K278" s="3095"/>
      <c r="L278" s="3095"/>
      <c r="M278" s="3095"/>
      <c r="N278" s="3095"/>
      <c r="O278" s="3095"/>
      <c r="P278" s="3095"/>
      <c r="Q278" s="3095"/>
      <c r="R278" s="3095"/>
      <c r="S278" s="3095"/>
      <c r="T278" s="3095"/>
      <c r="U278" s="3095"/>
      <c r="V278" s="3095"/>
      <c r="W278" s="3095"/>
      <c r="X278" s="3095"/>
      <c r="Y278" s="3095"/>
      <c r="Z278" s="3095"/>
      <c r="AA278" s="3095"/>
      <c r="AB278" s="3095"/>
      <c r="AC278" s="3095"/>
      <c r="AD278" s="3096"/>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094" t="s">
        <v>1657</v>
      </c>
      <c r="G279" s="3095"/>
      <c r="H279" s="3095"/>
      <c r="I279" s="3095"/>
      <c r="J279" s="3095"/>
      <c r="K279" s="3095"/>
      <c r="L279" s="3095"/>
      <c r="M279" s="3095"/>
      <c r="N279" s="3095"/>
      <c r="O279" s="3095"/>
      <c r="P279" s="3095"/>
      <c r="Q279" s="3095"/>
      <c r="R279" s="3095"/>
      <c r="S279" s="3095"/>
      <c r="T279" s="3095"/>
      <c r="U279" s="3095"/>
      <c r="V279" s="3095"/>
      <c r="W279" s="3095"/>
      <c r="X279" s="3095"/>
      <c r="Y279" s="3095"/>
      <c r="Z279" s="3095"/>
      <c r="AA279" s="3095"/>
      <c r="AB279" s="3095"/>
      <c r="AC279" s="3095"/>
      <c r="AD279" s="3096"/>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094"/>
      <c r="G280" s="3095"/>
      <c r="H280" s="3095"/>
      <c r="I280" s="3095"/>
      <c r="J280" s="3095"/>
      <c r="K280" s="3095"/>
      <c r="L280" s="3095"/>
      <c r="M280" s="3095"/>
      <c r="N280" s="3095"/>
      <c r="O280" s="3095"/>
      <c r="P280" s="3095"/>
      <c r="Q280" s="3095"/>
      <c r="R280" s="3095"/>
      <c r="S280" s="3095"/>
      <c r="T280" s="3095"/>
      <c r="U280" s="3095"/>
      <c r="V280" s="3095"/>
      <c r="W280" s="3095"/>
      <c r="X280" s="3095"/>
      <c r="Y280" s="3095"/>
      <c r="Z280" s="3095"/>
      <c r="AA280" s="3095"/>
      <c r="AB280" s="3095"/>
      <c r="AC280" s="3095"/>
      <c r="AD280" s="3096"/>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94" t="s">
        <v>1658</v>
      </c>
      <c r="G281" s="3095"/>
      <c r="H281" s="3095"/>
      <c r="I281" s="3095"/>
      <c r="J281" s="3095"/>
      <c r="K281" s="3095"/>
      <c r="L281" s="3095"/>
      <c r="M281" s="3095"/>
      <c r="N281" s="3095"/>
      <c r="O281" s="3095"/>
      <c r="P281" s="3095"/>
      <c r="Q281" s="3095"/>
      <c r="R281" s="3095"/>
      <c r="S281" s="3095"/>
      <c r="T281" s="3095"/>
      <c r="U281" s="3095"/>
      <c r="V281" s="3095"/>
      <c r="W281" s="3095"/>
      <c r="X281" s="3095"/>
      <c r="Y281" s="3095"/>
      <c r="Z281" s="3095"/>
      <c r="AA281" s="3095"/>
      <c r="AB281" s="3095"/>
      <c r="AC281" s="3095"/>
      <c r="AD281" s="3096"/>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7"/>
      <c r="G282" s="3098"/>
      <c r="H282" s="3098"/>
      <c r="I282" s="3098"/>
      <c r="J282" s="3098"/>
      <c r="K282" s="3098"/>
      <c r="L282" s="3098"/>
      <c r="M282" s="3098"/>
      <c r="N282" s="3098"/>
      <c r="O282" s="3098"/>
      <c r="P282" s="3098"/>
      <c r="Q282" s="3098"/>
      <c r="R282" s="3098"/>
      <c r="S282" s="3098"/>
      <c r="T282" s="3098"/>
      <c r="U282" s="3098"/>
      <c r="V282" s="3098"/>
      <c r="W282" s="3098"/>
      <c r="X282" s="3098"/>
      <c r="Y282" s="3098"/>
      <c r="Z282" s="3098"/>
      <c r="AA282" s="3098"/>
      <c r="AB282" s="3098"/>
      <c r="AC282" s="3098"/>
      <c r="AD282" s="3099"/>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00" t="s">
        <v>1659</v>
      </c>
      <c r="B284" s="3100"/>
      <c r="C284" s="3071" t="s">
        <v>626</v>
      </c>
      <c r="D284" s="3071"/>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094" t="s">
        <v>1662</v>
      </c>
      <c r="G285" s="3095"/>
      <c r="H285" s="3095"/>
      <c r="I285" s="3095"/>
      <c r="J285" s="3095"/>
      <c r="K285" s="3095"/>
      <c r="L285" s="3095"/>
      <c r="M285" s="3095"/>
      <c r="N285" s="3095"/>
      <c r="O285" s="3095"/>
      <c r="P285" s="3095"/>
      <c r="Q285" s="3095"/>
      <c r="R285" s="3095"/>
      <c r="S285" s="3095"/>
      <c r="T285" s="3095"/>
      <c r="U285" s="3095"/>
      <c r="V285" s="3095"/>
      <c r="W285" s="3095"/>
      <c r="X285" s="3095"/>
      <c r="Y285" s="3095"/>
      <c r="Z285" s="3095"/>
      <c r="AA285" s="3095"/>
      <c r="AB285" s="3095"/>
      <c r="AC285" s="3095"/>
      <c r="AD285" s="3096"/>
      <c r="AE285" s="944"/>
      <c r="AF285" s="944"/>
      <c r="AG285" s="944"/>
      <c r="AH285" s="944"/>
      <c r="AI285" s="944"/>
      <c r="AJ285" s="943"/>
      <c r="AK285" s="1026"/>
      <c r="AL285" s="1026"/>
      <c r="AM285" s="1026"/>
      <c r="AR285" s="1086"/>
    </row>
    <row r="286" spans="1:53" ht="15" customHeight="1">
      <c r="A286" s="1060"/>
      <c r="B286" s="944"/>
      <c r="C286" s="943"/>
      <c r="D286" s="944"/>
      <c r="E286" s="943"/>
      <c r="F286" s="3094"/>
      <c r="G286" s="3095"/>
      <c r="H286" s="3095"/>
      <c r="I286" s="3095"/>
      <c r="J286" s="3095"/>
      <c r="K286" s="3095"/>
      <c r="L286" s="3095"/>
      <c r="M286" s="3095"/>
      <c r="N286" s="3095"/>
      <c r="O286" s="3095"/>
      <c r="P286" s="3095"/>
      <c r="Q286" s="3095"/>
      <c r="R286" s="3095"/>
      <c r="S286" s="3095"/>
      <c r="T286" s="3095"/>
      <c r="U286" s="3095"/>
      <c r="V286" s="3095"/>
      <c r="W286" s="3095"/>
      <c r="X286" s="3095"/>
      <c r="Y286" s="3095"/>
      <c r="Z286" s="3095"/>
      <c r="AA286" s="3095"/>
      <c r="AB286" s="3095"/>
      <c r="AC286" s="3095"/>
      <c r="AD286" s="3096"/>
      <c r="AE286" s="944"/>
      <c r="AF286" s="944"/>
      <c r="AG286" s="944"/>
      <c r="AH286" s="944"/>
      <c r="AI286" s="944"/>
      <c r="AJ286" s="943"/>
      <c r="AK286" s="1026"/>
      <c r="AL286" s="1026"/>
      <c r="AM286" s="1026"/>
      <c r="AR286" s="1086"/>
    </row>
    <row r="287" spans="1:53">
      <c r="A287" s="1060"/>
      <c r="B287" s="944"/>
      <c r="C287" s="943"/>
      <c r="D287" s="944"/>
      <c r="E287" s="943"/>
      <c r="F287" s="3094" t="s">
        <v>1657</v>
      </c>
      <c r="G287" s="3095"/>
      <c r="H287" s="3095"/>
      <c r="I287" s="3095"/>
      <c r="J287" s="3095"/>
      <c r="K287" s="3095"/>
      <c r="L287" s="3095"/>
      <c r="M287" s="3095"/>
      <c r="N287" s="3095"/>
      <c r="O287" s="3095"/>
      <c r="P287" s="3095"/>
      <c r="Q287" s="3095"/>
      <c r="R287" s="3095"/>
      <c r="S287" s="3095"/>
      <c r="T287" s="3095"/>
      <c r="U287" s="3095"/>
      <c r="V287" s="3095"/>
      <c r="W287" s="3095"/>
      <c r="X287" s="3095"/>
      <c r="Y287" s="3095"/>
      <c r="Z287" s="3095"/>
      <c r="AA287" s="3095"/>
      <c r="AB287" s="3095"/>
      <c r="AC287" s="3095"/>
      <c r="AD287" s="3096"/>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94"/>
      <c r="G288" s="3095"/>
      <c r="H288" s="3095"/>
      <c r="I288" s="3095"/>
      <c r="J288" s="3095"/>
      <c r="K288" s="3095"/>
      <c r="L288" s="3095"/>
      <c r="M288" s="3095"/>
      <c r="N288" s="3095"/>
      <c r="O288" s="3095"/>
      <c r="P288" s="3095"/>
      <c r="Q288" s="3095"/>
      <c r="R288" s="3095"/>
      <c r="S288" s="3095"/>
      <c r="T288" s="3095"/>
      <c r="U288" s="3095"/>
      <c r="V288" s="3095"/>
      <c r="W288" s="3095"/>
      <c r="X288" s="3095"/>
      <c r="Y288" s="3095"/>
      <c r="Z288" s="3095"/>
      <c r="AA288" s="3095"/>
      <c r="AB288" s="3095"/>
      <c r="AC288" s="3095"/>
      <c r="AD288" s="3096"/>
      <c r="AE288" s="944"/>
      <c r="AF288" s="944"/>
      <c r="AG288" s="944"/>
      <c r="AH288" s="944"/>
      <c r="AI288" s="944"/>
      <c r="AJ288" s="943"/>
      <c r="AK288" s="1026"/>
      <c r="AL288" s="1026"/>
      <c r="AM288" s="1026"/>
      <c r="AP288" s="1079"/>
      <c r="AQ288" s="968"/>
      <c r="AR288" s="1086"/>
    </row>
    <row r="289" spans="1:60">
      <c r="A289" s="1060"/>
      <c r="B289" s="944"/>
      <c r="C289" s="943"/>
      <c r="D289" s="944"/>
      <c r="E289" s="943"/>
      <c r="F289" s="3094" t="s">
        <v>1663</v>
      </c>
      <c r="G289" s="3095"/>
      <c r="H289" s="3095"/>
      <c r="I289" s="3095"/>
      <c r="J289" s="3095"/>
      <c r="K289" s="3095"/>
      <c r="L289" s="3095"/>
      <c r="M289" s="3095"/>
      <c r="N289" s="3095"/>
      <c r="O289" s="3095"/>
      <c r="P289" s="3095"/>
      <c r="Q289" s="3095"/>
      <c r="R289" s="3095"/>
      <c r="S289" s="3095"/>
      <c r="T289" s="3095"/>
      <c r="U289" s="3095"/>
      <c r="V289" s="3095"/>
      <c r="W289" s="3095"/>
      <c r="X289" s="3095"/>
      <c r="Y289" s="3095"/>
      <c r="Z289" s="3095"/>
      <c r="AA289" s="3095"/>
      <c r="AB289" s="3095"/>
      <c r="AC289" s="3095"/>
      <c r="AD289" s="3096"/>
      <c r="AE289" s="944"/>
      <c r="AF289" s="944"/>
      <c r="AG289" s="944"/>
      <c r="AH289" s="944"/>
      <c r="AI289" s="944"/>
      <c r="AJ289" s="943"/>
      <c r="AK289" s="1026"/>
      <c r="AL289" s="1026"/>
      <c r="AM289" s="1026"/>
      <c r="AP289" s="1079"/>
      <c r="AQ289" s="968"/>
      <c r="AR289" s="1086"/>
    </row>
    <row r="290" spans="1:60">
      <c r="A290" s="1060"/>
      <c r="B290" s="944"/>
      <c r="C290" s="943"/>
      <c r="D290" s="944"/>
      <c r="E290" s="943"/>
      <c r="F290" s="3097"/>
      <c r="G290" s="3098"/>
      <c r="H290" s="3098"/>
      <c r="I290" s="3098"/>
      <c r="J290" s="3098"/>
      <c r="K290" s="3098"/>
      <c r="L290" s="3098"/>
      <c r="M290" s="3098"/>
      <c r="N290" s="3098"/>
      <c r="O290" s="3098"/>
      <c r="P290" s="3098"/>
      <c r="Q290" s="3098"/>
      <c r="R290" s="3098"/>
      <c r="S290" s="3098"/>
      <c r="T290" s="3098"/>
      <c r="U290" s="3098"/>
      <c r="V290" s="3098"/>
      <c r="W290" s="3098"/>
      <c r="X290" s="3098"/>
      <c r="Y290" s="3098"/>
      <c r="Z290" s="3098"/>
      <c r="AA290" s="3098"/>
      <c r="AB290" s="3098"/>
      <c r="AC290" s="3098"/>
      <c r="AD290" s="3099"/>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00" t="s">
        <v>1664</v>
      </c>
      <c r="B292" s="3100"/>
      <c r="C292" s="3071" t="s">
        <v>626</v>
      </c>
      <c r="D292" s="3071"/>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4"/>
      <c r="B293" s="1794"/>
      <c r="C293" s="1790"/>
      <c r="D293" s="1790"/>
      <c r="E293" s="940"/>
      <c r="F293" s="3094" t="s">
        <v>1665</v>
      </c>
      <c r="G293" s="3095"/>
      <c r="H293" s="3095"/>
      <c r="I293" s="3095"/>
      <c r="J293" s="3095"/>
      <c r="K293" s="3095"/>
      <c r="L293" s="3095"/>
      <c r="M293" s="3095"/>
      <c r="N293" s="3095"/>
      <c r="O293" s="3095"/>
      <c r="P293" s="3095"/>
      <c r="Q293" s="3095"/>
      <c r="R293" s="3095"/>
      <c r="S293" s="3095"/>
      <c r="T293" s="3095"/>
      <c r="U293" s="3095"/>
      <c r="V293" s="3095"/>
      <c r="W293" s="3095"/>
      <c r="X293" s="3095"/>
      <c r="Y293" s="3095"/>
      <c r="Z293" s="3095"/>
      <c r="AA293" s="3095"/>
      <c r="AB293" s="3095"/>
      <c r="AC293" s="3095"/>
      <c r="AD293" s="3096"/>
      <c r="AE293" s="944"/>
      <c r="AF293" s="944"/>
      <c r="AG293" s="1012"/>
      <c r="AH293" s="944"/>
      <c r="AI293" s="944"/>
      <c r="AJ293" s="943"/>
      <c r="AK293" s="1026"/>
      <c r="AL293" s="1026"/>
      <c r="AM293" s="1026"/>
      <c r="AN293" s="110"/>
      <c r="AO293" s="51"/>
      <c r="AP293" s="950" t="s">
        <v>1384</v>
      </c>
      <c r="AR293" s="21"/>
    </row>
    <row r="294" spans="1:60" s="21" customFormat="1">
      <c r="F294" s="3094"/>
      <c r="G294" s="3095"/>
      <c r="H294" s="3095"/>
      <c r="I294" s="3095"/>
      <c r="J294" s="3095"/>
      <c r="K294" s="3095"/>
      <c r="L294" s="3095"/>
      <c r="M294" s="3095"/>
      <c r="N294" s="3095"/>
      <c r="O294" s="3095"/>
      <c r="P294" s="3095"/>
      <c r="Q294" s="3095"/>
      <c r="R294" s="3095"/>
      <c r="S294" s="3095"/>
      <c r="T294" s="3095"/>
      <c r="U294" s="3095"/>
      <c r="V294" s="3095"/>
      <c r="W294" s="3095"/>
      <c r="X294" s="3095"/>
      <c r="Y294" s="3095"/>
      <c r="Z294" s="3095"/>
      <c r="AA294" s="3095"/>
      <c r="AB294" s="3095"/>
      <c r="AC294" s="3095"/>
      <c r="AD294" s="3096"/>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0"/>
      <c r="D295" s="1790"/>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1"/>
      <c r="AE295" s="944"/>
      <c r="AF295" s="944"/>
      <c r="AG295" s="986"/>
      <c r="AH295" s="944"/>
      <c r="AI295" s="944"/>
      <c r="AJ295" s="943"/>
      <c r="AK295" s="1026"/>
      <c r="AL295" s="1026"/>
      <c r="AM295" s="1026"/>
      <c r="AN295" s="110"/>
      <c r="AO295" s="51"/>
      <c r="AP295" s="1091" t="s">
        <v>2231</v>
      </c>
      <c r="AR295" s="21"/>
    </row>
    <row r="296" spans="1:60">
      <c r="A296" s="1060"/>
      <c r="B296" s="944"/>
      <c r="C296" s="1790"/>
      <c r="D296" s="1790"/>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1"/>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0"/>
      <c r="D297" s="1790"/>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0"/>
      <c r="D298" s="1790"/>
      <c r="E298" s="940"/>
      <c r="F298" s="3104" t="s">
        <v>1384</v>
      </c>
      <c r="G298" s="3105"/>
      <c r="H298" s="3105"/>
      <c r="I298" s="3105"/>
      <c r="J298" s="3105"/>
      <c r="K298" s="3105"/>
      <c r="L298" s="3105"/>
      <c r="M298" s="3105"/>
      <c r="N298" s="3105"/>
      <c r="O298" s="3105"/>
      <c r="P298" s="3105"/>
      <c r="Q298" s="3105"/>
      <c r="R298" s="3105"/>
      <c r="S298" s="3105"/>
      <c r="T298" s="3105"/>
      <c r="U298" s="3105"/>
      <c r="V298" s="3105"/>
      <c r="W298" s="3105"/>
      <c r="X298" s="3105"/>
      <c r="Y298" s="3105"/>
      <c r="Z298" s="3105"/>
      <c r="AA298" s="3105"/>
      <c r="AB298" s="3105"/>
      <c r="AC298" s="3105"/>
      <c r="AD298" s="3106"/>
      <c r="AE298" s="1078"/>
      <c r="AF298" s="1078"/>
      <c r="AG298" s="1078"/>
      <c r="AH298" s="1078"/>
      <c r="AI298" s="1078"/>
      <c r="AJ298" s="1078"/>
      <c r="AK298" s="1078"/>
      <c r="AL298" s="1026"/>
      <c r="AM298" s="1026"/>
      <c r="AN298" s="110"/>
      <c r="AO298" s="51"/>
      <c r="AP298" s="126"/>
      <c r="AR298" s="21"/>
    </row>
    <row r="299" spans="1:60">
      <c r="A299" s="1060"/>
      <c r="B299" s="944"/>
      <c r="C299" s="1790"/>
      <c r="D299" s="1790"/>
      <c r="E299" s="940"/>
      <c r="F299" s="3104"/>
      <c r="G299" s="3105"/>
      <c r="H299" s="3105"/>
      <c r="I299" s="3105"/>
      <c r="J299" s="3105"/>
      <c r="K299" s="3105"/>
      <c r="L299" s="3105"/>
      <c r="M299" s="3105"/>
      <c r="N299" s="3105"/>
      <c r="O299" s="3105"/>
      <c r="P299" s="3105"/>
      <c r="Q299" s="3105"/>
      <c r="R299" s="3105"/>
      <c r="S299" s="3105"/>
      <c r="T299" s="3105"/>
      <c r="U299" s="3105"/>
      <c r="V299" s="3105"/>
      <c r="W299" s="3105"/>
      <c r="X299" s="3105"/>
      <c r="Y299" s="3105"/>
      <c r="Z299" s="3105"/>
      <c r="AA299" s="3105"/>
      <c r="AB299" s="3105"/>
      <c r="AC299" s="3105"/>
      <c r="AD299" s="3106"/>
      <c r="AE299" s="944"/>
      <c r="AF299" s="944"/>
      <c r="AG299" s="986"/>
      <c r="AH299" s="944"/>
      <c r="AI299" s="944"/>
      <c r="AJ299" s="1026"/>
      <c r="AK299" s="1026"/>
      <c r="AL299" s="1026"/>
      <c r="AM299" s="1026"/>
      <c r="AN299" s="110"/>
      <c r="AO299" s="51"/>
      <c r="AP299" s="126"/>
      <c r="AR299" s="21"/>
    </row>
    <row r="300" spans="1:60">
      <c r="A300" s="1060"/>
      <c r="B300" s="944"/>
      <c r="C300" s="1790"/>
      <c r="D300" s="1790"/>
      <c r="E300" s="940"/>
      <c r="F300" s="3104"/>
      <c r="G300" s="3105"/>
      <c r="H300" s="3105"/>
      <c r="I300" s="3105"/>
      <c r="J300" s="3105"/>
      <c r="K300" s="3105"/>
      <c r="L300" s="3105"/>
      <c r="M300" s="3105"/>
      <c r="N300" s="3105"/>
      <c r="O300" s="3105"/>
      <c r="P300" s="3105"/>
      <c r="Q300" s="3105"/>
      <c r="R300" s="3105"/>
      <c r="S300" s="3105"/>
      <c r="T300" s="3105"/>
      <c r="U300" s="3105"/>
      <c r="V300" s="3105"/>
      <c r="W300" s="3105"/>
      <c r="X300" s="3105"/>
      <c r="Y300" s="3105"/>
      <c r="Z300" s="3105"/>
      <c r="AA300" s="3105"/>
      <c r="AB300" s="3105"/>
      <c r="AC300" s="3105"/>
      <c r="AD300" s="3106"/>
      <c r="AE300" s="944"/>
      <c r="AF300" s="944"/>
      <c r="AG300" s="986"/>
      <c r="AH300" s="944"/>
      <c r="AI300" s="944"/>
      <c r="AJ300" s="1026"/>
      <c r="AK300" s="1026"/>
      <c r="AL300" s="1026"/>
      <c r="AM300" s="1026"/>
      <c r="AN300" s="110"/>
      <c r="AO300" s="51"/>
      <c r="AP300" s="126"/>
      <c r="AR300" s="21"/>
    </row>
    <row r="301" spans="1:60">
      <c r="A301" s="1060"/>
      <c r="B301" s="944"/>
      <c r="C301" s="1790"/>
      <c r="D301" s="1790"/>
      <c r="E301" s="940"/>
      <c r="F301" s="3104"/>
      <c r="G301" s="3105"/>
      <c r="H301" s="3105"/>
      <c r="I301" s="3105"/>
      <c r="J301" s="3105"/>
      <c r="K301" s="3105"/>
      <c r="L301" s="3105"/>
      <c r="M301" s="3105"/>
      <c r="N301" s="3105"/>
      <c r="O301" s="3105"/>
      <c r="P301" s="3105"/>
      <c r="Q301" s="3105"/>
      <c r="R301" s="3105"/>
      <c r="S301" s="3105"/>
      <c r="T301" s="3105"/>
      <c r="U301" s="3105"/>
      <c r="V301" s="3105"/>
      <c r="W301" s="3105"/>
      <c r="X301" s="3105"/>
      <c r="Y301" s="3105"/>
      <c r="Z301" s="3105"/>
      <c r="AA301" s="3105"/>
      <c r="AB301" s="3105"/>
      <c r="AC301" s="3105"/>
      <c r="AD301" s="3106"/>
      <c r="AE301" s="944"/>
      <c r="AF301" s="944"/>
      <c r="AG301" s="986"/>
      <c r="AH301" s="944"/>
      <c r="AI301" s="944"/>
      <c r="AJ301" s="1026"/>
      <c r="AK301" s="1026"/>
      <c r="AL301" s="1026"/>
      <c r="AM301" s="1026"/>
      <c r="AN301" s="110"/>
      <c r="AO301" s="51"/>
      <c r="AP301" s="126"/>
      <c r="AR301" s="21"/>
    </row>
    <row r="302" spans="1:60">
      <c r="A302" s="1060"/>
      <c r="B302" s="944"/>
      <c r="C302" s="1790"/>
      <c r="D302" s="1790"/>
      <c r="E302" s="940"/>
      <c r="F302" s="3107"/>
      <c r="G302" s="3108"/>
      <c r="H302" s="3108"/>
      <c r="I302" s="3108"/>
      <c r="J302" s="3108"/>
      <c r="K302" s="3108"/>
      <c r="L302" s="3108"/>
      <c r="M302" s="3108"/>
      <c r="N302" s="3108"/>
      <c r="O302" s="3108"/>
      <c r="P302" s="3108"/>
      <c r="Q302" s="3108"/>
      <c r="R302" s="3108"/>
      <c r="S302" s="3108"/>
      <c r="T302" s="3108"/>
      <c r="U302" s="3108"/>
      <c r="V302" s="3108"/>
      <c r="W302" s="3108"/>
      <c r="X302" s="3108"/>
      <c r="Y302" s="3108"/>
      <c r="Z302" s="3108"/>
      <c r="AA302" s="3108"/>
      <c r="AB302" s="3108"/>
      <c r="AC302" s="3108"/>
      <c r="AD302" s="3109"/>
      <c r="AE302" s="944"/>
      <c r="AF302" s="944"/>
      <c r="AG302" s="986"/>
      <c r="AH302" s="944"/>
      <c r="AI302" s="944"/>
      <c r="AJ302" s="1025"/>
      <c r="AK302" s="1026"/>
      <c r="AL302" s="1026"/>
      <c r="AM302" s="1026"/>
      <c r="AN302" s="110"/>
      <c r="AO302" s="51"/>
      <c r="AP302" s="126"/>
      <c r="AR302" s="21"/>
    </row>
    <row r="303" spans="1:60" s="56" customFormat="1">
      <c r="A303" s="1060"/>
      <c r="B303" s="944"/>
      <c r="C303" s="1790"/>
      <c r="D303" s="1790"/>
      <c r="E303" s="940"/>
      <c r="F303" s="1691"/>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2"/>
      <c r="AP303" s="1693"/>
      <c r="AR303" s="1694"/>
      <c r="BD303" s="55"/>
      <c r="BE303" s="55"/>
      <c r="BF303" s="55"/>
      <c r="BG303" s="55"/>
      <c r="BH303" s="55"/>
    </row>
    <row r="304" spans="1:60">
      <c r="A304" s="1060"/>
      <c r="B304" s="944"/>
      <c r="C304" s="1790"/>
      <c r="D304" s="1790"/>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0"/>
      <c r="D305" s="1790"/>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0"/>
      <c r="D306" s="1790"/>
      <c r="E306" s="940"/>
      <c r="F306" s="1098"/>
      <c r="G306" s="969" t="s">
        <v>725</v>
      </c>
      <c r="H306" s="969"/>
      <c r="I306" s="3110" t="s">
        <v>1384</v>
      </c>
      <c r="J306" s="3110"/>
      <c r="K306" s="3110"/>
      <c r="L306" s="3110"/>
      <c r="M306" s="3110"/>
      <c r="N306" s="3110"/>
      <c r="O306" s="3110"/>
      <c r="P306" s="3110"/>
      <c r="Q306" s="3110"/>
      <c r="R306" s="3110"/>
      <c r="S306" s="3110"/>
      <c r="T306" s="3110"/>
      <c r="U306" s="3110"/>
      <c r="V306" s="3110"/>
      <c r="W306" s="3110"/>
      <c r="X306" s="3110"/>
      <c r="Y306" s="3110"/>
      <c r="Z306" s="3110"/>
      <c r="AA306" s="3110"/>
      <c r="AB306" s="3110"/>
      <c r="AC306" s="3110"/>
      <c r="AD306" s="3111"/>
      <c r="AE306" s="944"/>
      <c r="AF306" s="944"/>
      <c r="AG306" s="986"/>
      <c r="AH306" s="944"/>
      <c r="AI306" s="944"/>
      <c r="AJ306" s="943"/>
      <c r="AK306" s="1026"/>
      <c r="AL306" s="1026"/>
      <c r="AM306" s="1026"/>
      <c r="AN306" s="110"/>
      <c r="AO306" s="51"/>
      <c r="AP306" s="950" t="s">
        <v>1989</v>
      </c>
      <c r="AR306" s="21"/>
    </row>
    <row r="307" spans="1:60">
      <c r="A307" s="1060"/>
      <c r="B307" s="944"/>
      <c r="C307" s="1790"/>
      <c r="D307" s="1790"/>
      <c r="E307" s="940"/>
      <c r="F307" s="1098"/>
      <c r="G307" s="969"/>
      <c r="H307" s="969"/>
      <c r="I307" s="3110"/>
      <c r="J307" s="3110"/>
      <c r="K307" s="3110"/>
      <c r="L307" s="3110"/>
      <c r="M307" s="3110"/>
      <c r="N307" s="3110"/>
      <c r="O307" s="3110"/>
      <c r="P307" s="3110"/>
      <c r="Q307" s="3110"/>
      <c r="R307" s="3110"/>
      <c r="S307" s="3110"/>
      <c r="T307" s="3110"/>
      <c r="U307" s="3110"/>
      <c r="V307" s="3110"/>
      <c r="W307" s="3110"/>
      <c r="X307" s="3110"/>
      <c r="Y307" s="3110"/>
      <c r="Z307" s="3110"/>
      <c r="AA307" s="3110"/>
      <c r="AB307" s="3110"/>
      <c r="AC307" s="3110"/>
      <c r="AD307" s="3111"/>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10"/>
      <c r="J308" s="3110"/>
      <c r="K308" s="3110"/>
      <c r="L308" s="3110"/>
      <c r="M308" s="3110"/>
      <c r="N308" s="3110"/>
      <c r="O308" s="3110"/>
      <c r="P308" s="3110"/>
      <c r="Q308" s="3110"/>
      <c r="R308" s="3110"/>
      <c r="S308" s="3110"/>
      <c r="T308" s="3110"/>
      <c r="U308" s="3110"/>
      <c r="V308" s="3110"/>
      <c r="W308" s="3110"/>
      <c r="X308" s="3110"/>
      <c r="Y308" s="3110"/>
      <c r="Z308" s="3110"/>
      <c r="AA308" s="3110"/>
      <c r="AB308" s="3110"/>
      <c r="AC308" s="3110"/>
      <c r="AD308" s="3111"/>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12"/>
      <c r="J309" s="3112"/>
      <c r="K309" s="3112"/>
      <c r="L309" s="3112"/>
      <c r="M309" s="3112"/>
      <c r="N309" s="3112"/>
      <c r="O309" s="3112"/>
      <c r="P309" s="3112"/>
      <c r="Q309" s="3112"/>
      <c r="R309" s="3112"/>
      <c r="S309" s="3112"/>
      <c r="T309" s="3112"/>
      <c r="U309" s="3112"/>
      <c r="V309" s="3112"/>
      <c r="W309" s="3112"/>
      <c r="X309" s="3112"/>
      <c r="Y309" s="3112"/>
      <c r="Z309" s="3112"/>
      <c r="AA309" s="3112"/>
      <c r="AB309" s="3112"/>
      <c r="AC309" s="3112"/>
      <c r="AD309" s="3113"/>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10" t="s">
        <v>1384</v>
      </c>
      <c r="J311" s="3110"/>
      <c r="K311" s="3110"/>
      <c r="L311" s="3110"/>
      <c r="M311" s="3110"/>
      <c r="N311" s="3110"/>
      <c r="O311" s="3110"/>
      <c r="P311" s="3110"/>
      <c r="Q311" s="3110"/>
      <c r="R311" s="3110"/>
      <c r="S311" s="3110"/>
      <c r="T311" s="3110"/>
      <c r="U311" s="3110"/>
      <c r="V311" s="3110"/>
      <c r="W311" s="3110"/>
      <c r="X311" s="3110"/>
      <c r="Y311" s="3110"/>
      <c r="Z311" s="3110"/>
      <c r="AA311" s="3110"/>
      <c r="AB311" s="3110"/>
      <c r="AC311" s="3110"/>
      <c r="AD311" s="3111"/>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10"/>
      <c r="J312" s="3110"/>
      <c r="K312" s="3110"/>
      <c r="L312" s="3110"/>
      <c r="M312" s="3110"/>
      <c r="N312" s="3110"/>
      <c r="O312" s="3110"/>
      <c r="P312" s="3110"/>
      <c r="Q312" s="3110"/>
      <c r="R312" s="3110"/>
      <c r="S312" s="3110"/>
      <c r="T312" s="3110"/>
      <c r="U312" s="3110"/>
      <c r="V312" s="3110"/>
      <c r="W312" s="3110"/>
      <c r="X312" s="3110"/>
      <c r="Y312" s="3110"/>
      <c r="Z312" s="3110"/>
      <c r="AA312" s="3110"/>
      <c r="AB312" s="3110"/>
      <c r="AC312" s="3110"/>
      <c r="AD312" s="3111"/>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12"/>
      <c r="J313" s="3112"/>
      <c r="K313" s="3112"/>
      <c r="L313" s="3112"/>
      <c r="M313" s="3112"/>
      <c r="N313" s="3112"/>
      <c r="O313" s="3112"/>
      <c r="P313" s="3112"/>
      <c r="Q313" s="3112"/>
      <c r="R313" s="3112"/>
      <c r="S313" s="3112"/>
      <c r="T313" s="3112"/>
      <c r="U313" s="3112"/>
      <c r="V313" s="3112"/>
      <c r="W313" s="3112"/>
      <c r="X313" s="3112"/>
      <c r="Y313" s="3112"/>
      <c r="Z313" s="3112"/>
      <c r="AA313" s="3112"/>
      <c r="AB313" s="3112"/>
      <c r="AC313" s="3112"/>
      <c r="AD313" s="3113"/>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00" t="s">
        <v>1668</v>
      </c>
      <c r="B315" s="3100"/>
      <c r="C315" s="3071" t="s">
        <v>578</v>
      </c>
      <c r="D315" s="3071"/>
      <c r="E315" s="940"/>
      <c r="F315" s="3006" t="s">
        <v>1669</v>
      </c>
      <c r="G315" s="3007"/>
      <c r="H315" s="3007"/>
      <c r="I315" s="3007"/>
      <c r="J315" s="3007"/>
      <c r="K315" s="3007"/>
      <c r="L315" s="3007"/>
      <c r="M315" s="3007"/>
      <c r="N315" s="3007"/>
      <c r="O315" s="3007"/>
      <c r="P315" s="3007"/>
      <c r="Q315" s="3007"/>
      <c r="R315" s="3007"/>
      <c r="S315" s="3007"/>
      <c r="T315" s="3007"/>
      <c r="U315" s="3007"/>
      <c r="V315" s="3007"/>
      <c r="W315" s="3007"/>
      <c r="X315" s="3007"/>
      <c r="Y315" s="3007"/>
      <c r="Z315" s="3007"/>
      <c r="AA315" s="3007"/>
      <c r="AB315" s="3007"/>
      <c r="AC315" s="3007"/>
      <c r="AD315" s="3008"/>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012"/>
      <c r="G316" s="3013"/>
      <c r="H316" s="3013"/>
      <c r="I316" s="3013"/>
      <c r="J316" s="3013"/>
      <c r="K316" s="3013"/>
      <c r="L316" s="3013"/>
      <c r="M316" s="3013"/>
      <c r="N316" s="3013"/>
      <c r="O316" s="3013"/>
      <c r="P316" s="3013"/>
      <c r="Q316" s="3013"/>
      <c r="R316" s="3013"/>
      <c r="S316" s="3013"/>
      <c r="T316" s="3013"/>
      <c r="U316" s="3013"/>
      <c r="V316" s="3013"/>
      <c r="W316" s="3013"/>
      <c r="X316" s="3013"/>
      <c r="Y316" s="3013"/>
      <c r="Z316" s="3013"/>
      <c r="AA316" s="3013"/>
      <c r="AB316" s="3013"/>
      <c r="AC316" s="3013"/>
      <c r="AD316" s="3014"/>
      <c r="AE316" s="944"/>
      <c r="AF316" s="944"/>
      <c r="AG316" s="944"/>
      <c r="AH316" s="944"/>
      <c r="AI316" s="944"/>
      <c r="AJ316" s="943"/>
      <c r="AK316" s="1026"/>
      <c r="AL316" s="1026"/>
      <c r="AM316" s="1026"/>
      <c r="AN316" s="110"/>
      <c r="AO316" s="51"/>
    </row>
    <row r="317" spans="1:60" ht="15" customHeight="1">
      <c r="A317" s="1060"/>
      <c r="B317" s="944"/>
      <c r="C317" s="944"/>
      <c r="D317" s="944"/>
      <c r="E317" s="944"/>
      <c r="F317" s="3012"/>
      <c r="G317" s="3013"/>
      <c r="H317" s="3013"/>
      <c r="I317" s="3013"/>
      <c r="J317" s="3013"/>
      <c r="K317" s="3013"/>
      <c r="L317" s="3013"/>
      <c r="M317" s="3013"/>
      <c r="N317" s="3013"/>
      <c r="O317" s="3013"/>
      <c r="P317" s="3013"/>
      <c r="Q317" s="3013"/>
      <c r="R317" s="3013"/>
      <c r="S317" s="3013"/>
      <c r="T317" s="3013"/>
      <c r="U317" s="3013"/>
      <c r="V317" s="3013"/>
      <c r="W317" s="3013"/>
      <c r="X317" s="3013"/>
      <c r="Y317" s="3013"/>
      <c r="Z317" s="3013"/>
      <c r="AA317" s="3013"/>
      <c r="AB317" s="3013"/>
      <c r="AC317" s="3013"/>
      <c r="AD317" s="3014"/>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74">
        <f>AP279</f>
        <v>9</v>
      </c>
      <c r="AL320" s="3075"/>
      <c r="AM320" s="3076"/>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7" t="s">
        <v>1585</v>
      </c>
      <c r="AF323" s="3067"/>
      <c r="AG323" s="3067"/>
      <c r="AH323" s="3067"/>
      <c r="AI323" s="3067"/>
      <c r="AJ323" s="3067"/>
      <c r="AK323" s="3067"/>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95" t="s">
        <v>2192</v>
      </c>
      <c r="C325" s="3095"/>
      <c r="D325" s="3095"/>
      <c r="E325" s="3095"/>
      <c r="F325" s="3095"/>
      <c r="G325" s="3095"/>
      <c r="H325" s="3095"/>
      <c r="I325" s="3095"/>
      <c r="J325" s="3095"/>
      <c r="K325" s="3095"/>
      <c r="L325" s="3095"/>
      <c r="M325" s="3095"/>
      <c r="N325" s="3095"/>
      <c r="O325" s="3095"/>
      <c r="P325" s="3095"/>
      <c r="Q325" s="3095"/>
      <c r="R325" s="3095"/>
      <c r="S325" s="3095"/>
      <c r="T325" s="3095"/>
      <c r="U325" s="3095"/>
      <c r="V325" s="3095"/>
      <c r="W325" s="3095"/>
      <c r="X325" s="3095"/>
      <c r="Y325" s="3095"/>
      <c r="Z325" s="3095"/>
      <c r="AA325" s="3095"/>
      <c r="AB325" s="3095"/>
      <c r="AC325" s="3095"/>
      <c r="AD325" s="3095"/>
      <c r="AE325" s="3095"/>
      <c r="AF325" s="3095"/>
      <c r="AG325" s="3095"/>
      <c r="AH325" s="3095"/>
      <c r="AI325" s="3095"/>
      <c r="AJ325" s="3095"/>
      <c r="AK325" s="1078"/>
      <c r="AL325" s="967"/>
      <c r="AM325" s="1027"/>
      <c r="AN325" s="1000"/>
    </row>
    <row r="326" spans="1:42" s="943" customFormat="1" ht="12.75" customHeight="1">
      <c r="A326" s="1027"/>
      <c r="B326" s="3095"/>
      <c r="C326" s="3095"/>
      <c r="D326" s="3095"/>
      <c r="E326" s="3095"/>
      <c r="F326" s="3095"/>
      <c r="G326" s="3095"/>
      <c r="H326" s="3095"/>
      <c r="I326" s="3095"/>
      <c r="J326" s="3095"/>
      <c r="K326" s="3095"/>
      <c r="L326" s="3095"/>
      <c r="M326" s="3095"/>
      <c r="N326" s="3095"/>
      <c r="O326" s="3095"/>
      <c r="P326" s="3095"/>
      <c r="Q326" s="3095"/>
      <c r="R326" s="3095"/>
      <c r="S326" s="3095"/>
      <c r="T326" s="3095"/>
      <c r="U326" s="3095"/>
      <c r="V326" s="3095"/>
      <c r="W326" s="3095"/>
      <c r="X326" s="3095"/>
      <c r="Y326" s="3095"/>
      <c r="Z326" s="3095"/>
      <c r="AA326" s="3095"/>
      <c r="AB326" s="3095"/>
      <c r="AC326" s="3095"/>
      <c r="AD326" s="3095"/>
      <c r="AE326" s="3095"/>
      <c r="AF326" s="3095"/>
      <c r="AG326" s="3095"/>
      <c r="AH326" s="3095"/>
      <c r="AI326" s="3095"/>
      <c r="AJ326" s="3095"/>
      <c r="AK326" s="1078"/>
      <c r="AL326" s="967"/>
      <c r="AM326" s="1027"/>
      <c r="AN326" s="1000"/>
    </row>
    <row r="327" spans="1:42" s="943" customFormat="1" ht="12.75" customHeight="1">
      <c r="A327" s="1027"/>
      <c r="B327" s="3095"/>
      <c r="C327" s="3095"/>
      <c r="D327" s="3095"/>
      <c r="E327" s="3095"/>
      <c r="F327" s="3095"/>
      <c r="G327" s="3095"/>
      <c r="H327" s="3095"/>
      <c r="I327" s="3095"/>
      <c r="J327" s="3095"/>
      <c r="K327" s="3095"/>
      <c r="L327" s="3095"/>
      <c r="M327" s="3095"/>
      <c r="N327" s="3095"/>
      <c r="O327" s="3095"/>
      <c r="P327" s="3095"/>
      <c r="Q327" s="3095"/>
      <c r="R327" s="3095"/>
      <c r="S327" s="3095"/>
      <c r="T327" s="3095"/>
      <c r="U327" s="3095"/>
      <c r="V327" s="3095"/>
      <c r="W327" s="3095"/>
      <c r="X327" s="3095"/>
      <c r="Y327" s="3095"/>
      <c r="Z327" s="3095"/>
      <c r="AA327" s="3095"/>
      <c r="AB327" s="3095"/>
      <c r="AC327" s="3095"/>
      <c r="AD327" s="3095"/>
      <c r="AE327" s="3095"/>
      <c r="AF327" s="3095"/>
      <c r="AG327" s="3095"/>
      <c r="AH327" s="3095"/>
      <c r="AI327" s="3095"/>
      <c r="AJ327" s="3095"/>
      <c r="AK327" s="1078"/>
      <c r="AL327" s="967"/>
      <c r="AM327" s="1027"/>
      <c r="AN327" s="1000"/>
    </row>
    <row r="328" spans="1:42" s="943" customFormat="1" ht="12.75" customHeight="1">
      <c r="A328" s="1027"/>
      <c r="B328" s="3095"/>
      <c r="C328" s="3095"/>
      <c r="D328" s="3095"/>
      <c r="E328" s="3095"/>
      <c r="F328" s="3095"/>
      <c r="G328" s="3095"/>
      <c r="H328" s="3095"/>
      <c r="I328" s="3095"/>
      <c r="J328" s="3095"/>
      <c r="K328" s="3095"/>
      <c r="L328" s="3095"/>
      <c r="M328" s="3095"/>
      <c r="N328" s="3095"/>
      <c r="O328" s="3095"/>
      <c r="P328" s="3095"/>
      <c r="Q328" s="3095"/>
      <c r="R328" s="3095"/>
      <c r="S328" s="3095"/>
      <c r="T328" s="3095"/>
      <c r="U328" s="3095"/>
      <c r="V328" s="3095"/>
      <c r="W328" s="3095"/>
      <c r="X328" s="3095"/>
      <c r="Y328" s="3095"/>
      <c r="Z328" s="3095"/>
      <c r="AA328" s="3095"/>
      <c r="AB328" s="3095"/>
      <c r="AC328" s="3095"/>
      <c r="AD328" s="3095"/>
      <c r="AE328" s="3095"/>
      <c r="AF328" s="3095"/>
      <c r="AG328" s="3095"/>
      <c r="AH328" s="3095"/>
      <c r="AI328" s="3095"/>
      <c r="AJ328" s="3095"/>
      <c r="AK328" s="1078"/>
      <c r="AL328" s="967"/>
      <c r="AM328" s="1027"/>
      <c r="AN328" s="1000"/>
    </row>
    <row r="329" spans="1:42" s="943" customFormat="1" ht="12.75" customHeight="1">
      <c r="A329" s="1027"/>
      <c r="B329" s="3095"/>
      <c r="C329" s="3095"/>
      <c r="D329" s="3095"/>
      <c r="E329" s="3095"/>
      <c r="F329" s="3095"/>
      <c r="G329" s="3095"/>
      <c r="H329" s="3095"/>
      <c r="I329" s="3095"/>
      <c r="J329" s="3095"/>
      <c r="K329" s="3095"/>
      <c r="L329" s="3095"/>
      <c r="M329" s="3095"/>
      <c r="N329" s="3095"/>
      <c r="O329" s="3095"/>
      <c r="P329" s="3095"/>
      <c r="Q329" s="3095"/>
      <c r="R329" s="3095"/>
      <c r="S329" s="3095"/>
      <c r="T329" s="3095"/>
      <c r="U329" s="3095"/>
      <c r="V329" s="3095"/>
      <c r="W329" s="3095"/>
      <c r="X329" s="3095"/>
      <c r="Y329" s="3095"/>
      <c r="Z329" s="3095"/>
      <c r="AA329" s="3095"/>
      <c r="AB329" s="3095"/>
      <c r="AC329" s="3095"/>
      <c r="AD329" s="3095"/>
      <c r="AE329" s="3095"/>
      <c r="AF329" s="3095"/>
      <c r="AG329" s="3095"/>
      <c r="AH329" s="3095"/>
      <c r="AI329" s="3095"/>
      <c r="AJ329" s="3095"/>
      <c r="AK329" s="1078"/>
      <c r="AL329" s="967"/>
      <c r="AM329" s="1027"/>
      <c r="AN329" s="1000"/>
    </row>
    <row r="330" spans="1:42" s="943" customFormat="1" ht="12.75" customHeight="1">
      <c r="A330" s="1027"/>
      <c r="B330" s="3095"/>
      <c r="C330" s="3095"/>
      <c r="D330" s="3095"/>
      <c r="E330" s="3095"/>
      <c r="F330" s="3095"/>
      <c r="G330" s="3095"/>
      <c r="H330" s="3095"/>
      <c r="I330" s="3095"/>
      <c r="J330" s="3095"/>
      <c r="K330" s="3095"/>
      <c r="L330" s="3095"/>
      <c r="M330" s="3095"/>
      <c r="N330" s="3095"/>
      <c r="O330" s="3095"/>
      <c r="P330" s="3095"/>
      <c r="Q330" s="3095"/>
      <c r="R330" s="3095"/>
      <c r="S330" s="3095"/>
      <c r="T330" s="3095"/>
      <c r="U330" s="3095"/>
      <c r="V330" s="3095"/>
      <c r="W330" s="3095"/>
      <c r="X330" s="3095"/>
      <c r="Y330" s="3095"/>
      <c r="Z330" s="3095"/>
      <c r="AA330" s="3095"/>
      <c r="AB330" s="3095"/>
      <c r="AC330" s="3095"/>
      <c r="AD330" s="3095"/>
      <c r="AE330" s="3095"/>
      <c r="AF330" s="3095"/>
      <c r="AG330" s="3095"/>
      <c r="AH330" s="3095"/>
      <c r="AI330" s="3095"/>
      <c r="AJ330" s="3095"/>
      <c r="AK330" s="1078"/>
      <c r="AL330" s="967"/>
      <c r="AM330" s="1027"/>
      <c r="AN330" s="1000"/>
    </row>
    <row r="331" spans="1:42" s="943" customFormat="1" ht="12.75" customHeight="1">
      <c r="A331" s="1027"/>
      <c r="B331" s="3095"/>
      <c r="C331" s="3095"/>
      <c r="D331" s="3095"/>
      <c r="E331" s="3095"/>
      <c r="F331" s="3095"/>
      <c r="G331" s="3095"/>
      <c r="H331" s="3095"/>
      <c r="I331" s="3095"/>
      <c r="J331" s="3095"/>
      <c r="K331" s="3095"/>
      <c r="L331" s="3095"/>
      <c r="M331" s="3095"/>
      <c r="N331" s="3095"/>
      <c r="O331" s="3095"/>
      <c r="P331" s="3095"/>
      <c r="Q331" s="3095"/>
      <c r="R331" s="3095"/>
      <c r="S331" s="3095"/>
      <c r="T331" s="3095"/>
      <c r="U331" s="3095"/>
      <c r="V331" s="3095"/>
      <c r="W331" s="3095"/>
      <c r="X331" s="3095"/>
      <c r="Y331" s="3095"/>
      <c r="Z331" s="3095"/>
      <c r="AA331" s="3095"/>
      <c r="AB331" s="3095"/>
      <c r="AC331" s="3095"/>
      <c r="AD331" s="3095"/>
      <c r="AE331" s="3095"/>
      <c r="AF331" s="3095"/>
      <c r="AG331" s="3095"/>
      <c r="AH331" s="3095"/>
      <c r="AI331" s="3095"/>
      <c r="AJ331" s="3095"/>
      <c r="AK331" s="1078"/>
      <c r="AL331" s="967"/>
      <c r="AM331" s="1027"/>
      <c r="AN331" s="1000"/>
    </row>
    <row r="332" spans="1:42" ht="12.75" customHeight="1">
      <c r="A332" s="1027"/>
      <c r="B332" s="3095"/>
      <c r="C332" s="3095"/>
      <c r="D332" s="3095"/>
      <c r="E332" s="3095"/>
      <c r="F332" s="3095"/>
      <c r="G332" s="3095"/>
      <c r="H332" s="3095"/>
      <c r="I332" s="3095"/>
      <c r="J332" s="3095"/>
      <c r="K332" s="3095"/>
      <c r="L332" s="3095"/>
      <c r="M332" s="3095"/>
      <c r="N332" s="3095"/>
      <c r="O332" s="3095"/>
      <c r="P332" s="3095"/>
      <c r="Q332" s="3095"/>
      <c r="R332" s="3095"/>
      <c r="S332" s="3095"/>
      <c r="T332" s="3095"/>
      <c r="U332" s="3095"/>
      <c r="V332" s="3095"/>
      <c r="W332" s="3095"/>
      <c r="X332" s="3095"/>
      <c r="Y332" s="3095"/>
      <c r="Z332" s="3095"/>
      <c r="AA332" s="3095"/>
      <c r="AB332" s="3095"/>
      <c r="AC332" s="3095"/>
      <c r="AD332" s="3095"/>
      <c r="AE332" s="3095"/>
      <c r="AF332" s="3095"/>
      <c r="AG332" s="3095"/>
      <c r="AH332" s="3095"/>
      <c r="AI332" s="3095"/>
      <c r="AJ332" s="3095"/>
      <c r="AK332" s="1078"/>
      <c r="AL332" s="967"/>
      <c r="AM332" s="1027"/>
    </row>
    <row r="333" spans="1:42" s="943" customFormat="1" ht="12.75" customHeight="1">
      <c r="A333" s="1060"/>
      <c r="B333" s="3095"/>
      <c r="C333" s="3095"/>
      <c r="D333" s="3095"/>
      <c r="E333" s="3095"/>
      <c r="F333" s="3095"/>
      <c r="G333" s="3095"/>
      <c r="H333" s="3095"/>
      <c r="I333" s="3095"/>
      <c r="J333" s="3095"/>
      <c r="K333" s="3095"/>
      <c r="L333" s="3095"/>
      <c r="M333" s="3095"/>
      <c r="N333" s="3095"/>
      <c r="O333" s="3095"/>
      <c r="P333" s="3095"/>
      <c r="Q333" s="3095"/>
      <c r="R333" s="3095"/>
      <c r="S333" s="3095"/>
      <c r="T333" s="3095"/>
      <c r="U333" s="3095"/>
      <c r="V333" s="3095"/>
      <c r="W333" s="3095"/>
      <c r="X333" s="3095"/>
      <c r="Y333" s="3095"/>
      <c r="Z333" s="3095"/>
      <c r="AA333" s="3095"/>
      <c r="AB333" s="3095"/>
      <c r="AC333" s="3095"/>
      <c r="AD333" s="3095"/>
      <c r="AE333" s="3095"/>
      <c r="AF333" s="3095"/>
      <c r="AG333" s="3095"/>
      <c r="AH333" s="3095"/>
      <c r="AI333" s="3095"/>
      <c r="AJ333" s="3095"/>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6"/>
      <c r="E338" s="1595"/>
      <c r="F338" s="1595"/>
      <c r="G338" s="1595"/>
      <c r="H338" s="1595"/>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927"/>
      <c r="AG338" s="927"/>
      <c r="AH338" s="927"/>
      <c r="AI338" s="927"/>
      <c r="AJ338" s="927"/>
      <c r="AK338" s="927"/>
      <c r="AL338" s="927"/>
      <c r="AM338" s="1026"/>
      <c r="AN338" s="1000"/>
    </row>
    <row r="339" spans="1:42" s="943" customFormat="1" ht="12.75" customHeight="1">
      <c r="A339" s="1060"/>
      <c r="B339" s="927"/>
      <c r="C339" s="927"/>
      <c r="D339" s="1106" t="s">
        <v>725</v>
      </c>
      <c r="E339" s="1634"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47" t="s">
        <v>1609</v>
      </c>
      <c r="AG339" s="3047"/>
      <c r="AH339" s="3047"/>
      <c r="AI339" s="3047"/>
      <c r="AJ339" s="3047"/>
      <c r="AK339" s="3047"/>
      <c r="AL339" s="3047"/>
      <c r="AM339" s="1026"/>
      <c r="AN339" s="1000"/>
    </row>
    <row r="340" spans="1:42" s="943" customFormat="1" ht="12.75" customHeight="1">
      <c r="A340" s="1026"/>
      <c r="B340" s="1006"/>
      <c r="C340" s="1035"/>
      <c r="D340" s="1106"/>
      <c r="E340" s="1634"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4"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4"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4"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4"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4"/>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5"/>
      <c r="D346" s="1106" t="s">
        <v>542</v>
      </c>
      <c r="E346" s="1634" t="s">
        <v>2203</v>
      </c>
      <c r="F346" s="1636"/>
      <c r="G346" s="1636"/>
      <c r="H346" s="1636"/>
      <c r="I346" s="1636"/>
      <c r="J346" s="1636"/>
      <c r="K346" s="1636"/>
      <c r="L346" s="1636"/>
      <c r="M346" s="1636"/>
      <c r="N346" s="1636"/>
      <c r="O346" s="1636"/>
      <c r="P346" s="1636"/>
      <c r="Q346" s="1636"/>
      <c r="R346" s="1636"/>
      <c r="S346" s="1636"/>
      <c r="T346" s="1636"/>
      <c r="U346" s="1636"/>
      <c r="V346" s="1636"/>
      <c r="W346" s="1636"/>
      <c r="X346" s="1636"/>
      <c r="Y346" s="1636"/>
      <c r="Z346" s="1636"/>
      <c r="AA346" s="1636"/>
      <c r="AB346" s="1636"/>
      <c r="AC346" s="927"/>
      <c r="AD346" s="927"/>
      <c r="AE346" s="927"/>
      <c r="AF346" s="3047" t="s">
        <v>1675</v>
      </c>
      <c r="AG346" s="3047"/>
      <c r="AH346" s="3047"/>
      <c r="AI346" s="3047"/>
      <c r="AJ346" s="3047"/>
      <c r="AK346" s="3047"/>
      <c r="AL346" s="3047"/>
      <c r="AM346" s="1026"/>
      <c r="AN346" s="1000"/>
    </row>
    <row r="347" spans="1:42" s="943" customFormat="1" ht="12.75" customHeight="1">
      <c r="A347" s="1060"/>
      <c r="B347" s="1023"/>
      <c r="C347" s="1637"/>
      <c r="D347" s="1106"/>
      <c r="E347" s="1634" t="s">
        <v>2204</v>
      </c>
      <c r="F347" s="1636"/>
      <c r="G347" s="1636"/>
      <c r="H347" s="1636"/>
      <c r="I347" s="1636"/>
      <c r="J347" s="1636"/>
      <c r="K347" s="1636"/>
      <c r="L347" s="1636"/>
      <c r="M347" s="1636"/>
      <c r="N347" s="1636"/>
      <c r="O347" s="1636"/>
      <c r="P347" s="1636"/>
      <c r="Q347" s="1636"/>
      <c r="R347" s="1636"/>
      <c r="S347" s="1636"/>
      <c r="T347" s="1636"/>
      <c r="U347" s="1636"/>
      <c r="V347" s="1636"/>
      <c r="W347" s="1636"/>
      <c r="X347" s="1636"/>
      <c r="Y347" s="1636"/>
      <c r="Z347" s="1636"/>
      <c r="AA347" s="1636"/>
      <c r="AB347" s="1636"/>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38"/>
      <c r="D348" s="1106"/>
      <c r="E348" s="1634" t="s">
        <v>2205</v>
      </c>
      <c r="F348" s="1636"/>
      <c r="G348" s="1636"/>
      <c r="H348" s="1636"/>
      <c r="I348" s="1636"/>
      <c r="J348" s="1636"/>
      <c r="K348" s="1636"/>
      <c r="L348" s="1636"/>
      <c r="M348" s="1636"/>
      <c r="N348" s="1636"/>
      <c r="O348" s="1636"/>
      <c r="P348" s="1636"/>
      <c r="Q348" s="1636"/>
      <c r="R348" s="1636"/>
      <c r="S348" s="1636"/>
      <c r="T348" s="1636"/>
      <c r="U348" s="1636"/>
      <c r="V348" s="1636"/>
      <c r="W348" s="1636"/>
      <c r="X348" s="1636"/>
      <c r="Y348" s="1636"/>
      <c r="Z348" s="1636"/>
      <c r="AA348" s="1636"/>
      <c r="AB348" s="1636"/>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38"/>
      <c r="D349" s="1106"/>
      <c r="E349" s="1634" t="s">
        <v>2207</v>
      </c>
      <c r="F349" s="1636"/>
      <c r="G349" s="1636"/>
      <c r="H349" s="1636"/>
      <c r="I349" s="1636"/>
      <c r="J349" s="1636"/>
      <c r="K349" s="1636"/>
      <c r="L349" s="1636"/>
      <c r="M349" s="1636"/>
      <c r="N349" s="1636"/>
      <c r="O349" s="1636"/>
      <c r="P349" s="1636"/>
      <c r="Q349" s="1636"/>
      <c r="R349" s="1636"/>
      <c r="S349" s="1636"/>
      <c r="T349" s="1636"/>
      <c r="U349" s="1636"/>
      <c r="V349" s="1636"/>
      <c r="W349" s="1636"/>
      <c r="X349" s="1636"/>
      <c r="Y349" s="1636"/>
      <c r="Z349" s="1636"/>
      <c r="AA349" s="1636"/>
      <c r="AB349" s="1636"/>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38"/>
      <c r="D350" s="1106"/>
      <c r="E350" s="1634" t="s">
        <v>2206</v>
      </c>
      <c r="F350" s="1636"/>
      <c r="G350" s="1636"/>
      <c r="H350" s="1636"/>
      <c r="I350" s="1636"/>
      <c r="J350" s="1636"/>
      <c r="K350" s="1636"/>
      <c r="L350" s="1636"/>
      <c r="M350" s="1636"/>
      <c r="N350" s="1636"/>
      <c r="O350" s="1636"/>
      <c r="P350" s="1636"/>
      <c r="Q350" s="1636"/>
      <c r="R350" s="1636"/>
      <c r="S350" s="1636"/>
      <c r="T350" s="1636"/>
      <c r="U350" s="1636"/>
      <c r="V350" s="1636"/>
      <c r="W350" s="1636"/>
      <c r="X350" s="1636"/>
      <c r="Y350" s="1636"/>
      <c r="Z350" s="1636"/>
      <c r="AA350" s="1636"/>
      <c r="AB350" s="1636"/>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38"/>
      <c r="D351" s="1106"/>
      <c r="E351" s="1639"/>
      <c r="F351" s="1640"/>
      <c r="G351" s="1640"/>
      <c r="H351" s="1640"/>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5"/>
      <c r="D352" s="1106" t="s">
        <v>284</v>
      </c>
      <c r="E352" s="1634" t="s">
        <v>2208</v>
      </c>
      <c r="F352" s="1636"/>
      <c r="G352" s="1636"/>
      <c r="H352" s="1636"/>
      <c r="I352" s="1636"/>
      <c r="J352" s="1636"/>
      <c r="K352" s="1636"/>
      <c r="L352" s="1636"/>
      <c r="M352" s="1636"/>
      <c r="N352" s="1636"/>
      <c r="O352" s="1636"/>
      <c r="P352" s="1636"/>
      <c r="Q352" s="1636"/>
      <c r="R352" s="1636"/>
      <c r="S352" s="1636"/>
      <c r="T352" s="1636"/>
      <c r="U352" s="1636"/>
      <c r="V352" s="1636"/>
      <c r="W352" s="1636"/>
      <c r="X352" s="1636"/>
      <c r="Y352" s="1636"/>
      <c r="Z352" s="1636"/>
      <c r="AA352" s="1636"/>
      <c r="AB352" s="1636"/>
      <c r="AC352" s="927"/>
      <c r="AD352" s="927"/>
      <c r="AE352" s="927"/>
      <c r="AF352" s="3047" t="s">
        <v>1649</v>
      </c>
      <c r="AG352" s="3047"/>
      <c r="AH352" s="3047"/>
      <c r="AI352" s="3047"/>
      <c r="AJ352" s="3047"/>
      <c r="AK352" s="3047"/>
      <c r="AL352" s="3047"/>
      <c r="AM352" s="1026"/>
      <c r="AN352" s="1000"/>
      <c r="AO352" s="1118" t="s">
        <v>1677</v>
      </c>
      <c r="AP352" s="943">
        <v>3</v>
      </c>
    </row>
    <row r="353" spans="1:53" s="943" customFormat="1" ht="12.75" customHeight="1">
      <c r="A353" s="1060"/>
      <c r="B353" s="1023"/>
      <c r="C353" s="1637"/>
      <c r="D353" s="1106"/>
      <c r="E353" s="1634" t="s">
        <v>2204</v>
      </c>
      <c r="F353" s="1636"/>
      <c r="G353" s="1636"/>
      <c r="H353" s="1636"/>
      <c r="I353" s="1636"/>
      <c r="J353" s="1636"/>
      <c r="K353" s="1636"/>
      <c r="L353" s="1636"/>
      <c r="M353" s="1636"/>
      <c r="N353" s="1636"/>
      <c r="O353" s="1636"/>
      <c r="P353" s="1636"/>
      <c r="Q353" s="1636"/>
      <c r="R353" s="1636"/>
      <c r="S353" s="1636"/>
      <c r="T353" s="1636"/>
      <c r="U353" s="1636"/>
      <c r="V353" s="1636"/>
      <c r="W353" s="1636"/>
      <c r="X353" s="1636"/>
      <c r="Y353" s="1636"/>
      <c r="Z353" s="1636"/>
      <c r="AA353" s="1636"/>
      <c r="AB353" s="1636"/>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7"/>
      <c r="D354" s="1106"/>
      <c r="E354" s="1634" t="s">
        <v>2205</v>
      </c>
      <c r="F354" s="1636"/>
      <c r="G354" s="1636"/>
      <c r="H354" s="1636"/>
      <c r="I354" s="1636"/>
      <c r="J354" s="1636"/>
      <c r="K354" s="1636"/>
      <c r="L354" s="1636"/>
      <c r="M354" s="1636"/>
      <c r="N354" s="1636"/>
      <c r="O354" s="1636"/>
      <c r="P354" s="1636"/>
      <c r="Q354" s="1636"/>
      <c r="R354" s="1636"/>
      <c r="S354" s="1636"/>
      <c r="T354" s="1636"/>
      <c r="U354" s="1636"/>
      <c r="V354" s="1636"/>
      <c r="W354" s="1636"/>
      <c r="X354" s="1636"/>
      <c r="Y354" s="1636"/>
      <c r="Z354" s="1636"/>
      <c r="AA354" s="1636"/>
      <c r="AB354" s="1636"/>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7"/>
      <c r="D355" s="1106"/>
      <c r="E355" s="1634" t="s">
        <v>2207</v>
      </c>
      <c r="F355" s="1636"/>
      <c r="G355" s="1636"/>
      <c r="H355" s="1636"/>
      <c r="I355" s="1636"/>
      <c r="J355" s="1636"/>
      <c r="K355" s="1636"/>
      <c r="L355" s="1636"/>
      <c r="M355" s="1636"/>
      <c r="N355" s="1636"/>
      <c r="O355" s="1636"/>
      <c r="P355" s="1636"/>
      <c r="Q355" s="1636"/>
      <c r="R355" s="1636"/>
      <c r="S355" s="1636"/>
      <c r="T355" s="1636"/>
      <c r="U355" s="1636"/>
      <c r="V355" s="1636"/>
      <c r="W355" s="1636"/>
      <c r="X355" s="1636"/>
      <c r="Y355" s="1636"/>
      <c r="Z355" s="1636"/>
      <c r="AA355" s="1636"/>
      <c r="AB355" s="1636"/>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7"/>
      <c r="D356" s="1106"/>
      <c r="E356" s="1634" t="s">
        <v>2206</v>
      </c>
      <c r="F356" s="1636"/>
      <c r="G356" s="1636"/>
      <c r="H356" s="1636"/>
      <c r="I356" s="1636"/>
      <c r="J356" s="1636"/>
      <c r="K356" s="1636"/>
      <c r="L356" s="1636"/>
      <c r="M356" s="1636"/>
      <c r="N356" s="1636"/>
      <c r="O356" s="1636"/>
      <c r="P356" s="1636"/>
      <c r="Q356" s="1636"/>
      <c r="R356" s="1636"/>
      <c r="S356" s="1636"/>
      <c r="T356" s="1636"/>
      <c r="U356" s="1636"/>
      <c r="V356" s="1636"/>
      <c r="W356" s="1636"/>
      <c r="X356" s="1636"/>
      <c r="Y356" s="1636"/>
      <c r="Z356" s="1636"/>
      <c r="AA356" s="1636"/>
      <c r="AB356" s="1636"/>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5"/>
      <c r="D358" s="1106" t="s">
        <v>1676</v>
      </c>
      <c r="E358" s="1634" t="s">
        <v>2209</v>
      </c>
      <c r="F358" s="1636"/>
      <c r="G358" s="1636"/>
      <c r="H358" s="1636"/>
      <c r="I358" s="1636"/>
      <c r="J358" s="1636"/>
      <c r="K358" s="1636"/>
      <c r="L358" s="1636"/>
      <c r="M358" s="1636"/>
      <c r="N358" s="1636"/>
      <c r="O358" s="1636"/>
      <c r="P358" s="1636"/>
      <c r="Q358" s="1636"/>
      <c r="R358" s="1636"/>
      <c r="S358" s="1636"/>
      <c r="T358" s="1636"/>
      <c r="U358" s="1636"/>
      <c r="V358" s="1636"/>
      <c r="W358" s="1636"/>
      <c r="X358" s="1636"/>
      <c r="Y358" s="1636"/>
      <c r="Z358" s="1636"/>
      <c r="AA358" s="1636"/>
      <c r="AB358" s="1636"/>
      <c r="AC358" s="927"/>
      <c r="AD358" s="927"/>
      <c r="AE358" s="927"/>
      <c r="AF358" s="3047" t="s">
        <v>1678</v>
      </c>
      <c r="AG358" s="3047"/>
      <c r="AH358" s="3047"/>
      <c r="AI358" s="3047"/>
      <c r="AJ358" s="3047"/>
      <c r="AK358" s="3047"/>
      <c r="AL358" s="3047"/>
      <c r="AM358" s="1026"/>
      <c r="AN358" s="1000"/>
      <c r="AO358" s="943" t="str">
        <f>X395</f>
        <v>N/A</v>
      </c>
    </row>
    <row r="359" spans="1:53" s="943" customFormat="1" ht="12.75" customHeight="1">
      <c r="A359" s="1060"/>
      <c r="B359" s="1023"/>
      <c r="C359" s="1637"/>
      <c r="D359" s="1106"/>
      <c r="E359" s="1634" t="s">
        <v>2210</v>
      </c>
      <c r="F359" s="1636"/>
      <c r="G359" s="1636"/>
      <c r="H359" s="1636"/>
      <c r="I359" s="1636"/>
      <c r="J359" s="1636"/>
      <c r="K359" s="1636"/>
      <c r="L359" s="1636"/>
      <c r="M359" s="1636"/>
      <c r="N359" s="1636"/>
      <c r="O359" s="1636"/>
      <c r="P359" s="1636"/>
      <c r="Q359" s="1636"/>
      <c r="R359" s="1636"/>
      <c r="S359" s="1636"/>
      <c r="T359" s="1636"/>
      <c r="U359" s="1636"/>
      <c r="V359" s="1636"/>
      <c r="W359" s="1636"/>
      <c r="X359" s="1636"/>
      <c r="Y359" s="1636"/>
      <c r="Z359" s="1636"/>
      <c r="AA359" s="1636"/>
      <c r="AB359" s="1636"/>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38"/>
      <c r="D360" s="1106"/>
      <c r="E360" s="1634" t="s">
        <v>2211</v>
      </c>
      <c r="F360" s="1636"/>
      <c r="G360" s="1636"/>
      <c r="H360" s="1636"/>
      <c r="I360" s="1636"/>
      <c r="J360" s="1636"/>
      <c r="K360" s="1636"/>
      <c r="L360" s="1636"/>
      <c r="M360" s="1636"/>
      <c r="N360" s="1636"/>
      <c r="O360" s="1636"/>
      <c r="P360" s="1636"/>
      <c r="Q360" s="1636"/>
      <c r="R360" s="1636"/>
      <c r="S360" s="1636"/>
      <c r="T360" s="1636"/>
      <c r="U360" s="1636"/>
      <c r="V360" s="1636"/>
      <c r="W360" s="1636"/>
      <c r="X360" s="1636"/>
      <c r="Y360" s="1636"/>
      <c r="Z360" s="1636"/>
      <c r="AA360" s="1636"/>
      <c r="AB360" s="1636"/>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38"/>
      <c r="D361" s="1106"/>
      <c r="E361" s="1634"/>
      <c r="F361" s="1636"/>
      <c r="G361" s="1636"/>
      <c r="H361" s="1636"/>
      <c r="I361" s="1636"/>
      <c r="J361" s="1636"/>
      <c r="K361" s="1636"/>
      <c r="L361" s="1636"/>
      <c r="M361" s="1636"/>
      <c r="N361" s="1636"/>
      <c r="O361" s="1636"/>
      <c r="P361" s="1636"/>
      <c r="Q361" s="1636"/>
      <c r="R361" s="1636"/>
      <c r="S361" s="1636"/>
      <c r="T361" s="1636"/>
      <c r="U361" s="1636"/>
      <c r="V361" s="1636"/>
      <c r="W361" s="1636"/>
      <c r="X361" s="1636"/>
      <c r="Y361" s="1636"/>
      <c r="Z361" s="1636"/>
      <c r="AA361" s="1636"/>
      <c r="AB361" s="1636"/>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38"/>
      <c r="D362" s="1106"/>
      <c r="E362" s="927" t="s">
        <v>2396</v>
      </c>
      <c r="O362" s="3117" t="s">
        <v>1384</v>
      </c>
      <c r="P362" s="3117"/>
      <c r="Q362" s="3117"/>
      <c r="R362" s="3117"/>
      <c r="S362" s="3117"/>
      <c r="T362" s="3117"/>
      <c r="U362" s="3117"/>
      <c r="V362" s="3117"/>
      <c r="W362" s="3117"/>
      <c r="X362" s="3117"/>
      <c r="Y362" s="3117"/>
      <c r="Z362" s="3117"/>
      <c r="AA362" s="3117"/>
      <c r="AB362" s="3117"/>
      <c r="AH362" s="1023"/>
      <c r="AI362" s="1023"/>
      <c r="AJ362" s="1023"/>
      <c r="AK362" s="1023"/>
      <c r="AL362" s="1023"/>
      <c r="AM362" s="1026"/>
      <c r="AN362" s="1000"/>
    </row>
    <row r="363" spans="1:53" s="943" customFormat="1" ht="12.75" customHeight="1">
      <c r="A363" s="1060"/>
      <c r="B363" s="1024"/>
      <c r="C363" s="1638"/>
      <c r="D363" s="1106"/>
      <c r="E363" s="1634"/>
      <c r="F363" s="1636"/>
      <c r="G363" s="1636"/>
      <c r="H363" s="1636"/>
      <c r="I363" s="1636"/>
      <c r="J363" s="1636"/>
      <c r="K363" s="1636"/>
      <c r="L363" s="1636"/>
      <c r="M363" s="1636"/>
      <c r="N363" s="1636"/>
      <c r="O363" s="1636"/>
      <c r="P363" s="1636"/>
      <c r="Q363" s="1636"/>
      <c r="R363" s="1636"/>
      <c r="S363" s="1636"/>
      <c r="T363" s="1636"/>
      <c r="U363" s="1636"/>
      <c r="V363" s="1636"/>
      <c r="W363" s="1636"/>
      <c r="X363" s="1636"/>
      <c r="Y363" s="1636"/>
      <c r="Z363" s="1636"/>
      <c r="AA363" s="1636"/>
      <c r="AB363" s="1636"/>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5"/>
      <c r="D364" s="1106" t="s">
        <v>1677</v>
      </c>
      <c r="E364" s="1634" t="s">
        <v>2213</v>
      </c>
      <c r="F364" s="1636"/>
      <c r="G364" s="1636"/>
      <c r="H364" s="1636"/>
      <c r="I364" s="1636"/>
      <c r="J364" s="1636"/>
      <c r="K364" s="1636"/>
      <c r="L364" s="1636"/>
      <c r="M364" s="1636"/>
      <c r="N364" s="1636"/>
      <c r="O364" s="1636"/>
      <c r="P364" s="1636"/>
      <c r="Q364" s="1636"/>
      <c r="R364" s="1636"/>
      <c r="S364" s="1636"/>
      <c r="T364" s="1636"/>
      <c r="U364" s="1636"/>
      <c r="V364" s="1636"/>
      <c r="W364" s="1636"/>
      <c r="X364" s="1636"/>
      <c r="Y364" s="1636"/>
      <c r="Z364" s="1636"/>
      <c r="AA364" s="1636"/>
      <c r="AB364" s="1636"/>
      <c r="AC364" s="927"/>
      <c r="AD364" s="927"/>
      <c r="AE364" s="930"/>
      <c r="AF364" s="3047" t="s">
        <v>1623</v>
      </c>
      <c r="AG364" s="3047"/>
      <c r="AH364" s="3047"/>
      <c r="AI364" s="3047"/>
      <c r="AJ364" s="3047"/>
      <c r="AK364" s="3047"/>
      <c r="AL364" s="3047"/>
      <c r="AM364" s="1026"/>
      <c r="AN364" s="1001"/>
    </row>
    <row r="365" spans="1:53" s="943" customFormat="1" ht="12.75" customHeight="1">
      <c r="A365" s="1060"/>
      <c r="B365" s="1006"/>
      <c r="C365" s="1635"/>
      <c r="D365" s="1106"/>
      <c r="E365" s="1634" t="s">
        <v>2212</v>
      </c>
      <c r="F365" s="1636"/>
      <c r="G365" s="1636"/>
      <c r="H365" s="1636"/>
      <c r="I365" s="1636"/>
      <c r="J365" s="1636"/>
      <c r="K365" s="1636"/>
      <c r="L365" s="1636"/>
      <c r="M365" s="1636"/>
      <c r="N365" s="1636"/>
      <c r="O365" s="1636"/>
      <c r="P365" s="1636"/>
      <c r="Q365" s="1636"/>
      <c r="R365" s="1636"/>
      <c r="S365" s="1636"/>
      <c r="T365" s="1636"/>
      <c r="U365" s="1636"/>
      <c r="V365" s="1636"/>
      <c r="W365" s="1636"/>
      <c r="X365" s="1636"/>
      <c r="Y365" s="1636"/>
      <c r="Z365" s="1636"/>
      <c r="AA365" s="1636"/>
      <c r="AB365" s="1636"/>
      <c r="AC365" s="927"/>
      <c r="AD365" s="927"/>
      <c r="AE365" s="1594"/>
      <c r="AF365" s="927"/>
      <c r="AG365" s="927"/>
      <c r="AH365" s="927"/>
      <c r="AI365" s="927"/>
      <c r="AJ365" s="927"/>
      <c r="AK365" s="927"/>
      <c r="AL365" s="927"/>
      <c r="AM365" s="1026"/>
      <c r="AN365" s="1000"/>
    </row>
    <row r="366" spans="1:53" s="943" customFormat="1" ht="12.75" customHeight="1">
      <c r="A366" s="1060"/>
      <c r="B366" s="1023"/>
      <c r="C366" s="1637"/>
      <c r="D366" s="1023"/>
      <c r="E366" s="1035"/>
      <c r="F366" s="1641"/>
      <c r="G366" s="1641"/>
      <c r="H366" s="1641"/>
      <c r="I366" s="1641"/>
      <c r="J366" s="1641"/>
      <c r="K366" s="1641"/>
      <c r="L366" s="1641"/>
      <c r="M366" s="1641"/>
      <c r="N366" s="1641"/>
      <c r="O366" s="1641"/>
      <c r="P366" s="1641"/>
      <c r="Q366" s="1641"/>
      <c r="R366" s="1641"/>
      <c r="S366" s="1641"/>
      <c r="T366" s="1641"/>
      <c r="U366" s="1641"/>
      <c r="V366" s="1641"/>
      <c r="W366" s="1641"/>
      <c r="X366" s="1641"/>
      <c r="Y366" s="1641"/>
      <c r="Z366" s="1641"/>
      <c r="AA366" s="1641"/>
      <c r="AB366" s="1641"/>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7"/>
      <c r="D367" s="1023" t="s">
        <v>1679</v>
      </c>
      <c r="E367" s="1641"/>
      <c r="F367" s="1641"/>
      <c r="G367" s="1641"/>
      <c r="H367" s="3114" t="s">
        <v>1677</v>
      </c>
      <c r="I367" s="3114"/>
      <c r="J367" s="1641"/>
      <c r="K367" s="1641"/>
      <c r="L367" s="1641"/>
      <c r="M367" s="1641"/>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7"/>
      <c r="D368" s="1023"/>
      <c r="E368" s="1641"/>
      <c r="F368" s="1641"/>
      <c r="G368" s="1641"/>
      <c r="H368" s="1641"/>
      <c r="I368" s="1641"/>
      <c r="J368" s="1641"/>
      <c r="K368" s="1641"/>
      <c r="L368" s="1641"/>
      <c r="M368" s="1641"/>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7"/>
      <c r="D369" s="1023"/>
      <c r="E369" s="1641"/>
      <c r="F369" s="1641"/>
      <c r="G369" s="1641"/>
      <c r="H369" s="1641"/>
      <c r="I369" s="1641"/>
      <c r="J369" s="1641"/>
      <c r="K369" s="1641"/>
      <c r="L369" s="1641"/>
      <c r="M369" s="1641"/>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7"/>
      <c r="D370" s="1023" t="s">
        <v>2214</v>
      </c>
      <c r="E370" s="1641"/>
      <c r="F370" s="1641"/>
      <c r="G370" s="1641"/>
      <c r="H370" s="1641"/>
      <c r="I370" s="1641"/>
      <c r="J370" s="1641"/>
      <c r="K370" s="1641"/>
      <c r="L370" s="1641"/>
      <c r="M370" s="1641"/>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7"/>
      <c r="D371" s="1023" t="s">
        <v>2215</v>
      </c>
      <c r="E371" s="1641"/>
      <c r="F371" s="1641"/>
      <c r="G371" s="1641"/>
      <c r="H371" s="1641"/>
      <c r="I371" s="1641"/>
      <c r="J371" s="1641"/>
      <c r="K371" s="1641"/>
      <c r="L371" s="1641"/>
      <c r="M371" s="1641"/>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7"/>
      <c r="D372" s="1023" t="s">
        <v>2216</v>
      </c>
      <c r="E372" s="1641"/>
      <c r="F372" s="1641"/>
      <c r="G372" s="1641"/>
      <c r="H372" s="1641"/>
      <c r="I372" s="1641"/>
      <c r="J372" s="1641"/>
      <c r="K372" s="1641"/>
      <c r="L372" s="1641"/>
      <c r="M372" s="1641"/>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7"/>
      <c r="D373" s="1016" t="s">
        <v>2217</v>
      </c>
      <c r="E373" s="1641"/>
      <c r="F373" s="1641"/>
      <c r="G373" s="1641"/>
      <c r="H373" s="1641"/>
      <c r="I373" s="1641"/>
      <c r="J373" s="1641"/>
      <c r="K373" s="1641"/>
      <c r="L373" s="1641"/>
      <c r="M373" s="1641"/>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7"/>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7"/>
      <c r="D375" s="1023"/>
      <c r="E375" s="1023" t="s">
        <v>1679</v>
      </c>
      <c r="F375" s="1641"/>
      <c r="G375" s="1641"/>
      <c r="I375" s="3116" t="s">
        <v>626</v>
      </c>
      <c r="J375" s="3116"/>
      <c r="K375" s="3116"/>
      <c r="L375" s="3116"/>
      <c r="M375" s="3116"/>
      <c r="N375" s="3116"/>
      <c r="O375" s="3116"/>
      <c r="P375" s="3116"/>
      <c r="Q375" s="3116"/>
      <c r="R375" s="3116"/>
      <c r="S375" s="3116"/>
      <c r="T375" s="3116"/>
      <c r="U375" s="3116"/>
      <c r="V375" s="3116"/>
      <c r="W375" s="3116"/>
      <c r="X375" s="3116"/>
      <c r="Y375" s="3116"/>
      <c r="Z375" s="3116"/>
      <c r="AA375" s="3116"/>
      <c r="AB375" s="3116"/>
      <c r="AC375" s="3116"/>
      <c r="AD375" s="3116"/>
      <c r="AE375" s="3116"/>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2"/>
      <c r="AG376" s="1642"/>
      <c r="AH376" s="1642"/>
      <c r="AI376" s="1642"/>
      <c r="AJ376" s="1642"/>
      <c r="AK376" s="1642"/>
      <c r="AL376" s="1642"/>
      <c r="AM376" s="943"/>
      <c r="AN376" s="1001"/>
      <c r="AO376" s="943" t="s">
        <v>1681</v>
      </c>
      <c r="AP376" s="943">
        <v>2</v>
      </c>
    </row>
    <row r="377" spans="1:46" s="943" customFormat="1" ht="12.75" customHeight="1">
      <c r="A377" s="1060"/>
      <c r="B377" s="2998" t="s">
        <v>626</v>
      </c>
      <c r="C377" s="2998"/>
      <c r="D377" s="1642"/>
      <c r="E377" s="3095" t="s">
        <v>1682</v>
      </c>
      <c r="F377" s="3095"/>
      <c r="G377" s="3095"/>
      <c r="H377" s="3095"/>
      <c r="I377" s="3095"/>
      <c r="J377" s="3095"/>
      <c r="K377" s="3095"/>
      <c r="L377" s="3095"/>
      <c r="M377" s="3095"/>
      <c r="N377" s="3095"/>
      <c r="O377" s="3095"/>
      <c r="P377" s="3095"/>
      <c r="Q377" s="3095"/>
      <c r="R377" s="3095"/>
      <c r="S377" s="3095"/>
      <c r="T377" s="3095"/>
      <c r="U377" s="3095"/>
      <c r="V377" s="3095"/>
      <c r="W377" s="3095"/>
      <c r="X377" s="3095"/>
      <c r="Y377" s="3095"/>
      <c r="Z377" s="3095"/>
      <c r="AA377" s="3095"/>
      <c r="AB377" s="3095"/>
      <c r="AC377" s="3095"/>
      <c r="AD377" s="3095"/>
      <c r="AE377" s="3095"/>
      <c r="AF377" s="3095"/>
      <c r="AG377" s="3095"/>
      <c r="AH377" s="1642"/>
      <c r="AI377" s="1642"/>
      <c r="AJ377" s="1642"/>
      <c r="AK377" s="1642"/>
      <c r="AL377" s="1642"/>
      <c r="AN377" s="1000"/>
    </row>
    <row r="378" spans="1:46" s="943" customFormat="1" ht="12.75" customHeight="1">
      <c r="A378" s="1060"/>
      <c r="B378" s="1023"/>
      <c r="C378" s="1637"/>
      <c r="D378" s="1642"/>
      <c r="E378" s="3095"/>
      <c r="F378" s="3095"/>
      <c r="G378" s="3095"/>
      <c r="H378" s="3095"/>
      <c r="I378" s="3095"/>
      <c r="J378" s="3095"/>
      <c r="K378" s="3095"/>
      <c r="L378" s="3095"/>
      <c r="M378" s="3095"/>
      <c r="N378" s="3095"/>
      <c r="O378" s="3095"/>
      <c r="P378" s="3095"/>
      <c r="Q378" s="3095"/>
      <c r="R378" s="3095"/>
      <c r="S378" s="3095"/>
      <c r="T378" s="3095"/>
      <c r="U378" s="3095"/>
      <c r="V378" s="3095"/>
      <c r="W378" s="3095"/>
      <c r="X378" s="3095"/>
      <c r="Y378" s="3095"/>
      <c r="Z378" s="3095"/>
      <c r="AA378" s="3095"/>
      <c r="AB378" s="3095"/>
      <c r="AC378" s="3095"/>
      <c r="AD378" s="3095"/>
      <c r="AE378" s="3095"/>
      <c r="AF378" s="3095"/>
      <c r="AG378" s="3095"/>
      <c r="AH378" s="1642"/>
      <c r="AI378" s="1642"/>
      <c r="AJ378" s="1642"/>
      <c r="AK378" s="1642"/>
      <c r="AL378" s="1642"/>
      <c r="AN378" s="1000"/>
    </row>
    <row r="379" spans="1:46" s="943" customFormat="1" ht="12.75" customHeight="1">
      <c r="A379" s="1060"/>
      <c r="B379" s="1023"/>
      <c r="C379" s="1637"/>
      <c r="D379" s="1642"/>
      <c r="E379" s="3095"/>
      <c r="F379" s="3095"/>
      <c r="G379" s="3095"/>
      <c r="H379" s="3095"/>
      <c r="I379" s="3095"/>
      <c r="J379" s="3095"/>
      <c r="K379" s="3095"/>
      <c r="L379" s="3095"/>
      <c r="M379" s="3095"/>
      <c r="N379" s="3095"/>
      <c r="O379" s="3095"/>
      <c r="P379" s="3095"/>
      <c r="Q379" s="3095"/>
      <c r="R379" s="3095"/>
      <c r="S379" s="3095"/>
      <c r="T379" s="3095"/>
      <c r="U379" s="3095"/>
      <c r="V379" s="3095"/>
      <c r="W379" s="3095"/>
      <c r="X379" s="3095"/>
      <c r="Y379" s="3095"/>
      <c r="Z379" s="3095"/>
      <c r="AA379" s="3095"/>
      <c r="AB379" s="3095"/>
      <c r="AC379" s="3095"/>
      <c r="AD379" s="3095"/>
      <c r="AE379" s="3095"/>
      <c r="AF379" s="3095"/>
      <c r="AG379" s="3095"/>
      <c r="AH379" s="1642"/>
      <c r="AI379" s="1642"/>
      <c r="AJ379" s="1642"/>
      <c r="AK379" s="1642"/>
      <c r="AL379" s="1642"/>
      <c r="AN379" s="1000"/>
    </row>
    <row r="380" spans="1:46" s="943" customFormat="1" ht="12.75" customHeight="1">
      <c r="A380" s="1060"/>
      <c r="B380" s="1023"/>
      <c r="C380" s="1637"/>
      <c r="D380" s="1644"/>
      <c r="E380" s="3095"/>
      <c r="F380" s="3095"/>
      <c r="G380" s="3095"/>
      <c r="H380" s="3095"/>
      <c r="I380" s="3095"/>
      <c r="J380" s="3095"/>
      <c r="K380" s="3095"/>
      <c r="L380" s="3095"/>
      <c r="M380" s="3095"/>
      <c r="N380" s="3095"/>
      <c r="O380" s="3095"/>
      <c r="P380" s="3095"/>
      <c r="Q380" s="3095"/>
      <c r="R380" s="3095"/>
      <c r="S380" s="3095"/>
      <c r="T380" s="3095"/>
      <c r="U380" s="3095"/>
      <c r="V380" s="3095"/>
      <c r="W380" s="3095"/>
      <c r="X380" s="3095"/>
      <c r="Y380" s="3095"/>
      <c r="Z380" s="3095"/>
      <c r="AA380" s="3095"/>
      <c r="AB380" s="3095"/>
      <c r="AC380" s="3095"/>
      <c r="AD380" s="3095"/>
      <c r="AE380" s="3095"/>
      <c r="AF380" s="3095"/>
      <c r="AG380" s="3095"/>
      <c r="AH380" s="1644"/>
      <c r="AI380" s="1644"/>
      <c r="AJ380" s="1644"/>
      <c r="AK380" s="1644"/>
      <c r="AL380" s="1644"/>
      <c r="AN380" s="1000"/>
    </row>
    <row r="381" spans="1:46" s="943" customFormat="1" ht="12.75" customHeight="1">
      <c r="A381" s="1060"/>
      <c r="B381" s="1023"/>
      <c r="C381" s="1637"/>
      <c r="D381" s="1643"/>
      <c r="E381" s="1667"/>
      <c r="F381" s="1667"/>
      <c r="G381" s="1667"/>
      <c r="H381" s="1667"/>
      <c r="I381" s="1667"/>
      <c r="J381" s="1667"/>
      <c r="K381" s="1667"/>
      <c r="L381" s="1667"/>
      <c r="M381" s="1667"/>
      <c r="N381" s="1667"/>
      <c r="O381" s="1667"/>
      <c r="P381" s="1667"/>
      <c r="Q381" s="1667"/>
      <c r="R381" s="1667"/>
      <c r="S381" s="1667"/>
      <c r="T381" s="1667"/>
      <c r="U381" s="1667"/>
      <c r="V381" s="1667"/>
      <c r="W381" s="1667"/>
      <c r="X381" s="1667"/>
      <c r="Y381" s="1667"/>
      <c r="Z381" s="1667"/>
      <c r="AA381" s="1667"/>
      <c r="AB381" s="1667"/>
      <c r="AC381" s="1667"/>
      <c r="AD381" s="1667"/>
      <c r="AE381" s="1667"/>
      <c r="AF381" s="1667"/>
      <c r="AG381" s="1667"/>
      <c r="AH381" s="1643"/>
      <c r="AI381" s="1643"/>
      <c r="AJ381" s="1643"/>
      <c r="AK381" s="1643"/>
      <c r="AL381" s="1644"/>
      <c r="AN381" s="1000"/>
    </row>
    <row r="382" spans="1:46" s="943" customFormat="1" ht="12.75" customHeight="1">
      <c r="A382" s="1071"/>
      <c r="B382" s="1019"/>
      <c r="C382" s="1645"/>
      <c r="D382" s="1019"/>
      <c r="E382" s="1646"/>
      <c r="F382" s="1646"/>
      <c r="G382" s="1646"/>
      <c r="H382" s="1646"/>
      <c r="I382" s="1646"/>
      <c r="J382" s="1646"/>
      <c r="K382" s="1646"/>
      <c r="L382" s="1646"/>
      <c r="M382" s="1646"/>
      <c r="N382" s="1646"/>
      <c r="O382" s="1646"/>
      <c r="P382" s="1646"/>
      <c r="Q382" s="1646"/>
      <c r="R382" s="1646"/>
      <c r="S382" s="1646"/>
      <c r="T382" s="1646"/>
      <c r="U382" s="1646"/>
      <c r="V382" s="1646"/>
      <c r="W382" s="1646"/>
      <c r="X382" s="1646"/>
      <c r="Y382" s="1646"/>
      <c r="Z382" s="1646"/>
      <c r="AA382" s="1646"/>
      <c r="AB382" s="1019"/>
      <c r="AC382" s="1019"/>
      <c r="AD382" s="1019"/>
      <c r="AE382" s="1019"/>
      <c r="AF382" s="1019"/>
      <c r="AG382" s="1019"/>
      <c r="AH382" s="1019"/>
      <c r="AI382" s="959" t="s">
        <v>1683</v>
      </c>
      <c r="AJ382" s="3074">
        <f>VLOOKUP($H$367,$AO$347:$AP$352,2,FALSE)+VLOOKUP($I$375,$AO$374:$AP$376,2,FALSE)</f>
        <v>3</v>
      </c>
      <c r="AK382" s="3076"/>
      <c r="AL382" s="1005"/>
      <c r="AM382" s="1122"/>
      <c r="AN382" s="1000"/>
    </row>
    <row r="383" spans="1:46" s="943" customFormat="1" ht="12.75" customHeight="1">
      <c r="A383" s="1060"/>
      <c r="B383" s="1023"/>
      <c r="C383" s="1637"/>
      <c r="D383" s="1023"/>
      <c r="E383" s="1641"/>
      <c r="F383" s="1641"/>
      <c r="G383" s="1641"/>
      <c r="H383" s="1641"/>
      <c r="I383" s="1641"/>
      <c r="J383" s="1641"/>
      <c r="K383" s="1641"/>
      <c r="L383" s="1641"/>
      <c r="M383" s="1641"/>
      <c r="N383" s="1641"/>
      <c r="O383" s="1641"/>
      <c r="P383" s="1641"/>
      <c r="Q383" s="1641"/>
      <c r="R383" s="1641"/>
      <c r="S383" s="1641"/>
      <c r="T383" s="1641"/>
      <c r="U383" s="1641"/>
      <c r="V383" s="1641"/>
      <c r="W383" s="1641"/>
      <c r="X383" s="1641"/>
      <c r="Y383" s="1641"/>
      <c r="Z383" s="1641"/>
      <c r="AA383" s="1641"/>
      <c r="AB383" s="1641"/>
      <c r="AC383" s="1023"/>
      <c r="AD383" s="1023"/>
      <c r="AE383" s="1641"/>
      <c r="AF383" s="1641"/>
      <c r="AG383" s="1641"/>
      <c r="AH383" s="1641"/>
      <c r="AI383" s="1641"/>
      <c r="AJ383" s="1641"/>
      <c r="AK383" s="1641"/>
      <c r="AL383" s="1641"/>
      <c r="AM383" s="1122"/>
      <c r="AN383" s="1000"/>
    </row>
    <row r="384" spans="1:46" s="943" customFormat="1" ht="12.75" customHeight="1">
      <c r="A384" s="1060"/>
      <c r="B384" s="1023"/>
      <c r="C384" s="986" t="s">
        <v>1684</v>
      </c>
      <c r="D384" s="1012"/>
      <c r="E384" s="1641"/>
      <c r="F384" s="1641"/>
      <c r="G384" s="1641"/>
      <c r="H384" s="1641"/>
      <c r="I384" s="1641"/>
      <c r="J384" s="1641"/>
      <c r="K384" s="1641"/>
      <c r="L384" s="1641"/>
      <c r="M384" s="1641"/>
      <c r="N384" s="1641"/>
      <c r="O384" s="1641"/>
      <c r="P384" s="1641"/>
      <c r="Q384" s="1641"/>
      <c r="R384" s="1641"/>
      <c r="S384" s="1641"/>
      <c r="T384" s="1641"/>
      <c r="U384" s="1641"/>
      <c r="V384" s="1641"/>
      <c r="W384" s="1641"/>
      <c r="X384" s="1641"/>
      <c r="Y384" s="1641"/>
      <c r="Z384" s="1641"/>
      <c r="AA384" s="1641"/>
      <c r="AB384" s="1641"/>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0"/>
      <c r="E385" s="1641"/>
      <c r="F385" s="1641"/>
      <c r="G385" s="1641"/>
      <c r="H385" s="1641"/>
      <c r="I385" s="1641"/>
      <c r="J385" s="1641"/>
      <c r="K385" s="1641"/>
      <c r="L385" s="1641"/>
      <c r="M385" s="1641"/>
      <c r="N385" s="1641"/>
      <c r="O385" s="1641"/>
      <c r="P385" s="1641"/>
      <c r="Q385" s="1641"/>
      <c r="R385" s="1641"/>
      <c r="S385" s="1641"/>
      <c r="T385" s="1641"/>
      <c r="U385" s="1641"/>
      <c r="V385" s="1641"/>
      <c r="W385" s="1641"/>
      <c r="X385" s="1641"/>
      <c r="Y385" s="1641"/>
      <c r="Z385" s="1641"/>
      <c r="AA385" s="1641"/>
      <c r="AB385" s="1641"/>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15" t="s">
        <v>2193</v>
      </c>
      <c r="F386" s="3115"/>
      <c r="G386" s="3115"/>
      <c r="H386" s="3115"/>
      <c r="I386" s="3115"/>
      <c r="J386" s="3115"/>
      <c r="K386" s="3115"/>
      <c r="L386" s="3115"/>
      <c r="M386" s="3115"/>
      <c r="N386" s="3115"/>
      <c r="O386" s="3115"/>
      <c r="P386" s="3115"/>
      <c r="Q386" s="3115"/>
      <c r="R386" s="3115"/>
      <c r="S386" s="3115"/>
      <c r="T386" s="3115"/>
      <c r="U386" s="3115"/>
      <c r="V386" s="3115"/>
      <c r="W386" s="3115"/>
      <c r="X386" s="3115"/>
      <c r="Y386" s="3115"/>
      <c r="Z386" s="3115"/>
      <c r="AA386" s="3115"/>
      <c r="AB386" s="3115"/>
      <c r="AC386" s="3115"/>
      <c r="AD386" s="3115"/>
      <c r="AE386" s="932"/>
      <c r="AF386" s="3047" t="s">
        <v>1623</v>
      </c>
      <c r="AG386" s="3047"/>
      <c r="AH386" s="3047"/>
      <c r="AI386" s="3047"/>
      <c r="AJ386" s="3047"/>
      <c r="AK386" s="3047"/>
      <c r="AL386" s="3047"/>
      <c r="AM386" s="1026"/>
      <c r="AN386" s="1125"/>
    </row>
    <row r="387" spans="1:42" s="943" customFormat="1" ht="12.75" customHeight="1">
      <c r="A387" s="1126"/>
      <c r="B387" s="1023"/>
      <c r="C387" s="1637"/>
      <c r="D387" s="1106"/>
      <c r="E387" s="3115"/>
      <c r="F387" s="3115"/>
      <c r="G387" s="3115"/>
      <c r="H387" s="3115"/>
      <c r="I387" s="3115"/>
      <c r="J387" s="3115"/>
      <c r="K387" s="3115"/>
      <c r="L387" s="3115"/>
      <c r="M387" s="3115"/>
      <c r="N387" s="3115"/>
      <c r="O387" s="3115"/>
      <c r="P387" s="3115"/>
      <c r="Q387" s="3115"/>
      <c r="R387" s="3115"/>
      <c r="S387" s="3115"/>
      <c r="T387" s="3115"/>
      <c r="U387" s="3115"/>
      <c r="V387" s="3115"/>
      <c r="W387" s="3115"/>
      <c r="X387" s="3115"/>
      <c r="Y387" s="3115"/>
      <c r="Z387" s="3115"/>
      <c r="AA387" s="3115"/>
      <c r="AB387" s="3115"/>
      <c r="AC387" s="3115"/>
      <c r="AD387" s="3115"/>
      <c r="AE387" s="1006"/>
      <c r="AF387" s="1006"/>
      <c r="AG387" s="1006"/>
      <c r="AH387" s="1006"/>
      <c r="AI387" s="1006"/>
      <c r="AJ387" s="1006"/>
      <c r="AK387" s="1006"/>
      <c r="AL387" s="1006"/>
      <c r="AM387" s="1026"/>
      <c r="AN387" s="1000"/>
    </row>
    <row r="388" spans="1:42" s="943" customFormat="1" ht="12.75" customHeight="1">
      <c r="A388" s="1060"/>
      <c r="B388" s="1023"/>
      <c r="C388" s="1638"/>
      <c r="D388" s="1106"/>
      <c r="E388" s="3115"/>
      <c r="F388" s="3115"/>
      <c r="G388" s="3115"/>
      <c r="H388" s="3115"/>
      <c r="I388" s="3115"/>
      <c r="J388" s="3115"/>
      <c r="K388" s="3115"/>
      <c r="L388" s="3115"/>
      <c r="M388" s="3115"/>
      <c r="N388" s="3115"/>
      <c r="O388" s="3115"/>
      <c r="P388" s="3115"/>
      <c r="Q388" s="3115"/>
      <c r="R388" s="3115"/>
      <c r="S388" s="3115"/>
      <c r="T388" s="3115"/>
      <c r="U388" s="3115"/>
      <c r="V388" s="3115"/>
      <c r="W388" s="3115"/>
      <c r="X388" s="3115"/>
      <c r="Y388" s="3115"/>
      <c r="Z388" s="3115"/>
      <c r="AA388" s="3115"/>
      <c r="AB388" s="3115"/>
      <c r="AC388" s="3115"/>
      <c r="AD388" s="3115"/>
      <c r="AE388" s="1006"/>
      <c r="AF388" s="1006"/>
      <c r="AG388" s="1006"/>
      <c r="AH388" s="1006"/>
      <c r="AI388" s="1006"/>
      <c r="AJ388" s="1006"/>
      <c r="AK388" s="1006"/>
      <c r="AL388" s="1006"/>
      <c r="AM388" s="1026"/>
      <c r="AN388" s="1000"/>
    </row>
    <row r="389" spans="1:42" s="943" customFormat="1" ht="12.75" customHeight="1">
      <c r="A389" s="1060"/>
      <c r="B389" s="1023"/>
      <c r="C389" s="1638"/>
      <c r="D389" s="1106"/>
      <c r="E389" s="3115"/>
      <c r="F389" s="3115"/>
      <c r="G389" s="3115"/>
      <c r="H389" s="3115"/>
      <c r="I389" s="3115"/>
      <c r="J389" s="3115"/>
      <c r="K389" s="3115"/>
      <c r="L389" s="3115"/>
      <c r="M389" s="3115"/>
      <c r="N389" s="3115"/>
      <c r="O389" s="3115"/>
      <c r="P389" s="3115"/>
      <c r="Q389" s="3115"/>
      <c r="R389" s="3115"/>
      <c r="S389" s="3115"/>
      <c r="T389" s="3115"/>
      <c r="U389" s="3115"/>
      <c r="V389" s="3115"/>
      <c r="W389" s="3115"/>
      <c r="X389" s="3115"/>
      <c r="Y389" s="3115"/>
      <c r="Z389" s="3115"/>
      <c r="AA389" s="3115"/>
      <c r="AB389" s="3115"/>
      <c r="AC389" s="3115"/>
      <c r="AD389" s="3115"/>
      <c r="AE389" s="1006"/>
      <c r="AF389" s="1006"/>
      <c r="AG389" s="1006"/>
      <c r="AH389" s="1006"/>
      <c r="AI389" s="1006"/>
      <c r="AJ389" s="1006"/>
      <c r="AK389" s="1006"/>
      <c r="AL389" s="1006"/>
      <c r="AM389" s="1026"/>
      <c r="AN389" s="1000"/>
    </row>
    <row r="390" spans="1:42" s="943" customFormat="1" ht="12.75" customHeight="1">
      <c r="A390" s="1060"/>
      <c r="B390" s="1023"/>
      <c r="C390" s="1638"/>
      <c r="D390" s="1106"/>
      <c r="E390" s="3115"/>
      <c r="F390" s="3115"/>
      <c r="G390" s="3115"/>
      <c r="H390" s="3115"/>
      <c r="I390" s="3115"/>
      <c r="J390" s="3115"/>
      <c r="K390" s="3115"/>
      <c r="L390" s="3115"/>
      <c r="M390" s="3115"/>
      <c r="N390" s="3115"/>
      <c r="O390" s="3115"/>
      <c r="P390" s="3115"/>
      <c r="Q390" s="3115"/>
      <c r="R390" s="3115"/>
      <c r="S390" s="3115"/>
      <c r="T390" s="3115"/>
      <c r="U390" s="3115"/>
      <c r="V390" s="3115"/>
      <c r="W390" s="3115"/>
      <c r="X390" s="3115"/>
      <c r="Y390" s="3115"/>
      <c r="Z390" s="3115"/>
      <c r="AA390" s="3115"/>
      <c r="AB390" s="3115"/>
      <c r="AC390" s="3115"/>
      <c r="AD390" s="3115"/>
      <c r="AE390" s="1006"/>
      <c r="AF390" s="1006"/>
      <c r="AG390" s="1006"/>
      <c r="AH390" s="1006"/>
      <c r="AI390" s="1006"/>
      <c r="AJ390" s="1006"/>
      <c r="AK390" s="1006"/>
      <c r="AL390" s="1006"/>
      <c r="AM390" s="1026"/>
      <c r="AN390" s="1000"/>
    </row>
    <row r="391" spans="1:42" s="943" customFormat="1" ht="12.75" customHeight="1">
      <c r="A391" s="1060"/>
      <c r="B391" s="1023"/>
      <c r="C391" s="1638"/>
      <c r="D391" s="1106"/>
      <c r="E391" s="3115"/>
      <c r="F391" s="3115"/>
      <c r="G391" s="3115"/>
      <c r="H391" s="3115"/>
      <c r="I391" s="3115"/>
      <c r="J391" s="3115"/>
      <c r="K391" s="3115"/>
      <c r="L391" s="3115"/>
      <c r="M391" s="3115"/>
      <c r="N391" s="3115"/>
      <c r="O391" s="3115"/>
      <c r="P391" s="3115"/>
      <c r="Q391" s="3115"/>
      <c r="R391" s="3115"/>
      <c r="S391" s="3115"/>
      <c r="T391" s="3115"/>
      <c r="U391" s="3115"/>
      <c r="V391" s="3115"/>
      <c r="W391" s="3115"/>
      <c r="X391" s="3115"/>
      <c r="Y391" s="3115"/>
      <c r="Z391" s="3115"/>
      <c r="AA391" s="3115"/>
      <c r="AB391" s="3115"/>
      <c r="AC391" s="3115"/>
      <c r="AD391" s="3115"/>
      <c r="AE391" s="1006"/>
      <c r="AF391" s="1006"/>
      <c r="AG391" s="1006"/>
      <c r="AH391" s="1006"/>
      <c r="AI391" s="1006"/>
      <c r="AJ391" s="1006"/>
      <c r="AK391" s="1006"/>
      <c r="AL391" s="1006"/>
      <c r="AM391" s="1026"/>
      <c r="AN391" s="1000"/>
    </row>
    <row r="392" spans="1:42" s="943" customFormat="1" ht="12.75" customHeight="1">
      <c r="A392" s="1119"/>
      <c r="B392" s="1035"/>
      <c r="C392" s="1647"/>
      <c r="D392" s="1106"/>
      <c r="E392" s="3115"/>
      <c r="F392" s="3115"/>
      <c r="G392" s="3115"/>
      <c r="H392" s="3115"/>
      <c r="I392" s="3115"/>
      <c r="J392" s="3115"/>
      <c r="K392" s="3115"/>
      <c r="L392" s="3115"/>
      <c r="M392" s="3115"/>
      <c r="N392" s="3115"/>
      <c r="O392" s="3115"/>
      <c r="P392" s="3115"/>
      <c r="Q392" s="3115"/>
      <c r="R392" s="3115"/>
      <c r="S392" s="3115"/>
      <c r="T392" s="3115"/>
      <c r="U392" s="3115"/>
      <c r="V392" s="3115"/>
      <c r="W392" s="3115"/>
      <c r="X392" s="3115"/>
      <c r="Y392" s="3115"/>
      <c r="Z392" s="3115"/>
      <c r="AA392" s="3115"/>
      <c r="AB392" s="3115"/>
      <c r="AC392" s="3115"/>
      <c r="AD392" s="3115"/>
      <c r="AE392" s="1035"/>
      <c r="AF392" s="1035"/>
      <c r="AG392" s="1035"/>
      <c r="AH392" s="1035"/>
      <c r="AI392" s="1035"/>
      <c r="AJ392" s="1035"/>
      <c r="AK392" s="1006"/>
      <c r="AL392" s="1006"/>
      <c r="AM392" s="1026"/>
      <c r="AN392" s="1000"/>
    </row>
    <row r="393" spans="1:42" s="943" customFormat="1" ht="12.75" customHeight="1">
      <c r="A393" s="1060"/>
      <c r="B393" s="1035"/>
      <c r="C393" s="1647"/>
      <c r="D393" s="1106"/>
      <c r="E393" s="3115"/>
      <c r="F393" s="3115"/>
      <c r="G393" s="3115"/>
      <c r="H393" s="3115"/>
      <c r="I393" s="3115"/>
      <c r="J393" s="3115"/>
      <c r="K393" s="3115"/>
      <c r="L393" s="3115"/>
      <c r="M393" s="3115"/>
      <c r="N393" s="3115"/>
      <c r="O393" s="3115"/>
      <c r="P393" s="3115"/>
      <c r="Q393" s="3115"/>
      <c r="R393" s="3115"/>
      <c r="S393" s="3115"/>
      <c r="T393" s="3115"/>
      <c r="U393" s="3115"/>
      <c r="V393" s="3115"/>
      <c r="W393" s="3115"/>
      <c r="X393" s="3115"/>
      <c r="Y393" s="3115"/>
      <c r="Z393" s="3115"/>
      <c r="AA393" s="3115"/>
      <c r="AB393" s="3115"/>
      <c r="AC393" s="3115"/>
      <c r="AD393" s="3115"/>
      <c r="AE393" s="1035"/>
      <c r="AF393" s="1035"/>
      <c r="AG393" s="1035"/>
      <c r="AH393" s="1035"/>
      <c r="AI393" s="1035"/>
      <c r="AJ393" s="1035"/>
      <c r="AK393" s="1006"/>
      <c r="AL393" s="1006"/>
      <c r="AM393" s="1026"/>
      <c r="AN393" s="1000"/>
    </row>
    <row r="394" spans="1:42" s="943" customFormat="1" ht="12" customHeight="1">
      <c r="A394" s="1060"/>
      <c r="B394" s="1035"/>
      <c r="C394" s="1647"/>
      <c r="D394" s="1106"/>
      <c r="E394" s="1666"/>
      <c r="F394" s="1666"/>
      <c r="G394" s="1666"/>
      <c r="H394" s="1666"/>
      <c r="I394" s="1666"/>
      <c r="J394" s="1666"/>
      <c r="K394" s="1666"/>
      <c r="L394" s="1666"/>
      <c r="M394" s="1666"/>
      <c r="N394" s="1666"/>
      <c r="O394" s="1666"/>
      <c r="P394" s="1666"/>
      <c r="Q394" s="1666"/>
      <c r="R394" s="1666"/>
      <c r="S394" s="1666"/>
      <c r="T394" s="1666"/>
      <c r="U394" s="1666"/>
      <c r="V394" s="1666"/>
      <c r="W394" s="1666"/>
      <c r="X394" s="1666"/>
      <c r="Y394" s="1666"/>
      <c r="Z394" s="1666"/>
      <c r="AA394" s="1666"/>
      <c r="AB394" s="1666"/>
      <c r="AC394" s="1666"/>
      <c r="AD394" s="1666"/>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5"/>
      <c r="D395" s="1106"/>
      <c r="E395" s="1035" t="s">
        <v>1685</v>
      </c>
      <c r="F395" s="1648"/>
      <c r="G395" s="1648"/>
      <c r="H395" s="1648"/>
      <c r="I395" s="1648"/>
      <c r="J395" s="1648"/>
      <c r="K395" s="1648"/>
      <c r="L395" s="1648"/>
      <c r="M395" s="1648"/>
      <c r="N395" s="1648"/>
      <c r="O395" s="1648"/>
      <c r="P395" s="1648"/>
      <c r="Q395" s="1648"/>
      <c r="R395" s="1648"/>
      <c r="U395" s="1648"/>
      <c r="V395" s="1648"/>
      <c r="W395" s="1648"/>
      <c r="X395" s="2998" t="s">
        <v>626</v>
      </c>
      <c r="Y395" s="2998"/>
      <c r="Z395" s="1648"/>
      <c r="AA395" s="1648"/>
      <c r="AB395" s="1648"/>
      <c r="AC395" s="1648"/>
      <c r="AD395" s="1648"/>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7"/>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5"/>
      <c r="D397" s="1106" t="s">
        <v>542</v>
      </c>
      <c r="E397" s="948" t="s">
        <v>1686</v>
      </c>
      <c r="F397" s="1649"/>
      <c r="G397" s="1649"/>
      <c r="H397" s="1649"/>
      <c r="I397" s="1649"/>
      <c r="J397" s="1649"/>
      <c r="K397" s="1649"/>
      <c r="L397" s="1649"/>
      <c r="M397" s="1649"/>
      <c r="N397" s="1649"/>
      <c r="O397" s="1649"/>
      <c r="P397" s="1649"/>
      <c r="Q397" s="1649"/>
      <c r="R397" s="1649"/>
      <c r="S397" s="1649"/>
      <c r="T397" s="1649"/>
      <c r="U397" s="927"/>
      <c r="V397" s="927"/>
      <c r="W397" s="1649"/>
      <c r="X397" s="1649"/>
      <c r="Y397" s="1649"/>
      <c r="Z397" s="1649"/>
      <c r="AA397" s="1649"/>
      <c r="AB397" s="1649"/>
      <c r="AC397" s="927"/>
      <c r="AD397" s="927"/>
      <c r="AE397" s="927"/>
      <c r="AF397" s="3047" t="s">
        <v>1687</v>
      </c>
      <c r="AG397" s="3047"/>
      <c r="AH397" s="3047"/>
      <c r="AI397" s="3047"/>
      <c r="AJ397" s="3047"/>
      <c r="AK397" s="3047"/>
      <c r="AL397" s="3047"/>
      <c r="AM397" s="1026"/>
      <c r="AN397" s="1000"/>
      <c r="AO397" s="1118" t="s">
        <v>284</v>
      </c>
      <c r="AP397" s="943">
        <v>3</v>
      </c>
    </row>
    <row r="398" spans="1:42" s="1002" customFormat="1" ht="12.75" customHeight="1">
      <c r="A398" s="1060"/>
      <c r="B398" s="1006"/>
      <c r="C398" s="1635"/>
      <c r="D398" s="1023"/>
      <c r="E398" s="930"/>
      <c r="F398" s="1649"/>
      <c r="G398" s="1649"/>
      <c r="H398" s="1649"/>
      <c r="I398" s="1649"/>
      <c r="J398" s="1649"/>
      <c r="K398" s="1649"/>
      <c r="L398" s="1649"/>
      <c r="M398" s="1649"/>
      <c r="N398" s="1649"/>
      <c r="O398" s="1649"/>
      <c r="P398" s="1649"/>
      <c r="Q398" s="1649"/>
      <c r="R398" s="1649"/>
      <c r="S398" s="1649"/>
      <c r="T398" s="1649"/>
      <c r="U398" s="927"/>
      <c r="V398" s="930"/>
      <c r="W398" s="930"/>
      <c r="X398" s="1649"/>
      <c r="Y398" s="1649"/>
      <c r="Z398" s="1649"/>
      <c r="AA398" s="1649"/>
      <c r="AB398" s="1649"/>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5"/>
      <c r="D399" s="1023" t="s">
        <v>1679</v>
      </c>
      <c r="E399" s="1641"/>
      <c r="F399" s="1641"/>
      <c r="G399" s="1641"/>
      <c r="H399" s="3114" t="s">
        <v>725</v>
      </c>
      <c r="I399" s="3114"/>
      <c r="J399" s="1649"/>
      <c r="K399" s="1649"/>
      <c r="L399" s="1649"/>
      <c r="M399" s="1649"/>
      <c r="N399" s="1649"/>
      <c r="O399" s="1649"/>
      <c r="P399" s="1649"/>
      <c r="Q399" s="1649"/>
      <c r="R399" s="1649"/>
      <c r="S399" s="1649"/>
      <c r="T399" s="1649"/>
      <c r="U399" s="1641"/>
      <c r="V399" s="1641"/>
      <c r="W399" s="1641"/>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5"/>
      <c r="D400" s="927"/>
      <c r="E400" s="1641"/>
      <c r="F400" s="1649"/>
      <c r="G400" s="1649"/>
      <c r="H400" s="1649"/>
      <c r="I400" s="1650"/>
      <c r="J400" s="1649"/>
      <c r="K400" s="1649"/>
      <c r="L400" s="1649"/>
      <c r="M400" s="1649"/>
      <c r="N400" s="1649"/>
      <c r="O400" s="1649"/>
      <c r="P400" s="1649"/>
      <c r="Q400" s="1649"/>
      <c r="R400" s="927"/>
      <c r="S400" s="927"/>
      <c r="T400" s="1649"/>
      <c r="U400" s="1641"/>
      <c r="V400" s="1641"/>
      <c r="W400" s="1641"/>
      <c r="X400" s="1641"/>
      <c r="Y400" s="1641"/>
      <c r="Z400" s="1641"/>
      <c r="AA400" s="1641"/>
      <c r="AB400" s="1641"/>
      <c r="AC400" s="1023"/>
      <c r="AD400" s="1023"/>
      <c r="AE400" s="1023"/>
      <c r="AF400" s="1023"/>
      <c r="AG400" s="1023"/>
      <c r="AH400" s="1023"/>
      <c r="AI400" s="1649"/>
      <c r="AJ400" s="1649"/>
      <c r="AK400" s="1649"/>
      <c r="AL400" s="1649"/>
      <c r="AM400" s="1129"/>
      <c r="AN400" s="1000"/>
      <c r="AO400" s="1118" t="s">
        <v>1688</v>
      </c>
      <c r="AP400" s="943">
        <v>2</v>
      </c>
    </row>
    <row r="401" spans="1:42" s="943" customFormat="1" ht="12.75" customHeight="1">
      <c r="A401" s="1071"/>
      <c r="B401" s="1009"/>
      <c r="C401" s="1651"/>
      <c r="D401" s="1019"/>
      <c r="E401" s="1646"/>
      <c r="F401" s="1646"/>
      <c r="G401" s="1652"/>
      <c r="H401" s="1652"/>
      <c r="I401" s="1652"/>
      <c r="J401" s="1652"/>
      <c r="K401" s="1652"/>
      <c r="L401" s="1652"/>
      <c r="M401" s="1652"/>
      <c r="N401" s="1652"/>
      <c r="O401" s="1652"/>
      <c r="P401" s="1652"/>
      <c r="Q401" s="1652"/>
      <c r="R401" s="1652"/>
      <c r="S401" s="1652"/>
      <c r="T401" s="1646"/>
      <c r="U401" s="1646"/>
      <c r="V401" s="1646"/>
      <c r="W401" s="1646"/>
      <c r="X401" s="1646"/>
      <c r="Y401" s="1646"/>
      <c r="Z401" s="1646"/>
      <c r="AA401" s="1646"/>
      <c r="AB401" s="1019"/>
      <c r="AC401" s="1019"/>
      <c r="AD401" s="1019"/>
      <c r="AE401" s="1019"/>
      <c r="AF401" s="1019"/>
      <c r="AG401" s="1019"/>
      <c r="AH401" s="1019"/>
      <c r="AI401" s="959" t="s">
        <v>1689</v>
      </c>
      <c r="AJ401" s="3074">
        <f>VLOOKUP($H$399,$AO$366:$AP$368,2,FALSE)</f>
        <v>3</v>
      </c>
      <c r="AK401" s="3076"/>
      <c r="AL401" s="1005"/>
      <c r="AM401" s="1002"/>
      <c r="AN401" s="1000"/>
      <c r="AO401" s="1118" t="s">
        <v>1690</v>
      </c>
      <c r="AP401" s="943">
        <v>1</v>
      </c>
    </row>
    <row r="402" spans="1:42" s="943" customFormat="1" ht="12.75" customHeight="1">
      <c r="A402" s="1060"/>
      <c r="B402" s="1006"/>
      <c r="C402" s="1635"/>
      <c r="D402" s="1023"/>
      <c r="E402" s="1641"/>
      <c r="F402" s="1641"/>
      <c r="G402" s="1641"/>
      <c r="H402" s="1023"/>
      <c r="I402" s="1023"/>
      <c r="J402" s="1649"/>
      <c r="K402" s="1649"/>
      <c r="L402" s="1649"/>
      <c r="M402" s="1649"/>
      <c r="N402" s="1649"/>
      <c r="O402" s="1649"/>
      <c r="P402" s="1649"/>
      <c r="Q402" s="1649"/>
      <c r="R402" s="1649"/>
      <c r="S402" s="1649"/>
      <c r="T402" s="1649"/>
      <c r="U402" s="1641"/>
      <c r="V402" s="1641"/>
      <c r="W402" s="1641"/>
      <c r="X402" s="1641"/>
      <c r="Y402" s="1641"/>
      <c r="Z402" s="1641"/>
      <c r="AA402" s="1641"/>
      <c r="AB402" s="1641"/>
      <c r="AC402" s="1023"/>
      <c r="AD402" s="1023"/>
      <c r="AE402" s="1023"/>
      <c r="AF402" s="1023"/>
      <c r="AG402" s="1023"/>
      <c r="AH402" s="1023"/>
      <c r="AI402" s="1023"/>
      <c r="AJ402" s="1592"/>
      <c r="AK402" s="1023"/>
      <c r="AL402" s="1023"/>
      <c r="AM402" s="1060"/>
      <c r="AN402" s="1000"/>
    </row>
    <row r="403" spans="1:42" s="943" customFormat="1" ht="12.75" customHeight="1">
      <c r="A403" s="1060"/>
      <c r="B403" s="1006"/>
      <c r="C403" s="986" t="s">
        <v>1691</v>
      </c>
      <c r="D403" s="1023"/>
      <c r="E403" s="1641"/>
      <c r="F403" s="1649"/>
      <c r="G403" s="1649"/>
      <c r="H403" s="1649"/>
      <c r="I403" s="1649"/>
      <c r="J403" s="1649"/>
      <c r="K403" s="1649"/>
      <c r="L403" s="1649"/>
      <c r="M403" s="1649"/>
      <c r="N403" s="1649"/>
      <c r="O403" s="1649"/>
      <c r="P403" s="1649"/>
      <c r="Q403" s="1649"/>
      <c r="R403" s="1649"/>
      <c r="S403" s="1649"/>
      <c r="T403" s="1649"/>
      <c r="U403" s="991"/>
      <c r="V403" s="991"/>
      <c r="W403" s="1649"/>
      <c r="X403" s="1649"/>
      <c r="Y403" s="1649"/>
      <c r="Z403" s="1649"/>
      <c r="AA403" s="1649"/>
      <c r="AB403" s="1649"/>
      <c r="AC403" s="1594"/>
      <c r="AD403" s="1594"/>
      <c r="AE403" s="1594"/>
      <c r="AF403" s="1594"/>
      <c r="AG403" s="1594"/>
      <c r="AH403" s="1594"/>
      <c r="AI403" s="1594"/>
      <c r="AJ403" s="991"/>
      <c r="AK403" s="1006"/>
      <c r="AL403" s="1006"/>
      <c r="AM403" s="1026"/>
      <c r="AN403" s="1000"/>
    </row>
    <row r="404" spans="1:42" s="943" customFormat="1" ht="12.75" customHeight="1">
      <c r="A404" s="1119"/>
      <c r="B404" s="1023"/>
      <c r="C404" s="1637"/>
      <c r="D404" s="1023"/>
      <c r="E404" s="1649"/>
      <c r="F404" s="1649"/>
      <c r="G404" s="1649"/>
      <c r="H404" s="1649"/>
      <c r="I404" s="1649"/>
      <c r="J404" s="1649"/>
      <c r="K404" s="1649"/>
      <c r="L404" s="1649"/>
      <c r="M404" s="1649"/>
      <c r="N404" s="1649"/>
      <c r="O404" s="1649"/>
      <c r="P404" s="1649"/>
      <c r="Q404" s="1649"/>
      <c r="R404" s="1649"/>
      <c r="S404" s="1649"/>
      <c r="T404" s="1649"/>
      <c r="U404" s="1649"/>
      <c r="V404" s="1649"/>
      <c r="W404" s="1649"/>
      <c r="X404" s="1649"/>
      <c r="Y404" s="1649"/>
      <c r="Z404" s="1649"/>
      <c r="AA404" s="1649"/>
      <c r="AB404" s="1649"/>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49"/>
      <c r="G405" s="1649"/>
      <c r="H405" s="1649"/>
      <c r="I405" s="1649"/>
      <c r="J405" s="1649"/>
      <c r="K405" s="1649"/>
      <c r="L405" s="1649"/>
      <c r="M405" s="1649"/>
      <c r="N405" s="1649"/>
      <c r="O405" s="1649"/>
      <c r="P405" s="1649"/>
      <c r="Q405" s="1649"/>
      <c r="R405" s="1649"/>
      <c r="S405" s="1649"/>
      <c r="T405" s="1649"/>
      <c r="U405" s="1649"/>
      <c r="V405" s="1649"/>
      <c r="W405" s="1649"/>
      <c r="X405" s="1649"/>
      <c r="Y405" s="1649"/>
      <c r="Z405" s="1649"/>
      <c r="AA405" s="1649"/>
      <c r="AB405" s="1649"/>
      <c r="AC405" s="927"/>
      <c r="AD405" s="927"/>
      <c r="AE405" s="927"/>
      <c r="AF405" s="3047" t="s">
        <v>1623</v>
      </c>
      <c r="AG405" s="3047"/>
      <c r="AH405" s="3047"/>
      <c r="AI405" s="3047"/>
      <c r="AJ405" s="3047"/>
      <c r="AK405" s="3047"/>
      <c r="AL405" s="3047"/>
      <c r="AM405" s="1026"/>
      <c r="AN405" s="1000"/>
    </row>
    <row r="406" spans="1:42" s="943" customFormat="1" ht="12.75" customHeight="1">
      <c r="A406" s="1060"/>
      <c r="B406" s="927"/>
      <c r="C406" s="927"/>
      <c r="D406" s="1106"/>
      <c r="E406" s="1035" t="s">
        <v>1693</v>
      </c>
      <c r="F406" s="1649"/>
      <c r="G406" s="1649"/>
      <c r="H406" s="1649"/>
      <c r="I406" s="1649"/>
      <c r="J406" s="1649"/>
      <c r="K406" s="1649"/>
      <c r="L406" s="1649"/>
      <c r="M406" s="1649"/>
      <c r="N406" s="1649"/>
      <c r="O406" s="1649"/>
      <c r="P406" s="1649"/>
      <c r="Q406" s="1649"/>
      <c r="R406" s="1649"/>
      <c r="S406" s="1649"/>
      <c r="T406" s="1649"/>
      <c r="U406" s="1649"/>
      <c r="V406" s="1649"/>
      <c r="W406" s="1649"/>
      <c r="X406" s="1649"/>
      <c r="Y406" s="1649"/>
      <c r="Z406" s="1649"/>
      <c r="AA406" s="1649"/>
      <c r="AB406" s="1649"/>
      <c r="AC406" s="927"/>
      <c r="AD406" s="927"/>
      <c r="AE406" s="1594"/>
      <c r="AF406" s="1594"/>
      <c r="AG406" s="1594"/>
      <c r="AH406" s="1594"/>
      <c r="AI406" s="1594"/>
      <c r="AJ406" s="1594"/>
      <c r="AK406" s="1594"/>
      <c r="AL406" s="1594"/>
      <c r="AM406" s="1026"/>
      <c r="AN406" s="1000"/>
    </row>
    <row r="407" spans="1:42" s="943" customFormat="1" ht="12.75" customHeight="1">
      <c r="A407" s="1060"/>
      <c r="B407" s="1035"/>
      <c r="C407" s="1647"/>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5"/>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47" t="s">
        <v>1687</v>
      </c>
      <c r="AG408" s="3047"/>
      <c r="AH408" s="3047"/>
      <c r="AI408" s="3047"/>
      <c r="AJ408" s="3047"/>
      <c r="AK408" s="3047"/>
      <c r="AL408" s="3047"/>
      <c r="AM408" s="1026"/>
      <c r="AN408" s="1000"/>
    </row>
    <row r="409" spans="1:42" s="943" customFormat="1" ht="12.75" customHeight="1">
      <c r="A409" s="1060"/>
      <c r="B409" s="1006"/>
      <c r="C409" s="1635"/>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4"/>
      <c r="AF409" s="1594"/>
      <c r="AG409" s="1594"/>
      <c r="AH409" s="1594"/>
      <c r="AI409" s="1594"/>
      <c r="AJ409" s="1594"/>
      <c r="AK409" s="1594"/>
      <c r="AL409" s="1594"/>
      <c r="AM409" s="1026"/>
      <c r="AN409" s="1000"/>
    </row>
    <row r="410" spans="1:42" s="1002" customFormat="1" ht="12.75" customHeight="1">
      <c r="A410" s="1060"/>
      <c r="B410" s="1006"/>
      <c r="C410" s="1635"/>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5"/>
      <c r="D411" s="1023" t="s">
        <v>1679</v>
      </c>
      <c r="E411" s="1641"/>
      <c r="F411" s="1641"/>
      <c r="G411" s="1641"/>
      <c r="H411" s="3114" t="s">
        <v>626</v>
      </c>
      <c r="I411" s="3114"/>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5"/>
      <c r="D412" s="1023"/>
      <c r="E412" s="1641"/>
      <c r="F412" s="1641"/>
      <c r="G412" s="1035"/>
      <c r="H412" s="1035"/>
      <c r="I412" s="1035"/>
      <c r="J412" s="1035"/>
      <c r="K412" s="1035"/>
      <c r="L412" s="1035"/>
      <c r="M412" s="1035"/>
      <c r="N412" s="1035"/>
      <c r="O412" s="1035"/>
      <c r="P412" s="1035"/>
      <c r="Q412" s="1035"/>
      <c r="R412" s="1035"/>
      <c r="S412" s="1035"/>
      <c r="T412" s="1035"/>
      <c r="U412" s="1035"/>
      <c r="V412" s="1035"/>
      <c r="W412" s="1035"/>
      <c r="X412" s="1035"/>
      <c r="Y412" s="1035"/>
      <c r="Z412" s="1641"/>
      <c r="AA412" s="1641"/>
      <c r="AB412" s="1641"/>
      <c r="AC412" s="927"/>
      <c r="AD412" s="927"/>
      <c r="AE412" s="927"/>
      <c r="AF412" s="927"/>
      <c r="AG412" s="927"/>
      <c r="AH412" s="927"/>
      <c r="AI412" s="927"/>
      <c r="AJ412" s="1035"/>
      <c r="AK412" s="1035"/>
      <c r="AL412" s="1035"/>
      <c r="AM412" s="944"/>
      <c r="AN412" s="1000"/>
    </row>
    <row r="413" spans="1:42" s="1002" customFormat="1" ht="12.75" customHeight="1">
      <c r="A413" s="1071"/>
      <c r="B413" s="1009"/>
      <c r="C413" s="1651"/>
      <c r="D413" s="1019"/>
      <c r="E413" s="1646"/>
      <c r="F413" s="1646"/>
      <c r="G413" s="1108"/>
      <c r="H413" s="1108"/>
      <c r="I413" s="1108"/>
      <c r="J413" s="1108"/>
      <c r="K413" s="1108"/>
      <c r="L413" s="1108"/>
      <c r="M413" s="1108"/>
      <c r="N413" s="1108"/>
      <c r="O413" s="1108"/>
      <c r="P413" s="1108"/>
      <c r="Q413" s="1108"/>
      <c r="R413" s="1108"/>
      <c r="S413" s="1108"/>
      <c r="T413" s="1108"/>
      <c r="U413" s="1108"/>
      <c r="V413" s="1108"/>
      <c r="W413" s="1108"/>
      <c r="X413" s="1108"/>
      <c r="Y413" s="1646"/>
      <c r="Z413" s="1646"/>
      <c r="AA413" s="1646"/>
      <c r="AB413" s="1019"/>
      <c r="AC413" s="1019"/>
      <c r="AD413" s="1019"/>
      <c r="AE413" s="1019"/>
      <c r="AF413" s="1019"/>
      <c r="AG413" s="1019"/>
      <c r="AH413" s="1019"/>
      <c r="AI413" s="959" t="s">
        <v>1696</v>
      </c>
      <c r="AJ413" s="3074">
        <f>VLOOKUP(H411,AT366:AU368,2,FALSE)</f>
        <v>0</v>
      </c>
      <c r="AK413" s="3076"/>
      <c r="AL413" s="1005"/>
      <c r="AN413" s="1001"/>
      <c r="AO413" s="1002" t="s">
        <v>626</v>
      </c>
      <c r="AP413" s="1127">
        <v>0</v>
      </c>
    </row>
    <row r="414" spans="1:42" s="943" customFormat="1" ht="12.75" customHeight="1">
      <c r="A414" s="1060"/>
      <c r="B414" s="1006"/>
      <c r="C414" s="1635"/>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95" t="s">
        <v>1699</v>
      </c>
      <c r="F418" s="3095"/>
      <c r="G418" s="3095"/>
      <c r="H418" s="3095"/>
      <c r="I418" s="3095"/>
      <c r="J418" s="3095"/>
      <c r="K418" s="3095"/>
      <c r="L418" s="3095"/>
      <c r="M418" s="3095"/>
      <c r="N418" s="3095"/>
      <c r="O418" s="3095"/>
      <c r="P418" s="3095"/>
      <c r="Q418" s="3095"/>
      <c r="R418" s="3095"/>
      <c r="S418" s="3095"/>
      <c r="T418" s="3095"/>
      <c r="U418" s="3095"/>
      <c r="V418" s="3095"/>
      <c r="W418" s="3095"/>
      <c r="X418" s="3095"/>
      <c r="Y418" s="3095"/>
      <c r="Z418" s="3095"/>
      <c r="AA418" s="3095"/>
      <c r="AB418" s="3095"/>
      <c r="AC418" s="3095"/>
      <c r="AD418" s="927"/>
      <c r="AE418" s="927"/>
      <c r="AF418" s="3047" t="s">
        <v>1649</v>
      </c>
      <c r="AG418" s="3047"/>
      <c r="AH418" s="3047"/>
      <c r="AI418" s="3047"/>
      <c r="AJ418" s="3047"/>
      <c r="AK418" s="3047"/>
      <c r="AL418" s="3047"/>
      <c r="AN418" s="1000"/>
    </row>
    <row r="419" spans="1:42" s="943" customFormat="1" ht="12.75" customHeight="1">
      <c r="B419" s="927"/>
      <c r="C419" s="986"/>
      <c r="D419" s="927"/>
      <c r="E419" s="3095"/>
      <c r="F419" s="3095"/>
      <c r="G419" s="3095"/>
      <c r="H419" s="3095"/>
      <c r="I419" s="3095"/>
      <c r="J419" s="3095"/>
      <c r="K419" s="3095"/>
      <c r="L419" s="3095"/>
      <c r="M419" s="3095"/>
      <c r="N419" s="3095"/>
      <c r="O419" s="3095"/>
      <c r="P419" s="3095"/>
      <c r="Q419" s="3095"/>
      <c r="R419" s="3095"/>
      <c r="S419" s="3095"/>
      <c r="T419" s="3095"/>
      <c r="U419" s="3095"/>
      <c r="V419" s="3095"/>
      <c r="W419" s="3095"/>
      <c r="X419" s="3095"/>
      <c r="Y419" s="3095"/>
      <c r="Z419" s="3095"/>
      <c r="AA419" s="3095"/>
      <c r="AB419" s="3095"/>
      <c r="AC419" s="3095"/>
      <c r="AD419" s="927"/>
      <c r="AE419" s="927"/>
      <c r="AF419" s="927"/>
      <c r="AG419" s="927"/>
      <c r="AH419" s="927"/>
      <c r="AI419" s="927"/>
      <c r="AJ419" s="927"/>
      <c r="AK419" s="927"/>
      <c r="AL419" s="927"/>
      <c r="AN419" s="1000"/>
    </row>
    <row r="420" spans="1:42" s="943" customFormat="1" ht="12.75" customHeight="1">
      <c r="B420" s="927"/>
      <c r="C420" s="986"/>
      <c r="D420" s="1106"/>
      <c r="E420" s="3095"/>
      <c r="F420" s="3095"/>
      <c r="G420" s="3095"/>
      <c r="H420" s="3095"/>
      <c r="I420" s="3095"/>
      <c r="J420" s="3095"/>
      <c r="K420" s="3095"/>
      <c r="L420" s="3095"/>
      <c r="M420" s="3095"/>
      <c r="N420" s="3095"/>
      <c r="O420" s="3095"/>
      <c r="P420" s="3095"/>
      <c r="Q420" s="3095"/>
      <c r="R420" s="3095"/>
      <c r="S420" s="3095"/>
      <c r="T420" s="3095"/>
      <c r="U420" s="3095"/>
      <c r="V420" s="3095"/>
      <c r="W420" s="3095"/>
      <c r="X420" s="3095"/>
      <c r="Y420" s="3095"/>
      <c r="Z420" s="3095"/>
      <c r="AA420" s="3095"/>
      <c r="AB420" s="3095"/>
      <c r="AC420" s="3095"/>
      <c r="AD420" s="927"/>
      <c r="AE420" s="927"/>
      <c r="AF420" s="927"/>
      <c r="AG420" s="927"/>
      <c r="AH420" s="927"/>
      <c r="AI420" s="927"/>
      <c r="AJ420" s="927"/>
      <c r="AK420" s="927"/>
      <c r="AL420" s="927"/>
      <c r="AN420" s="1000"/>
    </row>
    <row r="421" spans="1:42" s="943" customFormat="1" ht="15" customHeight="1">
      <c r="B421" s="927"/>
      <c r="C421" s="986"/>
      <c r="D421" s="927"/>
      <c r="E421" s="1653"/>
      <c r="F421" s="1653"/>
      <c r="G421" s="1653"/>
      <c r="H421" s="1653"/>
      <c r="I421" s="1653"/>
      <c r="J421" s="1653"/>
      <c r="K421" s="1653"/>
      <c r="L421" s="1653"/>
      <c r="M421" s="1653"/>
      <c r="N421" s="1653"/>
      <c r="O421" s="1653"/>
      <c r="P421" s="1653"/>
      <c r="Q421" s="1653"/>
      <c r="R421" s="1653"/>
      <c r="S421" s="1653"/>
      <c r="T421" s="1653"/>
      <c r="U421" s="1653"/>
      <c r="V421" s="1653"/>
      <c r="W421" s="1653"/>
      <c r="X421" s="1653"/>
      <c r="Y421" s="1653"/>
      <c r="Z421" s="1653"/>
      <c r="AA421" s="1653"/>
      <c r="AB421" s="1653"/>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95" t="s">
        <v>1700</v>
      </c>
      <c r="F422" s="3095"/>
      <c r="G422" s="3095"/>
      <c r="H422" s="3095"/>
      <c r="I422" s="3095"/>
      <c r="J422" s="3095"/>
      <c r="K422" s="3095"/>
      <c r="L422" s="3095"/>
      <c r="M422" s="3095"/>
      <c r="N422" s="3095"/>
      <c r="O422" s="3095"/>
      <c r="P422" s="3095"/>
      <c r="Q422" s="3095"/>
      <c r="R422" s="3095"/>
      <c r="S422" s="3095"/>
      <c r="T422" s="3095"/>
      <c r="U422" s="3095"/>
      <c r="V422" s="3095"/>
      <c r="W422" s="3095"/>
      <c r="X422" s="3095"/>
      <c r="Y422" s="3095"/>
      <c r="Z422" s="3095"/>
      <c r="AA422" s="3095"/>
      <c r="AB422" s="3095"/>
      <c r="AC422" s="3095"/>
      <c r="AD422" s="927"/>
      <c r="AE422" s="927"/>
      <c r="AF422" s="3047" t="s">
        <v>1678</v>
      </c>
      <c r="AG422" s="3047"/>
      <c r="AH422" s="3047"/>
      <c r="AI422" s="3047"/>
      <c r="AJ422" s="3047"/>
      <c r="AK422" s="3047"/>
      <c r="AL422" s="3047"/>
      <c r="AN422" s="1000"/>
    </row>
    <row r="423" spans="1:42" s="943" customFormat="1" ht="12.75" customHeight="1">
      <c r="B423" s="927"/>
      <c r="C423" s="986"/>
      <c r="D423" s="927"/>
      <c r="E423" s="3095"/>
      <c r="F423" s="3095"/>
      <c r="G423" s="3095"/>
      <c r="H423" s="3095"/>
      <c r="I423" s="3095"/>
      <c r="J423" s="3095"/>
      <c r="K423" s="3095"/>
      <c r="L423" s="3095"/>
      <c r="M423" s="3095"/>
      <c r="N423" s="3095"/>
      <c r="O423" s="3095"/>
      <c r="P423" s="3095"/>
      <c r="Q423" s="3095"/>
      <c r="R423" s="3095"/>
      <c r="S423" s="3095"/>
      <c r="T423" s="3095"/>
      <c r="U423" s="3095"/>
      <c r="V423" s="3095"/>
      <c r="W423" s="3095"/>
      <c r="X423" s="3095"/>
      <c r="Y423" s="3095"/>
      <c r="Z423" s="3095"/>
      <c r="AA423" s="3095"/>
      <c r="AB423" s="3095"/>
      <c r="AC423" s="3095"/>
      <c r="AD423" s="927"/>
      <c r="AE423" s="927"/>
      <c r="AF423" s="927"/>
      <c r="AG423" s="927"/>
      <c r="AH423" s="927"/>
      <c r="AI423" s="927"/>
      <c r="AJ423" s="927"/>
      <c r="AK423" s="927"/>
      <c r="AL423" s="927"/>
      <c r="AN423" s="1000"/>
    </row>
    <row r="424" spans="1:42" s="943" customFormat="1" ht="15" customHeight="1">
      <c r="B424" s="927"/>
      <c r="C424" s="986"/>
      <c r="D424" s="1106"/>
      <c r="E424" s="3095"/>
      <c r="F424" s="3095"/>
      <c r="G424" s="3095"/>
      <c r="H424" s="3095"/>
      <c r="I424" s="3095"/>
      <c r="J424" s="3095"/>
      <c r="K424" s="3095"/>
      <c r="L424" s="3095"/>
      <c r="M424" s="3095"/>
      <c r="N424" s="3095"/>
      <c r="O424" s="3095"/>
      <c r="P424" s="3095"/>
      <c r="Q424" s="3095"/>
      <c r="R424" s="3095"/>
      <c r="S424" s="3095"/>
      <c r="T424" s="3095"/>
      <c r="U424" s="3095"/>
      <c r="V424" s="3095"/>
      <c r="W424" s="3095"/>
      <c r="X424" s="3095"/>
      <c r="Y424" s="3095"/>
      <c r="Z424" s="3095"/>
      <c r="AA424" s="3095"/>
      <c r="AB424" s="3095"/>
      <c r="AC424" s="3095"/>
      <c r="AD424" s="927"/>
      <c r="AE424" s="927"/>
      <c r="AF424" s="927"/>
      <c r="AG424" s="927"/>
      <c r="AH424" s="927"/>
      <c r="AI424" s="927"/>
      <c r="AJ424" s="927"/>
      <c r="AK424" s="927"/>
      <c r="AL424" s="927"/>
      <c r="AN424" s="1000"/>
    </row>
    <row r="425" spans="1:42" s="1002" customFormat="1" ht="12.75" customHeight="1">
      <c r="A425" s="943"/>
      <c r="B425" s="927"/>
      <c r="C425" s="986"/>
      <c r="D425" s="927"/>
      <c r="E425" s="1653"/>
      <c r="F425" s="1653"/>
      <c r="G425" s="1653"/>
      <c r="H425" s="1653"/>
      <c r="I425" s="1653"/>
      <c r="J425" s="1653"/>
      <c r="K425" s="1653"/>
      <c r="L425" s="1653"/>
      <c r="M425" s="1653"/>
      <c r="N425" s="1653"/>
      <c r="O425" s="1653"/>
      <c r="P425" s="1653"/>
      <c r="Q425" s="1653"/>
      <c r="R425" s="1653"/>
      <c r="S425" s="1653"/>
      <c r="T425" s="1653"/>
      <c r="U425" s="1653"/>
      <c r="V425" s="1653"/>
      <c r="W425" s="1653"/>
      <c r="X425" s="1653"/>
      <c r="Y425" s="1653"/>
      <c r="Z425" s="1653"/>
      <c r="AA425" s="1653"/>
      <c r="AB425" s="1653"/>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95" t="s">
        <v>1701</v>
      </c>
      <c r="F426" s="3095"/>
      <c r="G426" s="3095"/>
      <c r="H426" s="3095"/>
      <c r="I426" s="3095"/>
      <c r="J426" s="3095"/>
      <c r="K426" s="3095"/>
      <c r="L426" s="3095"/>
      <c r="M426" s="3095"/>
      <c r="N426" s="3095"/>
      <c r="O426" s="3095"/>
      <c r="P426" s="3095"/>
      <c r="Q426" s="3095"/>
      <c r="R426" s="3095"/>
      <c r="S426" s="3095"/>
      <c r="T426" s="3095"/>
      <c r="U426" s="3095"/>
      <c r="V426" s="3095"/>
      <c r="W426" s="3095"/>
      <c r="X426" s="3095"/>
      <c r="Y426" s="3095"/>
      <c r="Z426" s="3095"/>
      <c r="AA426" s="3095"/>
      <c r="AB426" s="3095"/>
      <c r="AC426" s="3095"/>
      <c r="AD426" s="927"/>
      <c r="AE426" s="927"/>
      <c r="AF426" s="3047" t="s">
        <v>1623</v>
      </c>
      <c r="AG426" s="3047"/>
      <c r="AH426" s="3047"/>
      <c r="AI426" s="3047"/>
      <c r="AJ426" s="3047"/>
      <c r="AK426" s="3047"/>
      <c r="AL426" s="3047"/>
      <c r="AN426" s="1000"/>
    </row>
    <row r="427" spans="1:42" s="943" customFormat="1" ht="12.75" customHeight="1">
      <c r="A427" s="1060"/>
      <c r="B427" s="1023"/>
      <c r="C427" s="1638"/>
      <c r="D427" s="927"/>
      <c r="E427" s="3095"/>
      <c r="F427" s="3095"/>
      <c r="G427" s="3095"/>
      <c r="H427" s="3095"/>
      <c r="I427" s="3095"/>
      <c r="J427" s="3095"/>
      <c r="K427" s="3095"/>
      <c r="L427" s="3095"/>
      <c r="M427" s="3095"/>
      <c r="N427" s="3095"/>
      <c r="O427" s="3095"/>
      <c r="P427" s="3095"/>
      <c r="Q427" s="3095"/>
      <c r="R427" s="3095"/>
      <c r="S427" s="3095"/>
      <c r="T427" s="3095"/>
      <c r="U427" s="3095"/>
      <c r="V427" s="3095"/>
      <c r="W427" s="3095"/>
      <c r="X427" s="3095"/>
      <c r="Y427" s="3095"/>
      <c r="Z427" s="3095"/>
      <c r="AA427" s="3095"/>
      <c r="AB427" s="3095"/>
      <c r="AC427" s="3095"/>
      <c r="AD427" s="927"/>
      <c r="AE427" s="3047"/>
      <c r="AF427" s="3047"/>
      <c r="AG427" s="3047"/>
      <c r="AH427" s="3047"/>
      <c r="AI427" s="3047"/>
      <c r="AJ427" s="3047"/>
      <c r="AK427" s="3047"/>
      <c r="AL427" s="1594"/>
      <c r="AM427" s="1026"/>
      <c r="AN427" s="1000"/>
      <c r="AO427" s="943" t="s">
        <v>626</v>
      </c>
      <c r="AP427" s="1120">
        <v>0</v>
      </c>
    </row>
    <row r="428" spans="1:42" s="943" customFormat="1" ht="12.75" customHeight="1">
      <c r="A428" s="1126"/>
      <c r="B428" s="927"/>
      <c r="C428" s="927"/>
      <c r="D428" s="1106"/>
      <c r="E428" s="3095"/>
      <c r="F428" s="3095"/>
      <c r="G428" s="3095"/>
      <c r="H428" s="3095"/>
      <c r="I428" s="3095"/>
      <c r="J428" s="3095"/>
      <c r="K428" s="3095"/>
      <c r="L428" s="3095"/>
      <c r="M428" s="3095"/>
      <c r="N428" s="3095"/>
      <c r="O428" s="3095"/>
      <c r="P428" s="3095"/>
      <c r="Q428" s="3095"/>
      <c r="R428" s="3095"/>
      <c r="S428" s="3095"/>
      <c r="T428" s="3095"/>
      <c r="U428" s="3095"/>
      <c r="V428" s="3095"/>
      <c r="W428" s="3095"/>
      <c r="X428" s="3095"/>
      <c r="Y428" s="3095"/>
      <c r="Z428" s="3095"/>
      <c r="AA428" s="3095"/>
      <c r="AB428" s="3095"/>
      <c r="AC428" s="3095"/>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38"/>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4"/>
      <c r="D430" s="1106" t="s">
        <v>1676</v>
      </c>
      <c r="E430" s="3095" t="s">
        <v>1702</v>
      </c>
      <c r="F430" s="3095"/>
      <c r="G430" s="3095"/>
      <c r="H430" s="3095"/>
      <c r="I430" s="3095"/>
      <c r="J430" s="3095"/>
      <c r="K430" s="3095"/>
      <c r="L430" s="3095"/>
      <c r="M430" s="3095"/>
      <c r="N430" s="3095"/>
      <c r="O430" s="3095"/>
      <c r="P430" s="3095"/>
      <c r="Q430" s="3095"/>
      <c r="R430" s="3095"/>
      <c r="S430" s="3095"/>
      <c r="T430" s="3095"/>
      <c r="U430" s="3095"/>
      <c r="V430" s="3095"/>
      <c r="W430" s="3095"/>
      <c r="X430" s="3095"/>
      <c r="Y430" s="3095"/>
      <c r="Z430" s="3095"/>
      <c r="AA430" s="3095"/>
      <c r="AB430" s="3095"/>
      <c r="AC430" s="3095"/>
      <c r="AD430" s="927"/>
      <c r="AE430" s="927"/>
      <c r="AF430" s="3047" t="s">
        <v>1678</v>
      </c>
      <c r="AG430" s="3047"/>
      <c r="AH430" s="3047"/>
      <c r="AI430" s="3047"/>
      <c r="AJ430" s="3047"/>
      <c r="AK430" s="3047"/>
      <c r="AL430" s="3047"/>
      <c r="AN430" s="1000"/>
    </row>
    <row r="431" spans="1:42" s="943" customFormat="1" ht="12.75" customHeight="1">
      <c r="A431" s="1115"/>
      <c r="B431" s="1023"/>
      <c r="C431" s="1654"/>
      <c r="D431" s="1106"/>
      <c r="E431" s="3095"/>
      <c r="F431" s="3095"/>
      <c r="G431" s="3095"/>
      <c r="H431" s="3095"/>
      <c r="I431" s="3095"/>
      <c r="J431" s="3095"/>
      <c r="K431" s="3095"/>
      <c r="L431" s="3095"/>
      <c r="M431" s="3095"/>
      <c r="N431" s="3095"/>
      <c r="O431" s="3095"/>
      <c r="P431" s="3095"/>
      <c r="Q431" s="3095"/>
      <c r="R431" s="3095"/>
      <c r="S431" s="3095"/>
      <c r="T431" s="3095"/>
      <c r="U431" s="3095"/>
      <c r="V431" s="3095"/>
      <c r="W431" s="3095"/>
      <c r="X431" s="3095"/>
      <c r="Y431" s="3095"/>
      <c r="Z431" s="3095"/>
      <c r="AA431" s="3095"/>
      <c r="AB431" s="3095"/>
      <c r="AC431" s="3095"/>
      <c r="AD431" s="927"/>
      <c r="AE431" s="1594"/>
      <c r="AF431" s="1594"/>
      <c r="AG431" s="1594"/>
      <c r="AH431" s="1594"/>
      <c r="AI431" s="1594"/>
      <c r="AJ431" s="1594"/>
      <c r="AK431" s="1594"/>
      <c r="AL431" s="1594"/>
      <c r="AM431" s="1065"/>
      <c r="AN431" s="1000"/>
    </row>
    <row r="432" spans="1:42" s="943" customFormat="1" ht="12.75" customHeight="1">
      <c r="A432" s="1115"/>
      <c r="B432" s="1023"/>
      <c r="C432" s="1654"/>
      <c r="D432" s="1106"/>
      <c r="E432" s="3095"/>
      <c r="F432" s="3095"/>
      <c r="G432" s="3095"/>
      <c r="H432" s="3095"/>
      <c r="I432" s="3095"/>
      <c r="J432" s="3095"/>
      <c r="K432" s="3095"/>
      <c r="L432" s="3095"/>
      <c r="M432" s="3095"/>
      <c r="N432" s="3095"/>
      <c r="O432" s="3095"/>
      <c r="P432" s="3095"/>
      <c r="Q432" s="3095"/>
      <c r="R432" s="3095"/>
      <c r="S432" s="3095"/>
      <c r="T432" s="3095"/>
      <c r="U432" s="3095"/>
      <c r="V432" s="3095"/>
      <c r="W432" s="3095"/>
      <c r="X432" s="3095"/>
      <c r="Y432" s="3095"/>
      <c r="Z432" s="3095"/>
      <c r="AA432" s="3095"/>
      <c r="AB432" s="3095"/>
      <c r="AC432" s="3095"/>
      <c r="AD432" s="927"/>
      <c r="AE432" s="1594"/>
      <c r="AF432" s="1594"/>
      <c r="AG432" s="1594"/>
      <c r="AH432" s="1594"/>
      <c r="AI432" s="1594"/>
      <c r="AJ432" s="1594"/>
      <c r="AK432" s="1594"/>
      <c r="AL432" s="1594"/>
      <c r="AM432" s="1065"/>
      <c r="AN432" s="1000"/>
    </row>
    <row r="433" spans="1:42" s="943" customFormat="1" ht="12.75" customHeight="1">
      <c r="A433" s="1060"/>
      <c r="B433" s="1006"/>
      <c r="C433" s="1635"/>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4"/>
      <c r="AM433" s="1065"/>
      <c r="AN433" s="1000"/>
    </row>
    <row r="434" spans="1:42" s="943" customFormat="1" ht="12.75" customHeight="1">
      <c r="A434" s="1060"/>
      <c r="B434" s="1023"/>
      <c r="C434" s="1638"/>
      <c r="D434" s="1106" t="s">
        <v>1677</v>
      </c>
      <c r="E434" s="3095" t="s">
        <v>1703</v>
      </c>
      <c r="F434" s="3095"/>
      <c r="G434" s="3095"/>
      <c r="H434" s="3095"/>
      <c r="I434" s="3095"/>
      <c r="J434" s="3095"/>
      <c r="K434" s="3095"/>
      <c r="L434" s="3095"/>
      <c r="M434" s="3095"/>
      <c r="N434" s="3095"/>
      <c r="O434" s="3095"/>
      <c r="P434" s="3095"/>
      <c r="Q434" s="3095"/>
      <c r="R434" s="3095"/>
      <c r="S434" s="3095"/>
      <c r="T434" s="3095"/>
      <c r="U434" s="3095"/>
      <c r="V434" s="3095"/>
      <c r="W434" s="3095"/>
      <c r="X434" s="3095"/>
      <c r="Y434" s="3095"/>
      <c r="Z434" s="3095"/>
      <c r="AA434" s="3095"/>
      <c r="AB434" s="3095"/>
      <c r="AC434" s="3095"/>
      <c r="AD434" s="927"/>
      <c r="AE434" s="927"/>
      <c r="AF434" s="3047" t="s">
        <v>1623</v>
      </c>
      <c r="AG434" s="3047"/>
      <c r="AH434" s="3047"/>
      <c r="AI434" s="3047"/>
      <c r="AJ434" s="3047"/>
      <c r="AK434" s="3047"/>
      <c r="AL434" s="3047"/>
      <c r="AM434" s="1065"/>
      <c r="AN434" s="1000"/>
    </row>
    <row r="435" spans="1:42" s="943" customFormat="1" ht="12.75" customHeight="1">
      <c r="A435" s="1060"/>
      <c r="B435" s="1023"/>
      <c r="C435" s="1638"/>
      <c r="D435" s="1106"/>
      <c r="E435" s="3095"/>
      <c r="F435" s="3095"/>
      <c r="G435" s="3095"/>
      <c r="H435" s="3095"/>
      <c r="I435" s="3095"/>
      <c r="J435" s="3095"/>
      <c r="K435" s="3095"/>
      <c r="L435" s="3095"/>
      <c r="M435" s="3095"/>
      <c r="N435" s="3095"/>
      <c r="O435" s="3095"/>
      <c r="P435" s="3095"/>
      <c r="Q435" s="3095"/>
      <c r="R435" s="3095"/>
      <c r="S435" s="3095"/>
      <c r="T435" s="3095"/>
      <c r="U435" s="3095"/>
      <c r="V435" s="3095"/>
      <c r="W435" s="3095"/>
      <c r="X435" s="3095"/>
      <c r="Y435" s="3095"/>
      <c r="Z435" s="3095"/>
      <c r="AA435" s="3095"/>
      <c r="AB435" s="3095"/>
      <c r="AC435" s="3095"/>
      <c r="AD435" s="927"/>
      <c r="AE435" s="1006"/>
      <c r="AF435" s="1006"/>
      <c r="AG435" s="927"/>
      <c r="AH435" s="1006"/>
      <c r="AI435" s="1006"/>
      <c r="AJ435" s="1006"/>
      <c r="AK435" s="1006"/>
      <c r="AL435" s="1006"/>
      <c r="AM435" s="1065"/>
      <c r="AN435" s="1000"/>
    </row>
    <row r="436" spans="1:42" s="943" customFormat="1" ht="12.75" customHeight="1">
      <c r="A436" s="1060"/>
      <c r="B436" s="1023"/>
      <c r="C436" s="1638"/>
      <c r="D436" s="1106"/>
      <c r="E436" s="3095"/>
      <c r="F436" s="3095"/>
      <c r="G436" s="3095"/>
      <c r="H436" s="3095"/>
      <c r="I436" s="3095"/>
      <c r="J436" s="3095"/>
      <c r="K436" s="3095"/>
      <c r="L436" s="3095"/>
      <c r="M436" s="3095"/>
      <c r="N436" s="3095"/>
      <c r="O436" s="3095"/>
      <c r="P436" s="3095"/>
      <c r="Q436" s="3095"/>
      <c r="R436" s="3095"/>
      <c r="S436" s="3095"/>
      <c r="T436" s="3095"/>
      <c r="U436" s="3095"/>
      <c r="V436" s="3095"/>
      <c r="W436" s="3095"/>
      <c r="X436" s="3095"/>
      <c r="Y436" s="3095"/>
      <c r="Z436" s="3095"/>
      <c r="AA436" s="3095"/>
      <c r="AB436" s="3095"/>
      <c r="AC436" s="3095"/>
      <c r="AD436" s="927"/>
      <c r="AE436" s="1006"/>
      <c r="AF436" s="1006"/>
      <c r="AG436" s="927"/>
      <c r="AH436" s="1006"/>
      <c r="AI436" s="1006"/>
      <c r="AJ436" s="1006"/>
      <c r="AK436" s="1006"/>
      <c r="AL436" s="1006"/>
      <c r="AM436" s="1065"/>
      <c r="AN436" s="1000"/>
    </row>
    <row r="437" spans="1:42" s="1002" customFormat="1" ht="12.75" customHeight="1">
      <c r="A437" s="1060"/>
      <c r="B437" s="927"/>
      <c r="C437" s="1655"/>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5"/>
      <c r="D438" s="1106" t="s">
        <v>1688</v>
      </c>
      <c r="E438" s="3095" t="s">
        <v>1704</v>
      </c>
      <c r="F438" s="3095"/>
      <c r="G438" s="3095"/>
      <c r="H438" s="3095"/>
      <c r="I438" s="3095"/>
      <c r="J438" s="3095"/>
      <c r="K438" s="3095"/>
      <c r="L438" s="3095"/>
      <c r="M438" s="3095"/>
      <c r="N438" s="3095"/>
      <c r="O438" s="3095"/>
      <c r="P438" s="3095"/>
      <c r="Q438" s="3095"/>
      <c r="R438" s="3095"/>
      <c r="S438" s="3095"/>
      <c r="T438" s="3095"/>
      <c r="U438" s="3095"/>
      <c r="V438" s="3095"/>
      <c r="W438" s="3095"/>
      <c r="X438" s="3095"/>
      <c r="Y438" s="3095"/>
      <c r="Z438" s="3095"/>
      <c r="AA438" s="3095"/>
      <c r="AB438" s="3095"/>
      <c r="AC438" s="3095"/>
      <c r="AD438" s="927"/>
      <c r="AE438" s="927"/>
      <c r="AF438" s="3047" t="s">
        <v>1687</v>
      </c>
      <c r="AG438" s="3047"/>
      <c r="AH438" s="3047"/>
      <c r="AI438" s="3047"/>
      <c r="AJ438" s="3047"/>
      <c r="AK438" s="3047"/>
      <c r="AL438" s="3047"/>
      <c r="AM438" s="1065"/>
      <c r="AN438" s="1000"/>
    </row>
    <row r="439" spans="1:42" s="943" customFormat="1" ht="12.75" customHeight="1">
      <c r="A439" s="1597"/>
      <c r="B439" s="1006"/>
      <c r="C439" s="1635"/>
      <c r="D439" s="1106"/>
      <c r="E439" s="3095"/>
      <c r="F439" s="3095"/>
      <c r="G439" s="3095"/>
      <c r="H439" s="3095"/>
      <c r="I439" s="3095"/>
      <c r="J439" s="3095"/>
      <c r="K439" s="3095"/>
      <c r="L439" s="3095"/>
      <c r="M439" s="3095"/>
      <c r="N439" s="3095"/>
      <c r="O439" s="3095"/>
      <c r="P439" s="3095"/>
      <c r="Q439" s="3095"/>
      <c r="R439" s="3095"/>
      <c r="S439" s="3095"/>
      <c r="T439" s="3095"/>
      <c r="U439" s="3095"/>
      <c r="V439" s="3095"/>
      <c r="W439" s="3095"/>
      <c r="X439" s="3095"/>
      <c r="Y439" s="3095"/>
      <c r="Z439" s="3095"/>
      <c r="AA439" s="3095"/>
      <c r="AB439" s="3095"/>
      <c r="AC439" s="3095"/>
      <c r="AD439" s="927"/>
      <c r="AE439" s="927"/>
      <c r="AF439" s="1594"/>
      <c r="AG439" s="1594"/>
      <c r="AH439" s="1594"/>
      <c r="AI439" s="1594"/>
      <c r="AJ439" s="1594"/>
      <c r="AK439" s="1594"/>
      <c r="AL439" s="1594"/>
      <c r="AM439" s="1065"/>
      <c r="AN439" s="1000"/>
    </row>
    <row r="440" spans="1:42" s="943" customFormat="1" ht="12.75" customHeight="1">
      <c r="A440" s="1126"/>
      <c r="B440" s="1006"/>
      <c r="C440" s="1635"/>
      <c r="D440" s="1106"/>
      <c r="E440" s="3095"/>
      <c r="F440" s="3095"/>
      <c r="G440" s="3095"/>
      <c r="H440" s="3095"/>
      <c r="I440" s="3095"/>
      <c r="J440" s="3095"/>
      <c r="K440" s="3095"/>
      <c r="L440" s="3095"/>
      <c r="M440" s="3095"/>
      <c r="N440" s="3095"/>
      <c r="O440" s="3095"/>
      <c r="P440" s="3095"/>
      <c r="Q440" s="3095"/>
      <c r="R440" s="3095"/>
      <c r="S440" s="3095"/>
      <c r="T440" s="3095"/>
      <c r="U440" s="3095"/>
      <c r="V440" s="3095"/>
      <c r="W440" s="3095"/>
      <c r="X440" s="3095"/>
      <c r="Y440" s="3095"/>
      <c r="Z440" s="3095"/>
      <c r="AA440" s="3095"/>
      <c r="AB440" s="3095"/>
      <c r="AC440" s="3095"/>
      <c r="AD440" s="927"/>
      <c r="AE440" s="1594"/>
      <c r="AF440" s="1594"/>
      <c r="AG440" s="1594"/>
      <c r="AH440" s="1594"/>
      <c r="AI440" s="1594"/>
      <c r="AJ440" s="1594"/>
      <c r="AK440" s="1594"/>
      <c r="AL440" s="1594"/>
      <c r="AM440" s="1065"/>
      <c r="AN440" s="1000"/>
    </row>
    <row r="441" spans="1:42" s="943" customFormat="1" ht="12.75" customHeight="1">
      <c r="A441" s="1126"/>
      <c r="B441" s="1006"/>
      <c r="C441" s="1635"/>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4"/>
      <c r="AF441" s="927"/>
      <c r="AG441" s="927"/>
      <c r="AH441" s="927"/>
      <c r="AI441" s="927"/>
      <c r="AJ441" s="927"/>
      <c r="AK441" s="927"/>
      <c r="AL441" s="927"/>
      <c r="AM441" s="1065"/>
      <c r="AN441" s="1000"/>
      <c r="AO441" s="943" t="s">
        <v>626</v>
      </c>
      <c r="AP441" s="1131">
        <v>0</v>
      </c>
    </row>
    <row r="442" spans="1:42" s="943" customFormat="1" ht="12.75" customHeight="1">
      <c r="A442" s="1126"/>
      <c r="B442" s="1006"/>
      <c r="C442" s="1635"/>
      <c r="D442" s="1106" t="s">
        <v>1690</v>
      </c>
      <c r="E442" s="3095" t="s">
        <v>1705</v>
      </c>
      <c r="F442" s="3095"/>
      <c r="G442" s="3095"/>
      <c r="H442" s="3095"/>
      <c r="I442" s="3095"/>
      <c r="J442" s="3095"/>
      <c r="K442" s="3095"/>
      <c r="L442" s="3095"/>
      <c r="M442" s="3095"/>
      <c r="N442" s="3095"/>
      <c r="O442" s="3095"/>
      <c r="P442" s="3095"/>
      <c r="Q442" s="3095"/>
      <c r="R442" s="3095"/>
      <c r="S442" s="3095"/>
      <c r="T442" s="3095"/>
      <c r="U442" s="3095"/>
      <c r="V442" s="3095"/>
      <c r="W442" s="3095"/>
      <c r="X442" s="3095"/>
      <c r="Y442" s="3095"/>
      <c r="Z442" s="3095"/>
      <c r="AA442" s="3095"/>
      <c r="AB442" s="3095"/>
      <c r="AC442" s="3095"/>
      <c r="AD442" s="927"/>
      <c r="AE442" s="927"/>
      <c r="AF442" s="3047" t="s">
        <v>1706</v>
      </c>
      <c r="AG442" s="3047"/>
      <c r="AH442" s="3047"/>
      <c r="AI442" s="3047"/>
      <c r="AJ442" s="3047"/>
      <c r="AK442" s="3047"/>
      <c r="AL442" s="3047"/>
      <c r="AM442" s="1065"/>
      <c r="AN442" s="1000"/>
      <c r="AO442" s="1118" t="s">
        <v>725</v>
      </c>
      <c r="AP442" s="943">
        <v>3</v>
      </c>
    </row>
    <row r="443" spans="1:42" s="943" customFormat="1" ht="12.75" customHeight="1">
      <c r="A443" s="1597"/>
      <c r="B443" s="1006"/>
      <c r="C443" s="1635"/>
      <c r="D443" s="1106"/>
      <c r="E443" s="3095"/>
      <c r="F443" s="3095"/>
      <c r="G443" s="3095"/>
      <c r="H443" s="3095"/>
      <c r="I443" s="3095"/>
      <c r="J443" s="3095"/>
      <c r="K443" s="3095"/>
      <c r="L443" s="3095"/>
      <c r="M443" s="3095"/>
      <c r="N443" s="3095"/>
      <c r="O443" s="3095"/>
      <c r="P443" s="3095"/>
      <c r="Q443" s="3095"/>
      <c r="R443" s="3095"/>
      <c r="S443" s="3095"/>
      <c r="T443" s="3095"/>
      <c r="U443" s="3095"/>
      <c r="V443" s="3095"/>
      <c r="W443" s="3095"/>
      <c r="X443" s="3095"/>
      <c r="Y443" s="3095"/>
      <c r="Z443" s="3095"/>
      <c r="AA443" s="3095"/>
      <c r="AB443" s="3095"/>
      <c r="AC443" s="3095"/>
      <c r="AD443" s="927"/>
      <c r="AE443" s="927"/>
      <c r="AF443" s="1594"/>
      <c r="AG443" s="1594"/>
      <c r="AH443" s="1594"/>
      <c r="AI443" s="1594"/>
      <c r="AJ443" s="1594"/>
      <c r="AK443" s="1594"/>
      <c r="AL443" s="1594"/>
      <c r="AM443" s="1065"/>
      <c r="AN443" s="1000"/>
      <c r="AO443" s="1118" t="s">
        <v>542</v>
      </c>
      <c r="AP443" s="943">
        <v>2</v>
      </c>
    </row>
    <row r="444" spans="1:42" s="943" customFormat="1" ht="12.75" customHeight="1">
      <c r="A444" s="1126"/>
      <c r="B444" s="1006"/>
      <c r="C444" s="1635"/>
      <c r="D444" s="1106"/>
      <c r="E444" s="3095"/>
      <c r="F444" s="3095"/>
      <c r="G444" s="3095"/>
      <c r="H444" s="3095"/>
      <c r="I444" s="3095"/>
      <c r="J444" s="3095"/>
      <c r="K444" s="3095"/>
      <c r="L444" s="3095"/>
      <c r="M444" s="3095"/>
      <c r="N444" s="3095"/>
      <c r="O444" s="3095"/>
      <c r="P444" s="3095"/>
      <c r="Q444" s="3095"/>
      <c r="R444" s="3095"/>
      <c r="S444" s="3095"/>
      <c r="T444" s="3095"/>
      <c r="U444" s="3095"/>
      <c r="V444" s="3095"/>
      <c r="W444" s="3095"/>
      <c r="X444" s="3095"/>
      <c r="Y444" s="3095"/>
      <c r="Z444" s="3095"/>
      <c r="AA444" s="3095"/>
      <c r="AB444" s="3095"/>
      <c r="AC444" s="3095"/>
      <c r="AD444" s="927"/>
      <c r="AE444" s="1594"/>
      <c r="AF444" s="1594"/>
      <c r="AG444" s="1594"/>
      <c r="AH444" s="1594"/>
      <c r="AI444" s="1594"/>
      <c r="AJ444" s="1594"/>
      <c r="AK444" s="1594"/>
      <c r="AL444" s="1594"/>
      <c r="AM444" s="1065"/>
      <c r="AN444" s="1000"/>
    </row>
    <row r="445" spans="1:42" s="943" customFormat="1" ht="12.75" customHeight="1">
      <c r="A445" s="1115"/>
      <c r="B445" s="1023"/>
      <c r="C445" s="1654"/>
      <c r="D445" s="1106"/>
      <c r="E445" s="1595"/>
      <c r="F445" s="1595"/>
      <c r="G445" s="1595"/>
      <c r="H445" s="1595"/>
      <c r="I445" s="1595"/>
      <c r="J445" s="1595"/>
      <c r="K445" s="1595"/>
      <c r="L445" s="1595"/>
      <c r="M445" s="1595"/>
      <c r="N445" s="1595"/>
      <c r="O445" s="1595"/>
      <c r="P445" s="1595"/>
      <c r="Q445" s="1595"/>
      <c r="R445" s="1595"/>
      <c r="S445" s="1595"/>
      <c r="T445" s="1595"/>
      <c r="U445" s="1595"/>
      <c r="V445" s="1595"/>
      <c r="W445" s="1595"/>
      <c r="X445" s="1595"/>
      <c r="Y445" s="1595"/>
      <c r="Z445" s="1595"/>
      <c r="AA445" s="1595"/>
      <c r="AB445" s="1595"/>
      <c r="AC445" s="1595"/>
      <c r="AD445" s="927"/>
      <c r="AE445" s="1594"/>
      <c r="AF445" s="1594"/>
      <c r="AG445" s="1594"/>
      <c r="AH445" s="1594"/>
      <c r="AI445" s="1594"/>
      <c r="AJ445" s="1594"/>
      <c r="AK445" s="1594"/>
      <c r="AL445" s="1594"/>
      <c r="AM445" s="1065"/>
      <c r="AN445" s="1000"/>
    </row>
    <row r="446" spans="1:42" s="943" customFormat="1" ht="12.75" customHeight="1">
      <c r="A446" s="1126"/>
      <c r="B446" s="1006"/>
      <c r="C446" s="1635"/>
      <c r="D446" s="1023" t="s">
        <v>1679</v>
      </c>
      <c r="E446" s="1641"/>
      <c r="F446" s="1641"/>
      <c r="G446" s="1641"/>
      <c r="H446" s="3114" t="s">
        <v>725</v>
      </c>
      <c r="I446" s="3114"/>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5"/>
      <c r="D447" s="1023"/>
      <c r="E447" s="1641"/>
      <c r="F447" s="1641"/>
      <c r="G447" s="1035"/>
      <c r="H447" s="1035"/>
      <c r="I447" s="1035"/>
      <c r="J447" s="1035"/>
      <c r="K447" s="1035"/>
      <c r="L447" s="1035"/>
      <c r="M447" s="1035"/>
      <c r="N447" s="1035"/>
      <c r="O447" s="1035"/>
      <c r="P447" s="1035"/>
      <c r="Q447" s="1035"/>
      <c r="R447" s="1035"/>
      <c r="S447" s="1035"/>
      <c r="T447" s="1035"/>
      <c r="U447" s="1035"/>
      <c r="V447" s="1035"/>
      <c r="W447" s="1035"/>
      <c r="X447" s="1035"/>
      <c r="Y447" s="1035"/>
      <c r="Z447" s="1641"/>
      <c r="AA447" s="1641"/>
      <c r="AB447" s="1641"/>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1"/>
      <c r="D448" s="1019"/>
      <c r="E448" s="1646"/>
      <c r="F448" s="1108"/>
      <c r="G448" s="1108"/>
      <c r="H448" s="1108"/>
      <c r="I448" s="1108"/>
      <c r="J448" s="1108"/>
      <c r="K448" s="1108"/>
      <c r="L448" s="1108"/>
      <c r="M448" s="1108"/>
      <c r="N448" s="1108"/>
      <c r="O448" s="1108"/>
      <c r="P448" s="1108"/>
      <c r="Q448" s="1108"/>
      <c r="R448" s="1108"/>
      <c r="S448" s="1108"/>
      <c r="T448" s="1108"/>
      <c r="U448" s="1108"/>
      <c r="V448" s="1108"/>
      <c r="W448" s="1108"/>
      <c r="X448" s="1108"/>
      <c r="Y448" s="1646"/>
      <c r="Z448" s="1646"/>
      <c r="AA448" s="1646"/>
      <c r="AB448" s="1019"/>
      <c r="AC448" s="1019"/>
      <c r="AD448" s="1019"/>
      <c r="AE448" s="1019"/>
      <c r="AF448" s="1019"/>
      <c r="AG448" s="1019"/>
      <c r="AH448" s="1019"/>
      <c r="AI448" s="959" t="s">
        <v>1707</v>
      </c>
      <c r="AJ448" s="3074">
        <f>VLOOKUP($H$446,$AO$394:$AP$401,2,FALSE)</f>
        <v>5</v>
      </c>
      <c r="AK448" s="3076"/>
      <c r="AL448" s="1005"/>
      <c r="AM448" s="1002"/>
      <c r="AN448" s="1000"/>
    </row>
    <row r="449" spans="1:42" s="943" customFormat="1" ht="12.75" customHeight="1">
      <c r="A449" s="1126"/>
      <c r="B449" s="1006"/>
      <c r="C449" s="1635"/>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6"/>
      <c r="AE449" s="1006"/>
      <c r="AF449" s="1006"/>
      <c r="AG449" s="1006"/>
      <c r="AH449" s="1006"/>
      <c r="AI449" s="1006"/>
      <c r="AJ449" s="991"/>
      <c r="AK449" s="1023"/>
      <c r="AL449" s="1023"/>
      <c r="AM449" s="1060"/>
      <c r="AN449" s="1000"/>
    </row>
    <row r="450" spans="1:42" s="943" customFormat="1" ht="12.75" customHeight="1">
      <c r="A450" s="1126"/>
      <c r="B450" s="927"/>
      <c r="C450" s="986" t="s">
        <v>1708</v>
      </c>
      <c r="D450" s="1656"/>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6"/>
      <c r="AE450" s="1006"/>
      <c r="AF450" s="1006"/>
      <c r="AG450" s="1006"/>
      <c r="AH450" s="1006"/>
      <c r="AI450" s="1006"/>
      <c r="AJ450" s="991"/>
      <c r="AK450" s="1023"/>
      <c r="AL450" s="1023"/>
      <c r="AM450" s="1060"/>
      <c r="AN450" s="1000"/>
    </row>
    <row r="451" spans="1:42" s="943" customFormat="1" ht="12.75" customHeight="1">
      <c r="A451" s="1126"/>
      <c r="B451" s="991"/>
      <c r="C451" s="1657"/>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5"/>
      <c r="D452" s="1106" t="s">
        <v>725</v>
      </c>
      <c r="E452" s="3095" t="s">
        <v>2189</v>
      </c>
      <c r="F452" s="3095"/>
      <c r="G452" s="3095"/>
      <c r="H452" s="3095"/>
      <c r="I452" s="3095"/>
      <c r="J452" s="3095"/>
      <c r="K452" s="3095"/>
      <c r="L452" s="3095"/>
      <c r="M452" s="3095"/>
      <c r="N452" s="3095"/>
      <c r="O452" s="3095"/>
      <c r="P452" s="3095"/>
      <c r="Q452" s="3095"/>
      <c r="R452" s="3095"/>
      <c r="S452" s="3095"/>
      <c r="T452" s="3095"/>
      <c r="U452" s="3095"/>
      <c r="V452" s="3095"/>
      <c r="W452" s="3095"/>
      <c r="X452" s="3095"/>
      <c r="Y452" s="3095"/>
      <c r="Z452" s="3095"/>
      <c r="AA452" s="3095"/>
      <c r="AB452" s="3095"/>
      <c r="AC452" s="927"/>
      <c r="AD452" s="927"/>
      <c r="AE452" s="930"/>
      <c r="AF452" s="3047" t="s">
        <v>1623</v>
      </c>
      <c r="AG452" s="3047"/>
      <c r="AH452" s="3047"/>
      <c r="AI452" s="3047"/>
      <c r="AJ452" s="3047"/>
      <c r="AK452" s="3047"/>
      <c r="AL452" s="3047"/>
      <c r="AM452" s="1026"/>
      <c r="AN452" s="1001"/>
    </row>
    <row r="453" spans="1:42" s="1002" customFormat="1" ht="12.75" customHeight="1">
      <c r="A453" s="1060"/>
      <c r="B453" s="1023"/>
      <c r="C453" s="1647"/>
      <c r="D453" s="1106"/>
      <c r="E453" s="3095"/>
      <c r="F453" s="3095"/>
      <c r="G453" s="3095"/>
      <c r="H453" s="3095"/>
      <c r="I453" s="3095"/>
      <c r="J453" s="3095"/>
      <c r="K453" s="3095"/>
      <c r="L453" s="3095"/>
      <c r="M453" s="3095"/>
      <c r="N453" s="3095"/>
      <c r="O453" s="3095"/>
      <c r="P453" s="3095"/>
      <c r="Q453" s="3095"/>
      <c r="R453" s="3095"/>
      <c r="S453" s="3095"/>
      <c r="T453" s="3095"/>
      <c r="U453" s="3095"/>
      <c r="V453" s="3095"/>
      <c r="W453" s="3095"/>
      <c r="X453" s="3095"/>
      <c r="Y453" s="3095"/>
      <c r="Z453" s="3095"/>
      <c r="AA453" s="3095"/>
      <c r="AB453" s="3095"/>
      <c r="AC453" s="927"/>
      <c r="AD453" s="927"/>
      <c r="AE453" s="1035"/>
      <c r="AF453" s="930"/>
      <c r="AG453" s="930"/>
      <c r="AH453" s="930"/>
      <c r="AI453" s="930"/>
      <c r="AJ453" s="930"/>
      <c r="AK453" s="930"/>
      <c r="AL453" s="930"/>
      <c r="AM453" s="1026"/>
      <c r="AN453" s="1001"/>
      <c r="AO453" s="3118"/>
      <c r="AP453" s="3118"/>
    </row>
    <row r="454" spans="1:42" s="1002" customFormat="1" ht="12.75" customHeight="1">
      <c r="A454" s="1060"/>
      <c r="B454" s="1023"/>
      <c r="C454" s="1647"/>
      <c r="D454" s="1106"/>
      <c r="E454" s="3095"/>
      <c r="F454" s="3095"/>
      <c r="G454" s="3095"/>
      <c r="H454" s="3095"/>
      <c r="I454" s="3095"/>
      <c r="J454" s="3095"/>
      <c r="K454" s="3095"/>
      <c r="L454" s="3095"/>
      <c r="M454" s="3095"/>
      <c r="N454" s="3095"/>
      <c r="O454" s="3095"/>
      <c r="P454" s="3095"/>
      <c r="Q454" s="3095"/>
      <c r="R454" s="3095"/>
      <c r="S454" s="3095"/>
      <c r="T454" s="3095"/>
      <c r="U454" s="3095"/>
      <c r="V454" s="3095"/>
      <c r="W454" s="3095"/>
      <c r="X454" s="3095"/>
      <c r="Y454" s="3095"/>
      <c r="Z454" s="3095"/>
      <c r="AA454" s="3095"/>
      <c r="AB454" s="3095"/>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7"/>
      <c r="D455" s="1106"/>
      <c r="E455" s="3095"/>
      <c r="F455" s="3095"/>
      <c r="G455" s="3095"/>
      <c r="H455" s="3095"/>
      <c r="I455" s="3095"/>
      <c r="J455" s="3095"/>
      <c r="K455" s="3095"/>
      <c r="L455" s="3095"/>
      <c r="M455" s="3095"/>
      <c r="N455" s="3095"/>
      <c r="O455" s="3095"/>
      <c r="P455" s="3095"/>
      <c r="Q455" s="3095"/>
      <c r="R455" s="3095"/>
      <c r="S455" s="3095"/>
      <c r="T455" s="3095"/>
      <c r="U455" s="3095"/>
      <c r="V455" s="3095"/>
      <c r="W455" s="3095"/>
      <c r="X455" s="3095"/>
      <c r="Y455" s="3095"/>
      <c r="Z455" s="3095"/>
      <c r="AA455" s="3095"/>
      <c r="AB455" s="3095"/>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7"/>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5"/>
      <c r="D457" s="1106" t="s">
        <v>542</v>
      </c>
      <c r="E457" s="3095" t="s">
        <v>2191</v>
      </c>
      <c r="F457" s="3095"/>
      <c r="G457" s="3095"/>
      <c r="H457" s="3095"/>
      <c r="I457" s="3095"/>
      <c r="J457" s="3095"/>
      <c r="K457" s="3095"/>
      <c r="L457" s="3095"/>
      <c r="M457" s="3095"/>
      <c r="N457" s="3095"/>
      <c r="O457" s="3095"/>
      <c r="P457" s="3095"/>
      <c r="Q457" s="3095"/>
      <c r="R457" s="3095"/>
      <c r="S457" s="3095"/>
      <c r="T457" s="3095"/>
      <c r="U457" s="3095"/>
      <c r="V457" s="3095"/>
      <c r="W457" s="3095"/>
      <c r="X457" s="3095"/>
      <c r="Y457" s="3095"/>
      <c r="Z457" s="3095"/>
      <c r="AA457" s="3095"/>
      <c r="AB457" s="3095"/>
      <c r="AC457" s="927"/>
      <c r="AD457" s="927"/>
      <c r="AE457" s="927"/>
      <c r="AF457" s="3047" t="s">
        <v>1687</v>
      </c>
      <c r="AG457" s="3047"/>
      <c r="AH457" s="3047"/>
      <c r="AI457" s="3047"/>
      <c r="AJ457" s="3047"/>
      <c r="AK457" s="3047"/>
      <c r="AL457" s="3047"/>
      <c r="AM457" s="1026"/>
      <c r="AN457" s="1000"/>
      <c r="AO457" s="1118" t="s">
        <v>542</v>
      </c>
      <c r="AP457" s="943">
        <v>1</v>
      </c>
    </row>
    <row r="458" spans="1:42" s="943" customFormat="1" ht="12" customHeight="1">
      <c r="A458" s="1026"/>
      <c r="B458" s="927"/>
      <c r="C458" s="1655"/>
      <c r="D458" s="927"/>
      <c r="E458" s="3095"/>
      <c r="F458" s="3095"/>
      <c r="G458" s="3095"/>
      <c r="H458" s="3095"/>
      <c r="I458" s="3095"/>
      <c r="J458" s="3095"/>
      <c r="K458" s="3095"/>
      <c r="L458" s="3095"/>
      <c r="M458" s="3095"/>
      <c r="N458" s="3095"/>
      <c r="O458" s="3095"/>
      <c r="P458" s="3095"/>
      <c r="Q458" s="3095"/>
      <c r="R458" s="3095"/>
      <c r="S458" s="3095"/>
      <c r="T458" s="3095"/>
      <c r="U458" s="3095"/>
      <c r="V458" s="3095"/>
      <c r="W458" s="3095"/>
      <c r="X458" s="3095"/>
      <c r="Y458" s="3095"/>
      <c r="Z458" s="3095"/>
      <c r="AA458" s="3095"/>
      <c r="AB458" s="3095"/>
      <c r="AC458" s="927"/>
      <c r="AD458" s="927"/>
      <c r="AE458" s="1035"/>
      <c r="AF458" s="927"/>
      <c r="AG458" s="927"/>
      <c r="AH458" s="927"/>
      <c r="AI458" s="927"/>
      <c r="AJ458" s="927"/>
      <c r="AK458" s="927"/>
      <c r="AL458" s="927"/>
      <c r="AM458" s="1026"/>
      <c r="AN458" s="1000"/>
    </row>
    <row r="459" spans="1:42" s="943" customFormat="1" ht="12" customHeight="1">
      <c r="A459" s="1026"/>
      <c r="B459" s="927"/>
      <c r="C459" s="1655"/>
      <c r="D459" s="927"/>
      <c r="E459" s="3095"/>
      <c r="F459" s="3095"/>
      <c r="G459" s="3095"/>
      <c r="H459" s="3095"/>
      <c r="I459" s="3095"/>
      <c r="J459" s="3095"/>
      <c r="K459" s="3095"/>
      <c r="L459" s="3095"/>
      <c r="M459" s="3095"/>
      <c r="N459" s="3095"/>
      <c r="O459" s="3095"/>
      <c r="P459" s="3095"/>
      <c r="Q459" s="3095"/>
      <c r="R459" s="3095"/>
      <c r="S459" s="3095"/>
      <c r="T459" s="3095"/>
      <c r="U459" s="3095"/>
      <c r="V459" s="3095"/>
      <c r="W459" s="3095"/>
      <c r="X459" s="3095"/>
      <c r="Y459" s="3095"/>
      <c r="Z459" s="3095"/>
      <c r="AA459" s="3095"/>
      <c r="AB459" s="3095"/>
      <c r="AC459" s="927"/>
      <c r="AD459" s="927"/>
      <c r="AE459" s="1035"/>
      <c r="AF459" s="927"/>
      <c r="AG459" s="927"/>
      <c r="AH459" s="927"/>
      <c r="AI459" s="927"/>
      <c r="AJ459" s="927"/>
      <c r="AK459" s="927"/>
      <c r="AL459" s="927"/>
      <c r="AM459" s="1026"/>
      <c r="AN459" s="1000"/>
    </row>
    <row r="460" spans="1:42" s="1134" customFormat="1" ht="12" customHeight="1">
      <c r="A460" s="1026"/>
      <c r="B460" s="927"/>
      <c r="C460" s="1655"/>
      <c r="D460" s="927"/>
      <c r="E460" s="3095"/>
      <c r="F460" s="3095"/>
      <c r="G460" s="3095"/>
      <c r="H460" s="3095"/>
      <c r="I460" s="3095"/>
      <c r="J460" s="3095"/>
      <c r="K460" s="3095"/>
      <c r="L460" s="3095"/>
      <c r="M460" s="3095"/>
      <c r="N460" s="3095"/>
      <c r="O460" s="3095"/>
      <c r="P460" s="3095"/>
      <c r="Q460" s="3095"/>
      <c r="R460" s="3095"/>
      <c r="S460" s="3095"/>
      <c r="T460" s="3095"/>
      <c r="U460" s="3095"/>
      <c r="V460" s="3095"/>
      <c r="W460" s="3095"/>
      <c r="X460" s="3095"/>
      <c r="Y460" s="3095"/>
      <c r="Z460" s="3095"/>
      <c r="AA460" s="3095"/>
      <c r="AB460" s="3095"/>
      <c r="AC460" s="927"/>
      <c r="AD460" s="927"/>
      <c r="AE460" s="1035"/>
      <c r="AF460" s="1035"/>
      <c r="AG460" s="1035"/>
      <c r="AH460" s="1035"/>
      <c r="AI460" s="1035"/>
      <c r="AJ460" s="927"/>
      <c r="AK460" s="1006"/>
      <c r="AL460" s="1006"/>
      <c r="AM460" s="1026"/>
      <c r="AN460" s="1133"/>
    </row>
    <row r="461" spans="1:42" s="1134" customFormat="1" ht="12" customHeight="1">
      <c r="A461" s="1026"/>
      <c r="B461" s="927"/>
      <c r="C461" s="1655"/>
      <c r="D461" s="927"/>
      <c r="E461" s="1595"/>
      <c r="F461" s="1595"/>
      <c r="G461" s="1595"/>
      <c r="H461" s="1595"/>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5"/>
      <c r="D462" s="927"/>
      <c r="E462" s="3095" t="s">
        <v>2190</v>
      </c>
      <c r="F462" s="3095"/>
      <c r="G462" s="3095"/>
      <c r="H462" s="3095"/>
      <c r="I462" s="3095"/>
      <c r="J462" s="3095"/>
      <c r="K462" s="3095"/>
      <c r="L462" s="3095"/>
      <c r="M462" s="3095"/>
      <c r="N462" s="3095"/>
      <c r="O462" s="3095"/>
      <c r="P462" s="3095"/>
      <c r="Q462" s="3095"/>
      <c r="R462" s="3095"/>
      <c r="S462" s="3095"/>
      <c r="T462" s="3095"/>
      <c r="U462" s="3095"/>
      <c r="V462" s="3095"/>
      <c r="W462" s="3095"/>
      <c r="X462" s="3095"/>
      <c r="Y462" s="3095"/>
      <c r="Z462" s="3095"/>
      <c r="AA462" s="3095"/>
      <c r="AB462" s="3095"/>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5"/>
      <c r="D463" s="927"/>
      <c r="E463" s="3095"/>
      <c r="F463" s="3095"/>
      <c r="G463" s="3095"/>
      <c r="H463" s="3095"/>
      <c r="I463" s="3095"/>
      <c r="J463" s="3095"/>
      <c r="K463" s="3095"/>
      <c r="L463" s="3095"/>
      <c r="M463" s="3095"/>
      <c r="N463" s="3095"/>
      <c r="O463" s="3095"/>
      <c r="P463" s="3095"/>
      <c r="Q463" s="3095"/>
      <c r="R463" s="3095"/>
      <c r="S463" s="3095"/>
      <c r="T463" s="3095"/>
      <c r="U463" s="3095"/>
      <c r="V463" s="3095"/>
      <c r="W463" s="3095"/>
      <c r="X463" s="3095"/>
      <c r="Y463" s="3095"/>
      <c r="Z463" s="3095"/>
      <c r="AA463" s="3095"/>
      <c r="AB463" s="3095"/>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5"/>
      <c r="D464" s="927"/>
      <c r="E464" s="3095"/>
      <c r="F464" s="3095"/>
      <c r="G464" s="3095"/>
      <c r="H464" s="3095"/>
      <c r="I464" s="3095"/>
      <c r="J464" s="3095"/>
      <c r="K464" s="3095"/>
      <c r="L464" s="3095"/>
      <c r="M464" s="3095"/>
      <c r="N464" s="3095"/>
      <c r="O464" s="3095"/>
      <c r="P464" s="3095"/>
      <c r="Q464" s="3095"/>
      <c r="R464" s="3095"/>
      <c r="S464" s="3095"/>
      <c r="T464" s="3095"/>
      <c r="U464" s="3095"/>
      <c r="V464" s="3095"/>
      <c r="W464" s="3095"/>
      <c r="X464" s="3095"/>
      <c r="Y464" s="3095"/>
      <c r="Z464" s="3095"/>
      <c r="AA464" s="3095"/>
      <c r="AB464" s="3095"/>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5"/>
      <c r="D465" s="927"/>
      <c r="E465" s="1595"/>
      <c r="F465" s="1595"/>
      <c r="G465" s="1595"/>
      <c r="H465" s="1595"/>
      <c r="I465" s="1595"/>
      <c r="J465" s="1595"/>
      <c r="K465" s="1595"/>
      <c r="L465" s="1595"/>
      <c r="M465" s="1595"/>
      <c r="N465" s="1595"/>
      <c r="O465" s="1595"/>
      <c r="P465" s="1595"/>
      <c r="Q465" s="1595"/>
      <c r="R465" s="1595"/>
      <c r="S465" s="1595"/>
      <c r="T465" s="1595"/>
      <c r="U465" s="1595"/>
      <c r="V465" s="1595"/>
      <c r="W465" s="1595"/>
      <c r="X465" s="1595"/>
      <c r="Y465" s="1595"/>
      <c r="Z465" s="1595"/>
      <c r="AA465" s="1595"/>
      <c r="AB465" s="1595"/>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5"/>
      <c r="D466" s="1023" t="s">
        <v>1679</v>
      </c>
      <c r="E466" s="1641"/>
      <c r="F466" s="1641"/>
      <c r="G466" s="1641"/>
      <c r="H466" s="3114" t="s">
        <v>542</v>
      </c>
      <c r="I466" s="3114"/>
      <c r="J466" s="1595"/>
      <c r="K466" s="1595"/>
      <c r="L466" s="1595"/>
      <c r="M466" s="1595"/>
      <c r="N466" s="1595"/>
      <c r="O466" s="1595"/>
      <c r="P466" s="1595"/>
      <c r="Q466" s="1595"/>
      <c r="R466" s="1595"/>
      <c r="S466" s="1595"/>
      <c r="T466" s="1595"/>
      <c r="U466" s="1595"/>
      <c r="V466" s="1595"/>
      <c r="W466" s="1595"/>
      <c r="X466" s="1595"/>
      <c r="Y466" s="1595"/>
      <c r="Z466" s="1595"/>
      <c r="AA466" s="1595"/>
      <c r="AB466" s="1595"/>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5"/>
      <c r="D467" s="927"/>
      <c r="E467" s="1595"/>
      <c r="F467" s="1595"/>
      <c r="G467" s="1595"/>
      <c r="H467" s="1595"/>
      <c r="I467" s="1595"/>
      <c r="J467" s="1595"/>
      <c r="K467" s="1595"/>
      <c r="L467" s="1595"/>
      <c r="M467" s="1595"/>
      <c r="N467" s="1595"/>
      <c r="O467" s="1595"/>
      <c r="P467" s="1595"/>
      <c r="Q467" s="1595"/>
      <c r="R467" s="1595"/>
      <c r="S467" s="1595"/>
      <c r="T467" s="1595"/>
      <c r="U467" s="1595"/>
      <c r="V467" s="1595"/>
      <c r="W467" s="1595"/>
      <c r="X467" s="1595"/>
      <c r="Y467" s="1595"/>
      <c r="Z467" s="1595"/>
      <c r="AA467" s="1595"/>
      <c r="AB467" s="1595"/>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1"/>
      <c r="D468" s="1009"/>
      <c r="E468" s="1009"/>
      <c r="F468" s="1009"/>
      <c r="G468" s="1009"/>
      <c r="H468" s="1009"/>
      <c r="I468" s="1009"/>
      <c r="J468" s="1658"/>
      <c r="K468" s="1658"/>
      <c r="L468" s="1108"/>
      <c r="M468" s="1108"/>
      <c r="N468" s="1108"/>
      <c r="O468" s="1108"/>
      <c r="P468" s="1108"/>
      <c r="Q468" s="1108"/>
      <c r="R468" s="1108"/>
      <c r="S468" s="1108"/>
      <c r="T468" s="1108"/>
      <c r="U468" s="1108"/>
      <c r="V468" s="1108"/>
      <c r="W468" s="1108"/>
      <c r="X468" s="1108"/>
      <c r="Y468" s="1646"/>
      <c r="Z468" s="1646"/>
      <c r="AA468" s="1646"/>
      <c r="AB468" s="1019"/>
      <c r="AC468" s="1019"/>
      <c r="AD468" s="1019"/>
      <c r="AE468" s="1019"/>
      <c r="AF468" s="1019"/>
      <c r="AG468" s="1019"/>
      <c r="AH468" s="1019"/>
      <c r="AI468" s="959" t="s">
        <v>1710</v>
      </c>
      <c r="AJ468" s="3074">
        <f>VLOOKUP($H$466,$AO$413:$AP$415,2,FALSE)</f>
        <v>2</v>
      </c>
      <c r="AK468" s="3076"/>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5"/>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5"/>
      <c r="D472" s="1106" t="s">
        <v>725</v>
      </c>
      <c r="E472" s="3119" t="s">
        <v>2194</v>
      </c>
      <c r="F472" s="3119"/>
      <c r="G472" s="3119"/>
      <c r="H472" s="3119"/>
      <c r="I472" s="3119"/>
      <c r="J472" s="3119"/>
      <c r="K472" s="3119"/>
      <c r="L472" s="3119"/>
      <c r="M472" s="3119"/>
      <c r="N472" s="3119"/>
      <c r="O472" s="3119"/>
      <c r="P472" s="3119"/>
      <c r="Q472" s="3119"/>
      <c r="R472" s="3119"/>
      <c r="S472" s="3119"/>
      <c r="T472" s="3119"/>
      <c r="U472" s="3119"/>
      <c r="V472" s="3119"/>
      <c r="W472" s="3119"/>
      <c r="X472" s="3119"/>
      <c r="Y472" s="3119"/>
      <c r="Z472" s="3119"/>
      <c r="AA472" s="3119"/>
      <c r="AB472" s="3119"/>
      <c r="AC472" s="927"/>
      <c r="AD472" s="927"/>
      <c r="AE472" s="927"/>
      <c r="AF472" s="3047" t="s">
        <v>1623</v>
      </c>
      <c r="AG472" s="3047"/>
      <c r="AH472" s="3047"/>
      <c r="AI472" s="3047"/>
      <c r="AJ472" s="3047"/>
      <c r="AK472" s="3047"/>
      <c r="AL472" s="3047"/>
      <c r="AM472" s="1026"/>
      <c r="AN472" s="1133"/>
      <c r="AP472" s="1135" t="s">
        <v>1715</v>
      </c>
    </row>
    <row r="473" spans="1:43" s="1134" customFormat="1" ht="11.85" customHeight="1">
      <c r="A473" s="1060"/>
      <c r="B473" s="1023"/>
      <c r="C473" s="1637"/>
      <c r="D473" s="1106"/>
      <c r="E473" s="3119"/>
      <c r="F473" s="3119"/>
      <c r="G473" s="3119"/>
      <c r="H473" s="3119"/>
      <c r="I473" s="3119"/>
      <c r="J473" s="3119"/>
      <c r="K473" s="3119"/>
      <c r="L473" s="3119"/>
      <c r="M473" s="3119"/>
      <c r="N473" s="3119"/>
      <c r="O473" s="3119"/>
      <c r="P473" s="3119"/>
      <c r="Q473" s="3119"/>
      <c r="R473" s="3119"/>
      <c r="S473" s="3119"/>
      <c r="T473" s="3119"/>
      <c r="U473" s="3119"/>
      <c r="V473" s="3119"/>
      <c r="W473" s="3119"/>
      <c r="X473" s="3119"/>
      <c r="Y473" s="3119"/>
      <c r="Z473" s="3119"/>
      <c r="AA473" s="3119"/>
      <c r="AB473" s="3119"/>
      <c r="AC473" s="927"/>
      <c r="AD473" s="927"/>
      <c r="AE473" s="1023"/>
      <c r="AF473" s="927"/>
      <c r="AG473" s="927"/>
      <c r="AH473" s="927"/>
      <c r="AI473" s="927"/>
      <c r="AJ473" s="927"/>
      <c r="AK473" s="927"/>
      <c r="AL473" s="927"/>
      <c r="AM473" s="1026"/>
      <c r="AN473" s="1133"/>
      <c r="AP473" s="1135" t="s">
        <v>1716</v>
      </c>
    </row>
    <row r="474" spans="1:43" s="1134" customFormat="1" ht="13.9" customHeight="1">
      <c r="A474" s="1060"/>
      <c r="B474" s="1024"/>
      <c r="C474" s="1638"/>
      <c r="D474" s="1106"/>
      <c r="E474" s="3119"/>
      <c r="F474" s="3119"/>
      <c r="G474" s="3119"/>
      <c r="H474" s="3119"/>
      <c r="I474" s="3119"/>
      <c r="J474" s="3119"/>
      <c r="K474" s="3119"/>
      <c r="L474" s="3119"/>
      <c r="M474" s="3119"/>
      <c r="N474" s="3119"/>
      <c r="O474" s="3119"/>
      <c r="P474" s="3119"/>
      <c r="Q474" s="3119"/>
      <c r="R474" s="3119"/>
      <c r="S474" s="3119"/>
      <c r="T474" s="3119"/>
      <c r="U474" s="3119"/>
      <c r="V474" s="3119"/>
      <c r="W474" s="3119"/>
      <c r="X474" s="3119"/>
      <c r="Y474" s="3119"/>
      <c r="Z474" s="3119"/>
      <c r="AA474" s="3119"/>
      <c r="AB474" s="3119"/>
      <c r="AC474" s="927"/>
      <c r="AD474" s="927"/>
      <c r="AE474" s="1035"/>
      <c r="AF474" s="927"/>
      <c r="AG474" s="927"/>
      <c r="AH474" s="927"/>
      <c r="AI474" s="927"/>
      <c r="AJ474" s="927"/>
      <c r="AK474" s="927"/>
      <c r="AL474" s="927"/>
      <c r="AM474" s="1026"/>
      <c r="AN474" s="1133"/>
      <c r="AP474" s="1135" t="s">
        <v>1717</v>
      </c>
    </row>
    <row r="475" spans="1:43" s="1134" customFormat="1" ht="13.9" customHeight="1">
      <c r="A475" s="1060"/>
      <c r="B475" s="1024"/>
      <c r="C475" s="1638"/>
      <c r="D475" s="1106"/>
      <c r="E475" s="1641"/>
      <c r="F475" s="1641"/>
      <c r="G475" s="1641"/>
      <c r="H475" s="1641"/>
      <c r="I475" s="1641"/>
      <c r="J475" s="1641"/>
      <c r="K475" s="1641"/>
      <c r="L475" s="1641"/>
      <c r="M475" s="1641"/>
      <c r="N475" s="1641"/>
      <c r="O475" s="1641"/>
      <c r="P475" s="1641"/>
      <c r="Q475" s="1641"/>
      <c r="R475" s="1641"/>
      <c r="S475" s="1641"/>
      <c r="T475" s="1641"/>
      <c r="U475" s="1641"/>
      <c r="V475" s="1641"/>
      <c r="W475" s="1641"/>
      <c r="X475" s="1641"/>
      <c r="Y475" s="1641"/>
      <c r="Z475" s="1641"/>
      <c r="AA475" s="1641"/>
      <c r="AB475" s="1641"/>
      <c r="AC475" s="927"/>
      <c r="AD475" s="927"/>
      <c r="AE475" s="1035"/>
      <c r="AF475" s="927"/>
      <c r="AG475" s="927"/>
      <c r="AH475" s="927"/>
      <c r="AI475" s="927"/>
      <c r="AJ475" s="927"/>
      <c r="AK475" s="927"/>
      <c r="AL475" s="927"/>
      <c r="AM475" s="1026"/>
      <c r="AN475" s="1133"/>
      <c r="AP475" s="1137" t="s">
        <v>1719</v>
      </c>
    </row>
    <row r="476" spans="1:43" s="1134" customFormat="1" ht="13.9" customHeight="1">
      <c r="A476" s="1060"/>
      <c r="B476" s="1006"/>
      <c r="C476" s="1635"/>
      <c r="D476" s="1106" t="s">
        <v>542</v>
      </c>
      <c r="E476" s="3120" t="s">
        <v>1718</v>
      </c>
      <c r="F476" s="3120"/>
      <c r="G476" s="3120"/>
      <c r="H476" s="3120"/>
      <c r="I476" s="3120"/>
      <c r="J476" s="3120"/>
      <c r="K476" s="3120"/>
      <c r="L476" s="3120"/>
      <c r="M476" s="3120"/>
      <c r="N476" s="3120"/>
      <c r="O476" s="3120"/>
      <c r="P476" s="3120"/>
      <c r="Q476" s="3120"/>
      <c r="R476" s="3120"/>
      <c r="S476" s="3120"/>
      <c r="T476" s="3120"/>
      <c r="U476" s="3120"/>
      <c r="V476" s="3120"/>
      <c r="W476" s="3120"/>
      <c r="X476" s="3120"/>
      <c r="Y476" s="3120"/>
      <c r="Z476" s="3120"/>
      <c r="AA476" s="3120"/>
      <c r="AB476" s="3120"/>
      <c r="AC476" s="927"/>
      <c r="AD476" s="927"/>
      <c r="AE476" s="927"/>
      <c r="AF476" s="3047" t="s">
        <v>1687</v>
      </c>
      <c r="AG476" s="3047"/>
      <c r="AH476" s="3047"/>
      <c r="AI476" s="3047"/>
      <c r="AJ476" s="3047"/>
      <c r="AK476" s="3047"/>
      <c r="AL476" s="3047"/>
      <c r="AM476" s="1026"/>
      <c r="AN476" s="1136"/>
    </row>
    <row r="477" spans="1:43" s="1134" customFormat="1" ht="12.75" customHeight="1">
      <c r="A477" s="1060"/>
      <c r="B477" s="1023"/>
      <c r="C477" s="1637"/>
      <c r="D477" s="1023"/>
      <c r="E477" s="3120"/>
      <c r="F477" s="3120"/>
      <c r="G477" s="3120"/>
      <c r="H477" s="3120"/>
      <c r="I477" s="3120"/>
      <c r="J477" s="3120"/>
      <c r="K477" s="3120"/>
      <c r="L477" s="3120"/>
      <c r="M477" s="3120"/>
      <c r="N477" s="3120"/>
      <c r="O477" s="3120"/>
      <c r="P477" s="3120"/>
      <c r="Q477" s="3120"/>
      <c r="R477" s="3120"/>
      <c r="S477" s="3120"/>
      <c r="T477" s="3120"/>
      <c r="U477" s="3120"/>
      <c r="V477" s="3120"/>
      <c r="W477" s="3120"/>
      <c r="X477" s="3120"/>
      <c r="Y477" s="3120"/>
      <c r="Z477" s="3120"/>
      <c r="AA477" s="3120"/>
      <c r="AB477" s="3120"/>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7"/>
      <c r="D478" s="1023"/>
      <c r="E478" s="3120"/>
      <c r="F478" s="3120"/>
      <c r="G478" s="3120"/>
      <c r="H478" s="3120"/>
      <c r="I478" s="3120"/>
      <c r="J478" s="3120"/>
      <c r="K478" s="3120"/>
      <c r="L478" s="3120"/>
      <c r="M478" s="3120"/>
      <c r="N478" s="3120"/>
      <c r="O478" s="3120"/>
      <c r="P478" s="3120"/>
      <c r="Q478" s="3120"/>
      <c r="R478" s="3120"/>
      <c r="S478" s="3120"/>
      <c r="T478" s="3120"/>
      <c r="U478" s="3120"/>
      <c r="V478" s="3120"/>
      <c r="W478" s="3120"/>
      <c r="X478" s="3120"/>
      <c r="Y478" s="3120"/>
      <c r="Z478" s="3120"/>
      <c r="AA478" s="3120"/>
      <c r="AB478" s="3120"/>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7"/>
      <c r="D479" s="1023"/>
      <c r="E479" s="1659"/>
      <c r="F479" s="1659"/>
      <c r="G479" s="1659"/>
      <c r="H479" s="1659"/>
      <c r="I479" s="1659"/>
      <c r="J479" s="1659"/>
      <c r="K479" s="1659"/>
      <c r="L479" s="1659"/>
      <c r="M479" s="1659"/>
      <c r="N479" s="1659"/>
      <c r="O479" s="1659"/>
      <c r="P479" s="1659"/>
      <c r="Q479" s="1659"/>
      <c r="R479" s="1659"/>
      <c r="S479" s="1659"/>
      <c r="T479" s="1659"/>
      <c r="U479" s="1659"/>
      <c r="V479" s="1659"/>
      <c r="W479" s="1659"/>
      <c r="X479" s="1659"/>
      <c r="Y479" s="1659"/>
      <c r="Z479" s="1659"/>
      <c r="AA479" s="1659"/>
      <c r="AB479" s="1659"/>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7"/>
      <c r="D480" s="1023" t="s">
        <v>1679</v>
      </c>
      <c r="E480" s="1641"/>
      <c r="F480" s="1641"/>
      <c r="G480" s="1641"/>
      <c r="H480" s="3114" t="s">
        <v>626</v>
      </c>
      <c r="I480" s="3114"/>
      <c r="J480" s="1659"/>
      <c r="K480" s="1659"/>
      <c r="L480" s="1659"/>
      <c r="M480" s="1659"/>
      <c r="N480" s="1659"/>
      <c r="O480" s="1659"/>
      <c r="P480" s="1659"/>
      <c r="Q480" s="1659"/>
      <c r="R480" s="1659"/>
      <c r="S480" s="1659"/>
      <c r="T480" s="1659"/>
      <c r="U480" s="1659"/>
      <c r="V480" s="1659"/>
      <c r="W480" s="1659"/>
      <c r="X480" s="1659"/>
      <c r="Y480" s="1659"/>
      <c r="Z480" s="1659"/>
      <c r="AA480" s="1659"/>
      <c r="AB480" s="1659"/>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7"/>
      <c r="D481" s="1023"/>
      <c r="E481" s="1659"/>
      <c r="F481" s="1659"/>
      <c r="G481" s="1659"/>
      <c r="H481" s="1659"/>
      <c r="I481" s="1659"/>
      <c r="J481" s="1659"/>
      <c r="K481" s="1659"/>
      <c r="L481" s="1659"/>
      <c r="M481" s="1659"/>
      <c r="N481" s="1659"/>
      <c r="O481" s="1659"/>
      <c r="P481" s="1659"/>
      <c r="Q481" s="1659"/>
      <c r="R481" s="1659"/>
      <c r="S481" s="1659"/>
      <c r="T481" s="1659"/>
      <c r="U481" s="1659"/>
      <c r="V481" s="1659"/>
      <c r="W481" s="1659"/>
      <c r="X481" s="1659"/>
      <c r="Y481" s="1659"/>
      <c r="Z481" s="1659"/>
      <c r="AA481" s="1659"/>
      <c r="AB481" s="1659"/>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5"/>
      <c r="D482" s="1009"/>
      <c r="E482" s="1009"/>
      <c r="F482" s="1009"/>
      <c r="G482" s="1009"/>
      <c r="H482" s="1009"/>
      <c r="I482" s="1009"/>
      <c r="J482" s="1660"/>
      <c r="K482" s="1660"/>
      <c r="L482" s="1660"/>
      <c r="M482" s="1660"/>
      <c r="N482" s="1660"/>
      <c r="O482" s="1660"/>
      <c r="P482" s="1660"/>
      <c r="Q482" s="1660"/>
      <c r="R482" s="1660"/>
      <c r="S482" s="1660"/>
      <c r="T482" s="1660"/>
      <c r="U482" s="1108"/>
      <c r="V482" s="1108"/>
      <c r="W482" s="1108"/>
      <c r="X482" s="1108"/>
      <c r="Y482" s="1646"/>
      <c r="Z482" s="1646"/>
      <c r="AA482" s="1646"/>
      <c r="AB482" s="1019"/>
      <c r="AC482" s="1019"/>
      <c r="AD482" s="1019"/>
      <c r="AE482" s="1019"/>
      <c r="AF482" s="1019"/>
      <c r="AG482" s="1019"/>
      <c r="AH482" s="1019"/>
      <c r="AI482" s="959" t="s">
        <v>1720</v>
      </c>
      <c r="AJ482" s="3074">
        <f>VLOOKUP($H$480,$AO$413:$AP$415,2,FALSE)</f>
        <v>0</v>
      </c>
      <c r="AK482" s="3076"/>
      <c r="AL482" s="1005"/>
      <c r="AM482" s="1002"/>
      <c r="AN482" s="1138"/>
      <c r="AP482" s="3074"/>
      <c r="AQ482" s="3076"/>
    </row>
    <row r="483" spans="1:81" s="1134" customFormat="1">
      <c r="A483" s="1060"/>
      <c r="B483" s="1024"/>
      <c r="C483" s="1638"/>
      <c r="D483" s="1640"/>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1"/>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38"/>
      <c r="D485" s="1640"/>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5"/>
      <c r="D486" s="1106" t="s">
        <v>725</v>
      </c>
      <c r="E486" s="3095" t="s">
        <v>2195</v>
      </c>
      <c r="F486" s="3095"/>
      <c r="G486" s="3095"/>
      <c r="H486" s="3095"/>
      <c r="I486" s="3095"/>
      <c r="J486" s="3095"/>
      <c r="K486" s="3095"/>
      <c r="L486" s="3095"/>
      <c r="M486" s="3095"/>
      <c r="N486" s="3095"/>
      <c r="O486" s="3095"/>
      <c r="P486" s="3095"/>
      <c r="Q486" s="3095"/>
      <c r="R486" s="3095"/>
      <c r="S486" s="3095"/>
      <c r="T486" s="3095"/>
      <c r="U486" s="3095"/>
      <c r="V486" s="3095"/>
      <c r="W486" s="3095"/>
      <c r="X486" s="3095"/>
      <c r="Y486" s="3095"/>
      <c r="Z486" s="3095"/>
      <c r="AA486" s="3095"/>
      <c r="AB486" s="3095"/>
      <c r="AC486" s="927"/>
      <c r="AD486" s="927"/>
      <c r="AE486" s="927"/>
      <c r="AF486" s="3047" t="s">
        <v>1623</v>
      </c>
      <c r="AG486" s="3047"/>
      <c r="AH486" s="3047"/>
      <c r="AI486" s="3047"/>
      <c r="AJ486" s="3047"/>
      <c r="AK486" s="3047"/>
      <c r="AL486" s="3047"/>
      <c r="AM486" s="1026"/>
      <c r="AN486" s="1133"/>
      <c r="AT486" s="51"/>
      <c r="AU486" s="51"/>
      <c r="AV486" s="51"/>
      <c r="AW486" s="51"/>
      <c r="AX486" s="51"/>
      <c r="AY486" s="51"/>
      <c r="AZ486" s="51"/>
    </row>
    <row r="487" spans="1:81" s="1134" customFormat="1">
      <c r="A487" s="1060"/>
      <c r="B487" s="1023"/>
      <c r="C487" s="1637"/>
      <c r="D487" s="1106"/>
      <c r="E487" s="3095"/>
      <c r="F487" s="3095"/>
      <c r="G487" s="3095"/>
      <c r="H487" s="3095"/>
      <c r="I487" s="3095"/>
      <c r="J487" s="3095"/>
      <c r="K487" s="3095"/>
      <c r="L487" s="3095"/>
      <c r="M487" s="3095"/>
      <c r="N487" s="3095"/>
      <c r="O487" s="3095"/>
      <c r="P487" s="3095"/>
      <c r="Q487" s="3095"/>
      <c r="R487" s="3095"/>
      <c r="S487" s="3095"/>
      <c r="T487" s="3095"/>
      <c r="U487" s="3095"/>
      <c r="V487" s="3095"/>
      <c r="W487" s="3095"/>
      <c r="X487" s="3095"/>
      <c r="Y487" s="3095"/>
      <c r="Z487" s="3095"/>
      <c r="AA487" s="3095"/>
      <c r="AB487" s="3095"/>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38"/>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5"/>
      <c r="D489" s="1106" t="s">
        <v>542</v>
      </c>
      <c r="E489" s="3095" t="s">
        <v>1722</v>
      </c>
      <c r="F489" s="3095"/>
      <c r="G489" s="3095"/>
      <c r="H489" s="3095"/>
      <c r="I489" s="3095"/>
      <c r="J489" s="3095"/>
      <c r="K489" s="3095"/>
      <c r="L489" s="3095"/>
      <c r="M489" s="3095"/>
      <c r="N489" s="3095"/>
      <c r="O489" s="3095"/>
      <c r="P489" s="3095"/>
      <c r="Q489" s="3095"/>
      <c r="R489" s="3095"/>
      <c r="S489" s="3095"/>
      <c r="T489" s="3095"/>
      <c r="U489" s="3095"/>
      <c r="V489" s="3095"/>
      <c r="W489" s="3095"/>
      <c r="X489" s="3095"/>
      <c r="Y489" s="3095"/>
      <c r="Z489" s="3095"/>
      <c r="AA489" s="3095"/>
      <c r="AB489" s="3095"/>
      <c r="AC489" s="927"/>
      <c r="AD489" s="927"/>
      <c r="AE489" s="927"/>
      <c r="AF489" s="3047" t="s">
        <v>1687</v>
      </c>
      <c r="AG489" s="3047"/>
      <c r="AH489" s="3047"/>
      <c r="AI489" s="3047"/>
      <c r="AJ489" s="3047"/>
      <c r="AK489" s="3047"/>
      <c r="AL489" s="3047"/>
      <c r="AM489" s="1026"/>
      <c r="AN489" s="1133"/>
      <c r="AT489" s="51"/>
      <c r="AU489" s="51"/>
      <c r="AV489" s="51"/>
      <c r="AW489" s="51"/>
      <c r="AX489" s="51"/>
      <c r="AY489" s="51"/>
      <c r="AZ489" s="51"/>
    </row>
    <row r="490" spans="1:81" s="1134" customFormat="1">
      <c r="A490" s="1060"/>
      <c r="B490" s="1023"/>
      <c r="C490" s="1637"/>
      <c r="D490" s="1023"/>
      <c r="E490" s="3095"/>
      <c r="F490" s="3095"/>
      <c r="G490" s="3095"/>
      <c r="H490" s="3095"/>
      <c r="I490" s="3095"/>
      <c r="J490" s="3095"/>
      <c r="K490" s="3095"/>
      <c r="L490" s="3095"/>
      <c r="M490" s="3095"/>
      <c r="N490" s="3095"/>
      <c r="O490" s="3095"/>
      <c r="P490" s="3095"/>
      <c r="Q490" s="3095"/>
      <c r="R490" s="3095"/>
      <c r="S490" s="3095"/>
      <c r="T490" s="3095"/>
      <c r="U490" s="3095"/>
      <c r="V490" s="3095"/>
      <c r="W490" s="3095"/>
      <c r="X490" s="3095"/>
      <c r="Y490" s="3095"/>
      <c r="Z490" s="3095"/>
      <c r="AA490" s="3095"/>
      <c r="AB490" s="3095"/>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7"/>
      <c r="D491" s="1023"/>
      <c r="E491" s="1595"/>
      <c r="F491" s="1595"/>
      <c r="G491" s="1595"/>
      <c r="H491" s="1595"/>
      <c r="I491" s="1595"/>
      <c r="J491" s="1595"/>
      <c r="K491" s="1595"/>
      <c r="L491" s="1595"/>
      <c r="M491" s="1595"/>
      <c r="N491" s="1595"/>
      <c r="O491" s="1595"/>
      <c r="P491" s="1595"/>
      <c r="Q491" s="1595"/>
      <c r="R491" s="1595"/>
      <c r="S491" s="1595"/>
      <c r="T491" s="1595"/>
      <c r="U491" s="1595"/>
      <c r="V491" s="1595"/>
      <c r="W491" s="1595"/>
      <c r="X491" s="1595"/>
      <c r="Y491" s="1595"/>
      <c r="Z491" s="1595"/>
      <c r="AA491" s="1595"/>
      <c r="AB491" s="1595"/>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7"/>
      <c r="D492" s="1023" t="s">
        <v>1679</v>
      </c>
      <c r="E492" s="1641"/>
      <c r="F492" s="1641"/>
      <c r="G492" s="1641"/>
      <c r="H492" s="3114" t="s">
        <v>626</v>
      </c>
      <c r="I492" s="3114"/>
      <c r="J492" s="1595"/>
      <c r="K492" s="1595"/>
      <c r="L492" s="1595"/>
      <c r="M492" s="1595"/>
      <c r="N492" s="1595"/>
      <c r="O492" s="1595"/>
      <c r="P492" s="1595"/>
      <c r="Q492" s="1595"/>
      <c r="R492" s="1595"/>
      <c r="S492" s="1595"/>
      <c r="T492" s="1595"/>
      <c r="U492" s="1595"/>
      <c r="V492" s="1595"/>
      <c r="W492" s="1595"/>
      <c r="X492" s="1595"/>
      <c r="Y492" s="1595"/>
      <c r="Z492" s="1595"/>
      <c r="AA492" s="1595"/>
      <c r="AB492" s="1595"/>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7"/>
      <c r="D493" s="1023"/>
      <c r="E493" s="1595"/>
      <c r="F493" s="1595"/>
      <c r="G493" s="1595"/>
      <c r="H493" s="1595"/>
      <c r="I493" s="1595"/>
      <c r="J493" s="1595"/>
      <c r="K493" s="1595"/>
      <c r="L493" s="1595"/>
      <c r="M493" s="1595"/>
      <c r="N493" s="1595"/>
      <c r="O493" s="1595"/>
      <c r="P493" s="1595"/>
      <c r="Q493" s="1595"/>
      <c r="R493" s="1595"/>
      <c r="S493" s="1595"/>
      <c r="T493" s="1595"/>
      <c r="U493" s="1595"/>
      <c r="V493" s="1595"/>
      <c r="W493" s="1595"/>
      <c r="X493" s="1595"/>
      <c r="Y493" s="1595"/>
      <c r="Z493" s="1595"/>
      <c r="AA493" s="1595"/>
      <c r="AB493" s="1595"/>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5"/>
      <c r="D494" s="1019"/>
      <c r="E494" s="1658"/>
      <c r="F494" s="1658"/>
      <c r="G494" s="1658"/>
      <c r="H494" s="1658"/>
      <c r="I494" s="1658"/>
      <c r="J494" s="1658"/>
      <c r="K494" s="1658"/>
      <c r="L494" s="1658"/>
      <c r="M494" s="1658"/>
      <c r="N494" s="1658"/>
      <c r="O494" s="1658"/>
      <c r="P494" s="1658"/>
      <c r="Q494" s="1658"/>
      <c r="R494" s="1658"/>
      <c r="S494" s="1658"/>
      <c r="T494" s="1658"/>
      <c r="U494" s="1658"/>
      <c r="V494" s="1108"/>
      <c r="W494" s="1108"/>
      <c r="X494" s="1108"/>
      <c r="Y494" s="1646"/>
      <c r="Z494" s="1646"/>
      <c r="AA494" s="1646"/>
      <c r="AB494" s="1019"/>
      <c r="AC494" s="1019"/>
      <c r="AD494" s="1019"/>
      <c r="AE494" s="1019"/>
      <c r="AF494" s="1019"/>
      <c r="AG494" s="1019"/>
      <c r="AH494" s="1019"/>
      <c r="AI494" s="959" t="s">
        <v>1723</v>
      </c>
      <c r="AJ494" s="3074">
        <f>VLOOKUP($H$492,$AO$427:$AP$429,2,FALSE)</f>
        <v>0</v>
      </c>
      <c r="AK494" s="3076"/>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7"/>
      <c r="D495" s="927"/>
      <c r="E495" s="927"/>
      <c r="F495" s="927"/>
      <c r="G495" s="927"/>
      <c r="H495" s="927"/>
      <c r="I495" s="927"/>
      <c r="J495" s="1595"/>
      <c r="K495" s="1595"/>
      <c r="L495" s="1595"/>
      <c r="M495" s="1595"/>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2"/>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5"/>
      <c r="D498" s="1106" t="s">
        <v>725</v>
      </c>
      <c r="E498" s="3095" t="s">
        <v>1725</v>
      </c>
      <c r="F498" s="3095"/>
      <c r="G498" s="3095"/>
      <c r="H498" s="3095"/>
      <c r="I498" s="3095"/>
      <c r="J498" s="3095"/>
      <c r="K498" s="3095"/>
      <c r="L498" s="3095"/>
      <c r="M498" s="3095"/>
      <c r="N498" s="3095"/>
      <c r="O498" s="3095"/>
      <c r="P498" s="3095"/>
      <c r="Q498" s="3095"/>
      <c r="R498" s="3095"/>
      <c r="S498" s="3095"/>
      <c r="T498" s="3095"/>
      <c r="U498" s="3095"/>
      <c r="V498" s="3095"/>
      <c r="W498" s="3095"/>
      <c r="X498" s="3095"/>
      <c r="Y498" s="3095"/>
      <c r="Z498" s="3095"/>
      <c r="AA498" s="3095"/>
      <c r="AB498" s="3095"/>
      <c r="AC498" s="927"/>
      <c r="AD498" s="927"/>
      <c r="AE498" s="927"/>
      <c r="AF498" s="3047" t="s">
        <v>1623</v>
      </c>
      <c r="AG498" s="3047"/>
      <c r="AH498" s="3047"/>
      <c r="AI498" s="3047"/>
      <c r="AJ498" s="3047"/>
      <c r="AK498" s="3047"/>
      <c r="AL498" s="3047"/>
      <c r="AM498" s="1026"/>
      <c r="AN498" s="1133"/>
      <c r="AT498" s="51"/>
      <c r="AU498" s="51"/>
      <c r="AV498" s="51"/>
      <c r="AW498" s="51"/>
      <c r="AX498" s="51"/>
      <c r="AY498" s="51"/>
      <c r="AZ498" s="51"/>
    </row>
    <row r="499" spans="1:81" s="1134" customFormat="1">
      <c r="A499" s="1060"/>
      <c r="B499" s="927"/>
      <c r="C499" s="1635"/>
      <c r="D499" s="1106"/>
      <c r="E499" s="3095"/>
      <c r="F499" s="3095"/>
      <c r="G499" s="3095"/>
      <c r="H499" s="3095"/>
      <c r="I499" s="3095"/>
      <c r="J499" s="3095"/>
      <c r="K499" s="3095"/>
      <c r="L499" s="3095"/>
      <c r="M499" s="3095"/>
      <c r="N499" s="3095"/>
      <c r="O499" s="3095"/>
      <c r="P499" s="3095"/>
      <c r="Q499" s="3095"/>
      <c r="R499" s="3095"/>
      <c r="S499" s="3095"/>
      <c r="T499" s="3095"/>
      <c r="U499" s="3095"/>
      <c r="V499" s="3095"/>
      <c r="W499" s="3095"/>
      <c r="X499" s="3095"/>
      <c r="Y499" s="3095"/>
      <c r="Z499" s="3095"/>
      <c r="AA499" s="3095"/>
      <c r="AB499" s="3095"/>
      <c r="AC499" s="927"/>
      <c r="AD499" s="927"/>
      <c r="AE499" s="927"/>
      <c r="AF499" s="1594"/>
      <c r="AG499" s="1594"/>
      <c r="AH499" s="1594"/>
      <c r="AI499" s="1594"/>
      <c r="AJ499" s="1594"/>
      <c r="AK499" s="1594"/>
      <c r="AL499" s="1594"/>
      <c r="AM499" s="1026"/>
      <c r="AN499" s="1133"/>
      <c r="AT499" s="51"/>
      <c r="AU499" s="51"/>
      <c r="AV499" s="51"/>
      <c r="AW499" s="51"/>
      <c r="AX499" s="51"/>
      <c r="AY499" s="51"/>
      <c r="AZ499" s="51"/>
    </row>
    <row r="500" spans="1:81" s="1134" customFormat="1">
      <c r="A500" s="1060"/>
      <c r="B500" s="1023"/>
      <c r="C500" s="1637"/>
      <c r="D500" s="1106"/>
      <c r="E500" s="3095"/>
      <c r="F500" s="3095"/>
      <c r="G500" s="3095"/>
      <c r="H500" s="3095"/>
      <c r="I500" s="3095"/>
      <c r="J500" s="3095"/>
      <c r="K500" s="3095"/>
      <c r="L500" s="3095"/>
      <c r="M500" s="3095"/>
      <c r="N500" s="3095"/>
      <c r="O500" s="3095"/>
      <c r="P500" s="3095"/>
      <c r="Q500" s="3095"/>
      <c r="R500" s="3095"/>
      <c r="S500" s="3095"/>
      <c r="T500" s="3095"/>
      <c r="U500" s="3095"/>
      <c r="V500" s="3095"/>
      <c r="W500" s="3095"/>
      <c r="X500" s="3095"/>
      <c r="Y500" s="3095"/>
      <c r="Z500" s="3095"/>
      <c r="AA500" s="3095"/>
      <c r="AB500" s="3095"/>
      <c r="AC500" s="927"/>
      <c r="AD500" s="927"/>
      <c r="AE500" s="927"/>
      <c r="AF500" s="927"/>
      <c r="AG500" s="927"/>
      <c r="AH500" s="927"/>
      <c r="AI500" s="927"/>
      <c r="AJ500" s="927"/>
      <c r="AK500" s="927"/>
      <c r="AL500" s="1006"/>
      <c r="AM500" s="1026"/>
      <c r="AN500" s="1133"/>
    </row>
    <row r="501" spans="1:81" s="1135" customFormat="1" ht="12.75" customHeight="1">
      <c r="A501" s="1060"/>
      <c r="B501" s="1023"/>
      <c r="C501" s="1637"/>
      <c r="D501" s="1106"/>
      <c r="E501" s="3095"/>
      <c r="F501" s="3095"/>
      <c r="G501" s="3095"/>
      <c r="H501" s="3095"/>
      <c r="I501" s="3095"/>
      <c r="J501" s="3095"/>
      <c r="K501" s="3095"/>
      <c r="L501" s="3095"/>
      <c r="M501" s="3095"/>
      <c r="N501" s="3095"/>
      <c r="O501" s="3095"/>
      <c r="P501" s="3095"/>
      <c r="Q501" s="3095"/>
      <c r="R501" s="3095"/>
      <c r="S501" s="3095"/>
      <c r="T501" s="3095"/>
      <c r="U501" s="3095"/>
      <c r="V501" s="3095"/>
      <c r="W501" s="3095"/>
      <c r="X501" s="3095"/>
      <c r="Y501" s="3095"/>
      <c r="Z501" s="3095"/>
      <c r="AA501" s="3095"/>
      <c r="AB501" s="3095"/>
      <c r="AC501" s="927"/>
      <c r="AD501" s="927"/>
      <c r="AE501" s="1023"/>
      <c r="AF501" s="1023"/>
      <c r="AG501" s="1006"/>
      <c r="AH501" s="1006"/>
      <c r="AI501" s="1006"/>
      <c r="AJ501" s="1006"/>
      <c r="AK501" s="1006"/>
      <c r="AL501" s="1006"/>
      <c r="AM501" s="1026"/>
      <c r="AN501" s="1139"/>
      <c r="AO501" s="56"/>
    </row>
    <row r="502" spans="1:81" s="1134" customFormat="1">
      <c r="A502" s="1126"/>
      <c r="B502" s="1005"/>
      <c r="C502" s="1638"/>
      <c r="D502" s="1106"/>
      <c r="E502" s="1663"/>
      <c r="F502" s="1663"/>
      <c r="G502" s="1663"/>
      <c r="H502" s="1663"/>
      <c r="I502" s="1663"/>
      <c r="J502" s="1663"/>
      <c r="K502" s="1663"/>
      <c r="L502" s="1663"/>
      <c r="M502" s="1663"/>
      <c r="N502" s="1663"/>
      <c r="O502" s="1663"/>
      <c r="P502" s="1663"/>
      <c r="Q502" s="1663"/>
      <c r="R502" s="1663"/>
      <c r="S502" s="1663"/>
      <c r="T502" s="1663"/>
      <c r="U502" s="1663"/>
      <c r="V502" s="1663"/>
      <c r="W502" s="1663"/>
      <c r="X502" s="1663"/>
      <c r="Y502" s="1663"/>
      <c r="Z502" s="1663"/>
      <c r="AA502" s="1663"/>
      <c r="AB502" s="1663"/>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5"/>
      <c r="D503" s="1106" t="s">
        <v>542</v>
      </c>
      <c r="E503" s="3095" t="s">
        <v>1726</v>
      </c>
      <c r="F503" s="3095"/>
      <c r="G503" s="3095"/>
      <c r="H503" s="3095"/>
      <c r="I503" s="3095"/>
      <c r="J503" s="3095"/>
      <c r="K503" s="3095"/>
      <c r="L503" s="3095"/>
      <c r="M503" s="3095"/>
      <c r="N503" s="3095"/>
      <c r="O503" s="3095"/>
      <c r="P503" s="3095"/>
      <c r="Q503" s="3095"/>
      <c r="R503" s="3095"/>
      <c r="S503" s="3095"/>
      <c r="T503" s="3095"/>
      <c r="U503" s="3095"/>
      <c r="V503" s="3095"/>
      <c r="W503" s="3095"/>
      <c r="X503" s="3095"/>
      <c r="Y503" s="3095"/>
      <c r="Z503" s="3095"/>
      <c r="AA503" s="3095"/>
      <c r="AB503" s="969"/>
      <c r="AC503" s="927"/>
      <c r="AD503" s="927"/>
      <c r="AE503" s="927"/>
      <c r="AF503" s="3047" t="s">
        <v>1687</v>
      </c>
      <c r="AG503" s="3047"/>
      <c r="AH503" s="3047"/>
      <c r="AI503" s="3047"/>
      <c r="AJ503" s="3047"/>
      <c r="AK503" s="3047"/>
      <c r="AL503" s="3047"/>
      <c r="AM503" s="1026"/>
      <c r="AN503" s="1133"/>
      <c r="AO503" s="126"/>
      <c r="AP503" s="51"/>
    </row>
    <row r="504" spans="1:81" s="1134" customFormat="1">
      <c r="A504" s="1060"/>
      <c r="B504" s="1006"/>
      <c r="C504" s="1635"/>
      <c r="D504" s="1106"/>
      <c r="E504" s="3095"/>
      <c r="F504" s="3095"/>
      <c r="G504" s="3095"/>
      <c r="H504" s="3095"/>
      <c r="I504" s="3095"/>
      <c r="J504" s="3095"/>
      <c r="K504" s="3095"/>
      <c r="L504" s="3095"/>
      <c r="M504" s="3095"/>
      <c r="N504" s="3095"/>
      <c r="O504" s="3095"/>
      <c r="P504" s="3095"/>
      <c r="Q504" s="3095"/>
      <c r="R504" s="3095"/>
      <c r="S504" s="3095"/>
      <c r="T504" s="3095"/>
      <c r="U504" s="3095"/>
      <c r="V504" s="3095"/>
      <c r="W504" s="3095"/>
      <c r="X504" s="3095"/>
      <c r="Y504" s="3095"/>
      <c r="Z504" s="3095"/>
      <c r="AA504" s="3095"/>
      <c r="AB504" s="969"/>
      <c r="AC504" s="927"/>
      <c r="AD504" s="927"/>
      <c r="AE504" s="927"/>
      <c r="AF504" s="1594"/>
      <c r="AG504" s="1594"/>
      <c r="AH504" s="1594"/>
      <c r="AI504" s="1594"/>
      <c r="AJ504" s="1594"/>
      <c r="AK504" s="1594"/>
      <c r="AL504" s="1594"/>
      <c r="AM504" s="1026"/>
      <c r="AN504" s="1133"/>
      <c r="AO504" s="126"/>
      <c r="AP504" s="51"/>
    </row>
    <row r="505" spans="1:81" s="1134" customFormat="1">
      <c r="A505" s="1060"/>
      <c r="B505" s="1006"/>
      <c r="C505" s="1635"/>
      <c r="D505" s="1023"/>
      <c r="E505" s="3095"/>
      <c r="F505" s="3095"/>
      <c r="G505" s="3095"/>
      <c r="H505" s="3095"/>
      <c r="I505" s="3095"/>
      <c r="J505" s="3095"/>
      <c r="K505" s="3095"/>
      <c r="L505" s="3095"/>
      <c r="M505" s="3095"/>
      <c r="N505" s="3095"/>
      <c r="O505" s="3095"/>
      <c r="P505" s="3095"/>
      <c r="Q505" s="3095"/>
      <c r="R505" s="3095"/>
      <c r="S505" s="3095"/>
      <c r="T505" s="3095"/>
      <c r="U505" s="3095"/>
      <c r="V505" s="3095"/>
      <c r="W505" s="3095"/>
      <c r="X505" s="3095"/>
      <c r="Y505" s="3095"/>
      <c r="Z505" s="3095"/>
      <c r="AA505" s="3095"/>
      <c r="AB505" s="969"/>
      <c r="AC505" s="1594"/>
      <c r="AD505" s="1594"/>
      <c r="AE505" s="1594"/>
      <c r="AF505" s="1594"/>
      <c r="AG505" s="1594"/>
      <c r="AH505" s="1594"/>
      <c r="AI505" s="1594"/>
      <c r="AJ505" s="927"/>
      <c r="AK505" s="1006"/>
      <c r="AL505" s="1006"/>
      <c r="AM505" s="1026"/>
      <c r="AN505" s="1133"/>
      <c r="AO505" s="126"/>
      <c r="AP505" s="51"/>
    </row>
    <row r="506" spans="1:81" s="1134" customFormat="1">
      <c r="A506" s="1060"/>
      <c r="B506" s="1006"/>
      <c r="C506" s="1635"/>
      <c r="D506" s="1023"/>
      <c r="E506" s="3095"/>
      <c r="F506" s="3095"/>
      <c r="G506" s="3095"/>
      <c r="H506" s="3095"/>
      <c r="I506" s="3095"/>
      <c r="J506" s="3095"/>
      <c r="K506" s="3095"/>
      <c r="L506" s="3095"/>
      <c r="M506" s="3095"/>
      <c r="N506" s="3095"/>
      <c r="O506" s="3095"/>
      <c r="P506" s="3095"/>
      <c r="Q506" s="3095"/>
      <c r="R506" s="3095"/>
      <c r="S506" s="3095"/>
      <c r="T506" s="3095"/>
      <c r="U506" s="3095"/>
      <c r="V506" s="3095"/>
      <c r="W506" s="3095"/>
      <c r="X506" s="3095"/>
      <c r="Y506" s="3095"/>
      <c r="Z506" s="3095"/>
      <c r="AA506" s="3095"/>
      <c r="AB506" s="969"/>
      <c r="AC506" s="1594"/>
      <c r="AD506" s="1594"/>
      <c r="AE506" s="1594"/>
      <c r="AF506" s="1594"/>
      <c r="AG506" s="1594"/>
      <c r="AH506" s="1594"/>
      <c r="AI506" s="1594"/>
      <c r="AJ506" s="927"/>
      <c r="AK506" s="1006"/>
      <c r="AL506" s="1006"/>
      <c r="AM506" s="1026"/>
      <c r="AN506" s="1133"/>
      <c r="AO506" s="126"/>
      <c r="AP506" s="51"/>
    </row>
    <row r="507" spans="1:81" s="1134" customFormat="1">
      <c r="A507" s="1060"/>
      <c r="B507" s="1006"/>
      <c r="C507" s="1635"/>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4"/>
      <c r="AD507" s="1594"/>
      <c r="AE507" s="1594"/>
      <c r="AF507" s="1594"/>
      <c r="AG507" s="1594"/>
      <c r="AH507" s="1594"/>
      <c r="AI507" s="1594"/>
      <c r="AJ507" s="927"/>
      <c r="AK507" s="1006"/>
      <c r="AL507" s="1006"/>
      <c r="AM507" s="1026"/>
      <c r="AN507" s="1133"/>
    </row>
    <row r="508" spans="1:81" s="1134" customFormat="1" ht="12.75" customHeight="1">
      <c r="A508" s="1060"/>
      <c r="B508" s="1006"/>
      <c r="C508" s="1635"/>
      <c r="D508" s="1023" t="s">
        <v>1679</v>
      </c>
      <c r="E508" s="1641"/>
      <c r="F508" s="1641"/>
      <c r="G508" s="1641"/>
      <c r="H508" s="3114" t="s">
        <v>626</v>
      </c>
      <c r="I508" s="3114"/>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4"/>
      <c r="AD508" s="1594"/>
      <c r="AE508" s="1594"/>
      <c r="AF508" s="1594"/>
      <c r="AG508" s="1594"/>
      <c r="AH508" s="1594"/>
      <c r="AI508" s="1594"/>
      <c r="AJ508" s="927"/>
      <c r="AK508" s="1006"/>
      <c r="AL508" s="1006"/>
      <c r="AM508" s="1026"/>
      <c r="AN508" s="1133"/>
    </row>
    <row r="509" spans="1:81" s="1134" customFormat="1" ht="12.75" customHeight="1">
      <c r="A509" s="1060"/>
      <c r="B509" s="1006"/>
      <c r="C509" s="1635"/>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4"/>
      <c r="AD509" s="1594"/>
      <c r="AE509" s="1594"/>
      <c r="AF509" s="1594"/>
      <c r="AG509" s="1594"/>
      <c r="AH509" s="1594"/>
      <c r="AI509" s="1594"/>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1"/>
      <c r="D510" s="1019"/>
      <c r="E510" s="1664"/>
      <c r="F510" s="1664"/>
      <c r="G510" s="1664"/>
      <c r="H510" s="1664"/>
      <c r="I510" s="1664"/>
      <c r="J510" s="1664"/>
      <c r="K510" s="1664"/>
      <c r="L510" s="1664"/>
      <c r="M510" s="1664"/>
      <c r="N510" s="1664"/>
      <c r="O510" s="1664"/>
      <c r="P510" s="1664"/>
      <c r="Q510" s="1664"/>
      <c r="R510" s="1664"/>
      <c r="S510" s="1664"/>
      <c r="T510" s="1664"/>
      <c r="U510" s="1664"/>
      <c r="V510" s="1664"/>
      <c r="W510" s="1664"/>
      <c r="X510" s="1664"/>
      <c r="Y510" s="1664"/>
      <c r="Z510" s="1664"/>
      <c r="AA510" s="1664"/>
      <c r="AB510" s="1140"/>
      <c r="AC510" s="1140"/>
      <c r="AD510" s="1140"/>
      <c r="AE510" s="1140"/>
      <c r="AF510" s="1140"/>
      <c r="AG510" s="1140"/>
      <c r="AH510" s="1019"/>
      <c r="AI510" s="959" t="s">
        <v>1727</v>
      </c>
      <c r="AJ510" s="3074">
        <f>VLOOKUP($H$508,$AO$441:$AP$443,2,FALSE)</f>
        <v>0</v>
      </c>
      <c r="AK510" s="3076"/>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7"/>
      <c r="D511" s="927"/>
      <c r="E511" s="927"/>
      <c r="F511" s="927"/>
      <c r="G511" s="927"/>
      <c r="H511" s="927"/>
      <c r="I511" s="927"/>
      <c r="J511" s="1078"/>
      <c r="K511" s="1078"/>
      <c r="L511" s="1595"/>
      <c r="M511" s="1595"/>
      <c r="N511" s="1595"/>
      <c r="O511" s="1595"/>
      <c r="P511" s="1595"/>
      <c r="Q511" s="1595"/>
      <c r="R511" s="1595"/>
      <c r="S511" s="1595"/>
      <c r="T511" s="1595"/>
      <c r="U511" s="1595"/>
      <c r="V511" s="1035"/>
      <c r="W511" s="1035"/>
      <c r="X511" s="1035"/>
      <c r="Y511" s="1035"/>
      <c r="Z511" s="1641"/>
      <c r="AA511" s="1641"/>
      <c r="AB511" s="1641"/>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5"/>
      <c r="D514" s="1106" t="s">
        <v>725</v>
      </c>
      <c r="E514" s="3095" t="s">
        <v>1728</v>
      </c>
      <c r="F514" s="3095"/>
      <c r="G514" s="3095"/>
      <c r="H514" s="3095"/>
      <c r="I514" s="3095"/>
      <c r="J514" s="3095"/>
      <c r="K514" s="3095"/>
      <c r="L514" s="3095"/>
      <c r="M514" s="3095"/>
      <c r="N514" s="3095"/>
      <c r="O514" s="3095"/>
      <c r="P514" s="3095"/>
      <c r="Q514" s="3095"/>
      <c r="R514" s="3095"/>
      <c r="S514" s="3095"/>
      <c r="T514" s="3095"/>
      <c r="U514" s="3095"/>
      <c r="V514" s="3095"/>
      <c r="W514" s="3095"/>
      <c r="X514" s="3095"/>
      <c r="Y514" s="3095"/>
      <c r="Z514" s="3095"/>
      <c r="AA514" s="3095"/>
      <c r="AB514" s="3095"/>
      <c r="AC514" s="927"/>
      <c r="AD514" s="927"/>
      <c r="AE514" s="927"/>
      <c r="AF514" s="3047" t="s">
        <v>1687</v>
      </c>
      <c r="AG514" s="3047"/>
      <c r="AH514" s="3047"/>
      <c r="AI514" s="3047"/>
      <c r="AJ514" s="3047"/>
      <c r="AK514" s="3047"/>
      <c r="AL514" s="3047"/>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7"/>
      <c r="D515" s="1106"/>
      <c r="E515" s="3095"/>
      <c r="F515" s="3095"/>
      <c r="G515" s="3095"/>
      <c r="H515" s="3095"/>
      <c r="I515" s="3095"/>
      <c r="J515" s="3095"/>
      <c r="K515" s="3095"/>
      <c r="L515" s="3095"/>
      <c r="M515" s="3095"/>
      <c r="N515" s="3095"/>
      <c r="O515" s="3095"/>
      <c r="P515" s="3095"/>
      <c r="Q515" s="3095"/>
      <c r="R515" s="3095"/>
      <c r="S515" s="3095"/>
      <c r="T515" s="3095"/>
      <c r="U515" s="3095"/>
      <c r="V515" s="3095"/>
      <c r="W515" s="3095"/>
      <c r="X515" s="3095"/>
      <c r="Y515" s="3095"/>
      <c r="Z515" s="3095"/>
      <c r="AA515" s="3095"/>
      <c r="AB515" s="3095"/>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7"/>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5"/>
      <c r="D517" s="1106" t="s">
        <v>542</v>
      </c>
      <c r="E517" s="3095" t="s">
        <v>1729</v>
      </c>
      <c r="F517" s="3095"/>
      <c r="G517" s="3095"/>
      <c r="H517" s="3095"/>
      <c r="I517" s="3095"/>
      <c r="J517" s="3095"/>
      <c r="K517" s="3095"/>
      <c r="L517" s="3095"/>
      <c r="M517" s="3095"/>
      <c r="N517" s="3095"/>
      <c r="O517" s="3095"/>
      <c r="P517" s="3095"/>
      <c r="Q517" s="3095"/>
      <c r="R517" s="3095"/>
      <c r="S517" s="3095"/>
      <c r="T517" s="3095"/>
      <c r="U517" s="3095"/>
      <c r="V517" s="3095"/>
      <c r="W517" s="3095"/>
      <c r="X517" s="3095"/>
      <c r="Y517" s="3095"/>
      <c r="Z517" s="3095"/>
      <c r="AA517" s="3095"/>
      <c r="AB517" s="3095"/>
      <c r="AC517" s="927"/>
      <c r="AD517" s="927"/>
      <c r="AE517" s="927"/>
      <c r="AF517" s="3047" t="s">
        <v>1706</v>
      </c>
      <c r="AG517" s="3047"/>
      <c r="AH517" s="3047"/>
      <c r="AI517" s="3047"/>
      <c r="AJ517" s="3047"/>
      <c r="AK517" s="3047"/>
      <c r="AL517" s="3047"/>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5"/>
      <c r="D518" s="1106"/>
      <c r="E518" s="3095"/>
      <c r="F518" s="3095"/>
      <c r="G518" s="3095"/>
      <c r="H518" s="3095"/>
      <c r="I518" s="3095"/>
      <c r="J518" s="3095"/>
      <c r="K518" s="3095"/>
      <c r="L518" s="3095"/>
      <c r="M518" s="3095"/>
      <c r="N518" s="3095"/>
      <c r="O518" s="3095"/>
      <c r="P518" s="3095"/>
      <c r="Q518" s="3095"/>
      <c r="R518" s="3095"/>
      <c r="S518" s="3095"/>
      <c r="T518" s="3095"/>
      <c r="U518" s="3095"/>
      <c r="V518" s="3095"/>
      <c r="W518" s="3095"/>
      <c r="X518" s="3095"/>
      <c r="Y518" s="3095"/>
      <c r="Z518" s="3095"/>
      <c r="AA518" s="3095"/>
      <c r="AB518" s="3095"/>
      <c r="AC518" s="927"/>
      <c r="AD518" s="927"/>
      <c r="AE518" s="1594"/>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7"/>
      <c r="D519" s="1023"/>
      <c r="E519" s="1595"/>
      <c r="F519" s="1595"/>
      <c r="G519" s="1595"/>
      <c r="H519" s="1595"/>
      <c r="I519" s="1595"/>
      <c r="J519" s="1595"/>
      <c r="K519" s="1595"/>
      <c r="L519" s="1595"/>
      <c r="M519" s="1595"/>
      <c r="N519" s="1595"/>
      <c r="O519" s="1595"/>
      <c r="P519" s="1595"/>
      <c r="Q519" s="1595"/>
      <c r="R519" s="1595"/>
      <c r="S519" s="1595"/>
      <c r="T519" s="1595"/>
      <c r="U519" s="1595"/>
      <c r="V519" s="1595"/>
      <c r="W519" s="1595"/>
      <c r="X519" s="1595"/>
      <c r="Y519" s="1595"/>
      <c r="Z519" s="1595"/>
      <c r="AA519" s="1595"/>
      <c r="AB519" s="1595"/>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1"/>
      <c r="F520" s="1641"/>
      <c r="G520" s="1641"/>
      <c r="H520" s="3114" t="s">
        <v>725</v>
      </c>
      <c r="I520" s="3114"/>
      <c r="J520" s="1595"/>
      <c r="K520" s="1595"/>
      <c r="L520" s="1595"/>
      <c r="M520" s="1595"/>
      <c r="N520" s="1595"/>
      <c r="O520" s="1595"/>
      <c r="P520" s="1595"/>
      <c r="Q520" s="927"/>
      <c r="R520" s="927"/>
      <c r="S520" s="927"/>
      <c r="T520" s="927"/>
      <c r="U520" s="927"/>
      <c r="V520" s="927"/>
      <c r="W520" s="1595"/>
      <c r="X520" s="1595"/>
      <c r="Y520" s="1595"/>
      <c r="Z520" s="1595"/>
      <c r="AA520" s="1595"/>
      <c r="AB520" s="1595"/>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7"/>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5"/>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74">
        <f>VLOOKUP($H$520,$AO$455:$AP$457,2,FALSE)</f>
        <v>2</v>
      </c>
      <c r="AK522" s="3076"/>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7"/>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3"/>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3"/>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7"/>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3"/>
      <c r="AJ525" s="1005"/>
      <c r="AK525" s="1005"/>
      <c r="AL525" s="1005"/>
      <c r="AM525" s="1002"/>
      <c r="AN525" s="1133"/>
    </row>
    <row r="526" spans="1:74" s="1134" customFormat="1" ht="13.7" customHeight="1">
      <c r="A526" s="1060"/>
      <c r="B526" s="1035"/>
      <c r="C526" s="1647"/>
      <c r="D526" s="1106" t="s">
        <v>725</v>
      </c>
      <c r="E526" s="3095" t="s">
        <v>2188</v>
      </c>
      <c r="F526" s="3095"/>
      <c r="G526" s="3095"/>
      <c r="H526" s="3095"/>
      <c r="I526" s="3095"/>
      <c r="J526" s="3095"/>
      <c r="K526" s="3095"/>
      <c r="L526" s="3095"/>
      <c r="M526" s="3095"/>
      <c r="N526" s="3095"/>
      <c r="O526" s="3095"/>
      <c r="P526" s="3095"/>
      <c r="Q526" s="3095"/>
      <c r="R526" s="3095"/>
      <c r="S526" s="3095"/>
      <c r="T526" s="3095"/>
      <c r="U526" s="3095"/>
      <c r="V526" s="3095"/>
      <c r="W526" s="3095"/>
      <c r="X526" s="3095"/>
      <c r="Y526" s="3095"/>
      <c r="Z526" s="3095"/>
      <c r="AA526" s="3095"/>
      <c r="AB526" s="3095"/>
      <c r="AC526" s="3095"/>
      <c r="AD526" s="3095"/>
      <c r="AE526" s="927"/>
      <c r="AF526" s="3047" t="s">
        <v>1687</v>
      </c>
      <c r="AG526" s="3047"/>
      <c r="AH526" s="3047"/>
      <c r="AI526" s="3047"/>
      <c r="AJ526" s="3047"/>
      <c r="AK526" s="3047"/>
      <c r="AL526" s="3047"/>
      <c r="AM526" s="1031"/>
      <c r="AN526" s="1133"/>
    </row>
    <row r="527" spans="1:74" s="1134" customFormat="1" ht="13.7" customHeight="1">
      <c r="A527" s="1060"/>
      <c r="B527" s="1035"/>
      <c r="C527" s="1647"/>
      <c r="D527" s="1106"/>
      <c r="E527" s="3095"/>
      <c r="F527" s="3095"/>
      <c r="G527" s="3095"/>
      <c r="H527" s="3095"/>
      <c r="I527" s="3095"/>
      <c r="J527" s="3095"/>
      <c r="K527" s="3095"/>
      <c r="L527" s="3095"/>
      <c r="M527" s="3095"/>
      <c r="N527" s="3095"/>
      <c r="O527" s="3095"/>
      <c r="P527" s="3095"/>
      <c r="Q527" s="3095"/>
      <c r="R527" s="3095"/>
      <c r="S527" s="3095"/>
      <c r="T527" s="3095"/>
      <c r="U527" s="3095"/>
      <c r="V527" s="3095"/>
      <c r="W527" s="3095"/>
      <c r="X527" s="3095"/>
      <c r="Y527" s="3095"/>
      <c r="Z527" s="3095"/>
      <c r="AA527" s="3095"/>
      <c r="AB527" s="3095"/>
      <c r="AC527" s="3095"/>
      <c r="AD527" s="3095"/>
      <c r="AE527" s="927"/>
      <c r="AF527" s="1594"/>
      <c r="AG527" s="1594"/>
      <c r="AH527" s="1594"/>
      <c r="AI527" s="1594"/>
      <c r="AJ527" s="1594"/>
      <c r="AK527" s="1594"/>
      <c r="AL527" s="1594"/>
      <c r="AM527" s="1031"/>
      <c r="AN527" s="1133"/>
    </row>
    <row r="528" spans="1:74" s="1134" customFormat="1">
      <c r="A528" s="1060"/>
      <c r="B528" s="1035"/>
      <c r="C528" s="1647"/>
      <c r="D528" s="1106"/>
      <c r="E528" s="3095"/>
      <c r="F528" s="3095"/>
      <c r="G528" s="3095"/>
      <c r="H528" s="3095"/>
      <c r="I528" s="3095"/>
      <c r="J528" s="3095"/>
      <c r="K528" s="3095"/>
      <c r="L528" s="3095"/>
      <c r="M528" s="3095"/>
      <c r="N528" s="3095"/>
      <c r="O528" s="3095"/>
      <c r="P528" s="3095"/>
      <c r="Q528" s="3095"/>
      <c r="R528" s="3095"/>
      <c r="S528" s="3095"/>
      <c r="T528" s="3095"/>
      <c r="U528" s="3095"/>
      <c r="V528" s="3095"/>
      <c r="W528" s="3095"/>
      <c r="X528" s="3095"/>
      <c r="Y528" s="3095"/>
      <c r="Z528" s="3095"/>
      <c r="AA528" s="3095"/>
      <c r="AB528" s="3095"/>
      <c r="AC528" s="3095"/>
      <c r="AD528" s="3095"/>
      <c r="AE528" s="927"/>
      <c r="AF528" s="927"/>
      <c r="AG528" s="927"/>
      <c r="AH528" s="927"/>
      <c r="AI528" s="927"/>
      <c r="AJ528" s="927"/>
      <c r="AK528" s="927"/>
      <c r="AL528" s="1594"/>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7"/>
      <c r="D529" s="1106"/>
      <c r="E529" s="3095"/>
      <c r="F529" s="3095"/>
      <c r="G529" s="3095"/>
      <c r="H529" s="3095"/>
      <c r="I529" s="3095"/>
      <c r="J529" s="3095"/>
      <c r="K529" s="3095"/>
      <c r="L529" s="3095"/>
      <c r="M529" s="3095"/>
      <c r="N529" s="3095"/>
      <c r="O529" s="3095"/>
      <c r="P529" s="3095"/>
      <c r="Q529" s="3095"/>
      <c r="R529" s="3095"/>
      <c r="S529" s="3095"/>
      <c r="T529" s="3095"/>
      <c r="U529" s="3095"/>
      <c r="V529" s="3095"/>
      <c r="W529" s="3095"/>
      <c r="X529" s="3095"/>
      <c r="Y529" s="3095"/>
      <c r="Z529" s="3095"/>
      <c r="AA529" s="3095"/>
      <c r="AB529" s="3095"/>
      <c r="AC529" s="3095"/>
      <c r="AD529" s="3095"/>
      <c r="AE529" s="1594"/>
      <c r="AF529" s="1594"/>
      <c r="AG529" s="1594"/>
      <c r="AH529" s="1594"/>
      <c r="AI529" s="1594"/>
      <c r="AJ529" s="1594"/>
      <c r="AK529" s="1594"/>
      <c r="AL529" s="1594"/>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7"/>
      <c r="D530" s="1106"/>
      <c r="E530" s="1591"/>
      <c r="F530" s="1591"/>
      <c r="G530" s="1591"/>
      <c r="H530" s="1591"/>
      <c r="I530" s="1591"/>
      <c r="J530" s="1591"/>
      <c r="K530" s="1591"/>
      <c r="L530" s="1591"/>
      <c r="M530" s="1591"/>
      <c r="N530" s="1591"/>
      <c r="O530" s="1591"/>
      <c r="P530" s="1591"/>
      <c r="Q530" s="1591"/>
      <c r="R530" s="1591"/>
      <c r="S530" s="1591"/>
      <c r="T530" s="1591"/>
      <c r="U530" s="1591"/>
      <c r="V530" s="1591"/>
      <c r="W530" s="1591"/>
      <c r="X530" s="1591"/>
      <c r="Y530" s="1591"/>
      <c r="Z530" s="1591"/>
      <c r="AA530" s="1591"/>
      <c r="AB530" s="1591"/>
      <c r="AC530" s="1591"/>
      <c r="AD530" s="1591"/>
      <c r="AE530" s="1594"/>
      <c r="AF530" s="927"/>
      <c r="AG530" s="927"/>
      <c r="AH530" s="927"/>
      <c r="AI530" s="927"/>
      <c r="AJ530" s="927"/>
      <c r="AK530" s="927"/>
      <c r="AL530" s="927"/>
      <c r="AM530" s="1031"/>
      <c r="AN530" s="1000"/>
    </row>
    <row r="531" spans="1:81" s="943" customFormat="1" ht="12.75" customHeight="1">
      <c r="A531" s="1060"/>
      <c r="B531" s="1035"/>
      <c r="C531" s="1647"/>
      <c r="D531" s="1106" t="s">
        <v>542</v>
      </c>
      <c r="E531" s="3122" t="s">
        <v>2196</v>
      </c>
      <c r="F531" s="3122"/>
      <c r="G531" s="3122"/>
      <c r="H531" s="3122"/>
      <c r="I531" s="3122"/>
      <c r="J531" s="3122"/>
      <c r="K531" s="3122"/>
      <c r="L531" s="3122"/>
      <c r="M531" s="3122"/>
      <c r="N531" s="3122"/>
      <c r="O531" s="3122"/>
      <c r="P531" s="3122"/>
      <c r="Q531" s="3122"/>
      <c r="R531" s="3122"/>
      <c r="S531" s="3122"/>
      <c r="T531" s="3122"/>
      <c r="U531" s="3122"/>
      <c r="V531" s="3122"/>
      <c r="W531" s="3122"/>
      <c r="X531" s="3122"/>
      <c r="Y531" s="3122"/>
      <c r="Z531" s="3122"/>
      <c r="AA531" s="3122"/>
      <c r="AB531" s="3122"/>
      <c r="AC531" s="3122"/>
      <c r="AD531" s="3122"/>
      <c r="AE531" s="927"/>
      <c r="AF531" s="3047" t="s">
        <v>1623</v>
      </c>
      <c r="AG531" s="3047"/>
      <c r="AH531" s="3047"/>
      <c r="AI531" s="3047"/>
      <c r="AJ531" s="3047"/>
      <c r="AK531" s="3047"/>
      <c r="AL531" s="3047"/>
      <c r="AM531" s="1031"/>
      <c r="AN531" s="1000"/>
    </row>
    <row r="532" spans="1:81" s="943" customFormat="1" ht="12.75" customHeight="1">
      <c r="A532" s="1060"/>
      <c r="B532" s="1035"/>
      <c r="C532" s="1647"/>
      <c r="D532" s="1106"/>
      <c r="E532" s="3122"/>
      <c r="F532" s="3122"/>
      <c r="G532" s="3122"/>
      <c r="H532" s="3122"/>
      <c r="I532" s="3122"/>
      <c r="J532" s="3122"/>
      <c r="K532" s="3122"/>
      <c r="L532" s="3122"/>
      <c r="M532" s="3122"/>
      <c r="N532" s="3122"/>
      <c r="O532" s="3122"/>
      <c r="P532" s="3122"/>
      <c r="Q532" s="3122"/>
      <c r="R532" s="3122"/>
      <c r="S532" s="3122"/>
      <c r="T532" s="3122"/>
      <c r="U532" s="3122"/>
      <c r="V532" s="3122"/>
      <c r="W532" s="3122"/>
      <c r="X532" s="3122"/>
      <c r="Y532" s="3122"/>
      <c r="Z532" s="3122"/>
      <c r="AA532" s="3122"/>
      <c r="AB532" s="3122"/>
      <c r="AC532" s="3122"/>
      <c r="AD532" s="3122"/>
      <c r="AE532" s="1594"/>
      <c r="AF532" s="1594"/>
      <c r="AG532" s="1594"/>
      <c r="AH532" s="1594"/>
      <c r="AI532" s="1594"/>
      <c r="AJ532" s="1594"/>
      <c r="AK532" s="1594"/>
      <c r="AL532" s="1594"/>
      <c r="AM532" s="1031"/>
      <c r="AN532" s="1000"/>
    </row>
    <row r="533" spans="1:81" s="943" customFormat="1" ht="12.75" customHeight="1">
      <c r="A533" s="1060"/>
      <c r="B533" s="1035"/>
      <c r="C533" s="1647"/>
      <c r="D533" s="1106"/>
      <c r="E533" s="3122"/>
      <c r="F533" s="3122"/>
      <c r="G533" s="3122"/>
      <c r="H533" s="3122"/>
      <c r="I533" s="3122"/>
      <c r="J533" s="3122"/>
      <c r="K533" s="3122"/>
      <c r="L533" s="3122"/>
      <c r="M533" s="3122"/>
      <c r="N533" s="3122"/>
      <c r="O533" s="3122"/>
      <c r="P533" s="3122"/>
      <c r="Q533" s="3122"/>
      <c r="R533" s="3122"/>
      <c r="S533" s="3122"/>
      <c r="T533" s="3122"/>
      <c r="U533" s="3122"/>
      <c r="V533" s="3122"/>
      <c r="W533" s="3122"/>
      <c r="X533" s="3122"/>
      <c r="Y533" s="3122"/>
      <c r="Z533" s="3122"/>
      <c r="AA533" s="3122"/>
      <c r="AB533" s="3122"/>
      <c r="AC533" s="3122"/>
      <c r="AD533" s="3122"/>
      <c r="AE533" s="1594"/>
      <c r="AF533" s="1594"/>
      <c r="AG533" s="1594"/>
      <c r="AH533" s="1594"/>
      <c r="AI533" s="1594"/>
      <c r="AJ533" s="1594"/>
      <c r="AK533" s="1594"/>
      <c r="AL533" s="1594"/>
      <c r="AM533" s="1031"/>
      <c r="AN533" s="1000"/>
    </row>
    <row r="534" spans="1:81" s="943" customFormat="1" ht="12.75" customHeight="1">
      <c r="A534" s="1060"/>
      <c r="B534" s="1035"/>
      <c r="C534" s="1647"/>
      <c r="D534" s="1106"/>
      <c r="E534" s="3122"/>
      <c r="F534" s="3122"/>
      <c r="G534" s="3122"/>
      <c r="H534" s="3122"/>
      <c r="I534" s="3122"/>
      <c r="J534" s="3122"/>
      <c r="K534" s="3122"/>
      <c r="L534" s="3122"/>
      <c r="M534" s="3122"/>
      <c r="N534" s="3122"/>
      <c r="O534" s="3122"/>
      <c r="P534" s="3122"/>
      <c r="Q534" s="3122"/>
      <c r="R534" s="3122"/>
      <c r="S534" s="3122"/>
      <c r="T534" s="3122"/>
      <c r="U534" s="3122"/>
      <c r="V534" s="3122"/>
      <c r="W534" s="3122"/>
      <c r="X534" s="3122"/>
      <c r="Y534" s="3122"/>
      <c r="Z534" s="3122"/>
      <c r="AA534" s="3122"/>
      <c r="AB534" s="3122"/>
      <c r="AC534" s="3122"/>
      <c r="AD534" s="3122"/>
      <c r="AE534" s="1594"/>
      <c r="AF534" s="1594"/>
      <c r="AG534" s="1594"/>
      <c r="AH534" s="1594"/>
      <c r="AI534" s="1594"/>
      <c r="AJ534" s="1594"/>
      <c r="AK534" s="1594"/>
      <c r="AL534" s="1594"/>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7"/>
      <c r="D536" s="1023" t="s">
        <v>1679</v>
      </c>
      <c r="E536" s="1641"/>
      <c r="F536" s="1641"/>
      <c r="G536" s="1641"/>
      <c r="H536" s="3114" t="s">
        <v>626</v>
      </c>
      <c r="I536" s="3114"/>
      <c r="J536" s="1595"/>
      <c r="K536" s="1595"/>
      <c r="L536" s="1595"/>
      <c r="M536" s="1595"/>
      <c r="N536" s="1595"/>
      <c r="O536" s="1595"/>
      <c r="P536" s="1595"/>
      <c r="Q536" s="1595"/>
      <c r="R536" s="1595"/>
      <c r="S536" s="1595"/>
      <c r="T536" s="1595"/>
      <c r="U536" s="1595"/>
      <c r="V536" s="1595"/>
      <c r="W536" s="1595"/>
      <c r="X536" s="1595"/>
      <c r="Y536" s="1595"/>
      <c r="Z536" s="1595"/>
      <c r="AA536" s="1595"/>
      <c r="AB536" s="1595"/>
      <c r="AC536" s="1595"/>
      <c r="AD536" s="1595"/>
      <c r="AE536" s="1595"/>
      <c r="AF536" s="1595"/>
      <c r="AG536" s="1035"/>
      <c r="AH536" s="1023"/>
      <c r="AI536" s="1593"/>
      <c r="AJ536" s="1005"/>
      <c r="AK536" s="1005"/>
      <c r="AL536" s="1005"/>
      <c r="AM536" s="1002"/>
      <c r="AN536" s="1000"/>
    </row>
    <row r="537" spans="1:81" s="943" customFormat="1" ht="12.75" customHeight="1">
      <c r="A537" s="1060"/>
      <c r="B537" s="1035"/>
      <c r="C537" s="1647"/>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3"/>
      <c r="AJ537" s="1005"/>
      <c r="AK537" s="1005"/>
      <c r="AL537" s="1005"/>
      <c r="AM537" s="1002"/>
      <c r="AN537" s="1000"/>
    </row>
    <row r="538" spans="1:81" s="943" customFormat="1" ht="12.75" customHeight="1">
      <c r="A538" s="1071"/>
      <c r="B538" s="1108"/>
      <c r="C538" s="1665"/>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74">
        <f>VLOOKUP($H$536,$AP$477:$AQ$479,2,FALSE)</f>
        <v>0</v>
      </c>
      <c r="AK538" s="3076"/>
      <c r="AL538" s="1005"/>
      <c r="AM538" s="1002"/>
      <c r="AN538" s="1000"/>
    </row>
    <row r="539" spans="1:81" s="1134" customFormat="1">
      <c r="A539" s="1060"/>
      <c r="B539" s="1035"/>
      <c r="C539" s="1647"/>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3"/>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3"/>
      <c r="AJ540" s="1005"/>
      <c r="AK540" s="1005"/>
      <c r="AL540" s="1005"/>
      <c r="AM540" s="1002"/>
      <c r="AN540" s="1133"/>
      <c r="AO540" s="1135"/>
      <c r="AT540" s="1143"/>
      <c r="AU540" s="1143"/>
      <c r="AV540" s="1143"/>
      <c r="AW540" s="1143"/>
      <c r="AX540" s="1143"/>
      <c r="AY540" s="1143"/>
      <c r="AZ540" s="1143"/>
    </row>
    <row r="541" spans="1:81" s="1134" customFormat="1">
      <c r="A541" s="1060"/>
      <c r="B541" s="1035"/>
      <c r="C541" s="1647"/>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7"/>
      <c r="D542" s="1106" t="s">
        <v>725</v>
      </c>
      <c r="E542" s="3095" t="s">
        <v>2187</v>
      </c>
      <c r="F542" s="3095"/>
      <c r="G542" s="3095"/>
      <c r="H542" s="3095"/>
      <c r="I542" s="3095"/>
      <c r="J542" s="3095"/>
      <c r="K542" s="3095"/>
      <c r="L542" s="3095"/>
      <c r="M542" s="3095"/>
      <c r="N542" s="3095"/>
      <c r="O542" s="3095"/>
      <c r="P542" s="3095"/>
      <c r="Q542" s="3095"/>
      <c r="R542" s="3095"/>
      <c r="S542" s="3095"/>
      <c r="T542" s="3095"/>
      <c r="U542" s="3095"/>
      <c r="V542" s="3095"/>
      <c r="W542" s="3095"/>
      <c r="X542" s="3095"/>
      <c r="Y542" s="3095"/>
      <c r="Z542" s="3095"/>
      <c r="AA542" s="3095"/>
      <c r="AB542" s="3095"/>
      <c r="AC542" s="3095"/>
      <c r="AD542" s="3095"/>
      <c r="AE542" s="927"/>
      <c r="AF542" s="3047" t="s">
        <v>1733</v>
      </c>
      <c r="AG542" s="3047"/>
      <c r="AH542" s="3047"/>
      <c r="AI542" s="3047"/>
      <c r="AJ542" s="3047"/>
      <c r="AK542" s="3047"/>
      <c r="AL542" s="3047"/>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7"/>
      <c r="D543" s="1106"/>
      <c r="E543" s="3095"/>
      <c r="F543" s="3095"/>
      <c r="G543" s="3095"/>
      <c r="H543" s="3095"/>
      <c r="I543" s="3095"/>
      <c r="J543" s="3095"/>
      <c r="K543" s="3095"/>
      <c r="L543" s="3095"/>
      <c r="M543" s="3095"/>
      <c r="N543" s="3095"/>
      <c r="O543" s="3095"/>
      <c r="P543" s="3095"/>
      <c r="Q543" s="3095"/>
      <c r="R543" s="3095"/>
      <c r="S543" s="3095"/>
      <c r="T543" s="3095"/>
      <c r="U543" s="3095"/>
      <c r="V543" s="3095"/>
      <c r="W543" s="3095"/>
      <c r="X543" s="3095"/>
      <c r="Y543" s="3095"/>
      <c r="Z543" s="3095"/>
      <c r="AA543" s="3095"/>
      <c r="AB543" s="3095"/>
      <c r="AC543" s="3095"/>
      <c r="AD543" s="3095"/>
      <c r="AE543" s="927"/>
      <c r="AF543" s="1594"/>
      <c r="AG543" s="1594"/>
      <c r="AH543" s="1594"/>
      <c r="AI543" s="1594"/>
      <c r="AJ543" s="1594"/>
      <c r="AK543" s="1594"/>
      <c r="AL543" s="1594"/>
      <c r="AM543" s="1031"/>
      <c r="AN543" s="1133"/>
      <c r="AO543" s="1118"/>
      <c r="AP543" s="943"/>
      <c r="AT543" s="1143"/>
      <c r="AU543" s="1143"/>
      <c r="AV543" s="1143"/>
      <c r="AW543" s="1143"/>
      <c r="AX543" s="1143"/>
      <c r="AY543" s="1143"/>
      <c r="AZ543" s="1143"/>
    </row>
    <row r="544" spans="1:81" s="1134" customFormat="1">
      <c r="A544" s="1060"/>
      <c r="B544" s="1035"/>
      <c r="C544" s="1647"/>
      <c r="D544" s="1106"/>
      <c r="E544" s="3095"/>
      <c r="F544" s="3095"/>
      <c r="G544" s="3095"/>
      <c r="H544" s="3095"/>
      <c r="I544" s="3095"/>
      <c r="J544" s="3095"/>
      <c r="K544" s="3095"/>
      <c r="L544" s="3095"/>
      <c r="M544" s="3095"/>
      <c r="N544" s="3095"/>
      <c r="O544" s="3095"/>
      <c r="P544" s="3095"/>
      <c r="Q544" s="3095"/>
      <c r="R544" s="3095"/>
      <c r="S544" s="3095"/>
      <c r="T544" s="3095"/>
      <c r="U544" s="3095"/>
      <c r="V544" s="3095"/>
      <c r="W544" s="3095"/>
      <c r="X544" s="3095"/>
      <c r="Y544" s="3095"/>
      <c r="Z544" s="3095"/>
      <c r="AA544" s="3095"/>
      <c r="AB544" s="3095"/>
      <c r="AC544" s="3095"/>
      <c r="AD544" s="3095"/>
      <c r="AE544" s="1594"/>
      <c r="AF544" s="1594"/>
      <c r="AG544" s="1594"/>
      <c r="AH544" s="1594"/>
      <c r="AI544" s="1594"/>
      <c r="AJ544" s="1594"/>
      <c r="AK544" s="1594"/>
      <c r="AL544" s="1594"/>
      <c r="AM544" s="1031"/>
      <c r="AN544" s="1133"/>
      <c r="AO544" s="1118"/>
      <c r="AP544" s="943"/>
      <c r="AT544" s="1143"/>
      <c r="AU544" s="1143"/>
      <c r="AV544" s="1143"/>
      <c r="AW544" s="1143"/>
      <c r="AX544" s="1143"/>
      <c r="AY544" s="1143"/>
      <c r="AZ544" s="1143"/>
    </row>
    <row r="545" spans="1:81" s="1134" customFormat="1">
      <c r="A545" s="1060"/>
      <c r="B545" s="1035"/>
      <c r="C545" s="1647"/>
      <c r="D545" s="1106"/>
      <c r="E545" s="3095"/>
      <c r="F545" s="3095"/>
      <c r="G545" s="3095"/>
      <c r="H545" s="3095"/>
      <c r="I545" s="3095"/>
      <c r="J545" s="3095"/>
      <c r="K545" s="3095"/>
      <c r="L545" s="3095"/>
      <c r="M545" s="3095"/>
      <c r="N545" s="3095"/>
      <c r="O545" s="3095"/>
      <c r="P545" s="3095"/>
      <c r="Q545" s="3095"/>
      <c r="R545" s="3095"/>
      <c r="S545" s="3095"/>
      <c r="T545" s="3095"/>
      <c r="U545" s="3095"/>
      <c r="V545" s="3095"/>
      <c r="W545" s="3095"/>
      <c r="X545" s="3095"/>
      <c r="Y545" s="3095"/>
      <c r="Z545" s="3095"/>
      <c r="AA545" s="3095"/>
      <c r="AB545" s="3095"/>
      <c r="AC545" s="3095"/>
      <c r="AD545" s="3095"/>
      <c r="AE545" s="1594"/>
      <c r="AF545" s="1594"/>
      <c r="AG545" s="1594"/>
      <c r="AH545" s="1594"/>
      <c r="AI545" s="1594"/>
      <c r="AJ545" s="1594"/>
      <c r="AK545" s="1594"/>
      <c r="AL545" s="1594"/>
      <c r="AM545" s="1031"/>
      <c r="AN545" s="1133"/>
      <c r="AO545" s="1146"/>
      <c r="AT545" s="1143"/>
      <c r="AU545" s="1143"/>
      <c r="AV545" s="1143"/>
      <c r="AW545" s="1143"/>
      <c r="AX545" s="1143"/>
      <c r="AY545" s="1143"/>
      <c r="AZ545" s="1143"/>
    </row>
    <row r="546" spans="1:81" s="1134" customFormat="1">
      <c r="A546" s="1060"/>
      <c r="B546" s="1035"/>
      <c r="C546" s="1647"/>
      <c r="D546" s="1106"/>
      <c r="E546" s="1595"/>
      <c r="F546" s="1595"/>
      <c r="G546" s="1595"/>
      <c r="H546" s="1595"/>
      <c r="I546" s="1595"/>
      <c r="J546" s="1595"/>
      <c r="K546" s="1595"/>
      <c r="L546" s="1595"/>
      <c r="M546" s="1595"/>
      <c r="N546" s="1595"/>
      <c r="O546" s="1595"/>
      <c r="P546" s="1595"/>
      <c r="Q546" s="1595"/>
      <c r="R546" s="1595"/>
      <c r="S546" s="1595"/>
      <c r="T546" s="1595"/>
      <c r="U546" s="1595"/>
      <c r="V546" s="1595"/>
      <c r="W546" s="1595"/>
      <c r="X546" s="1595"/>
      <c r="Y546" s="1595"/>
      <c r="Z546" s="1595"/>
      <c r="AA546" s="1595"/>
      <c r="AB546" s="1595"/>
      <c r="AC546" s="1595"/>
      <c r="AD546" s="1595"/>
      <c r="AE546" s="1594"/>
      <c r="AF546" s="1594"/>
      <c r="AG546" s="1594"/>
      <c r="AH546" s="1594"/>
      <c r="AI546" s="1594"/>
      <c r="AJ546" s="1594"/>
      <c r="AK546" s="1594"/>
      <c r="AL546" s="1594"/>
      <c r="AM546" s="1031"/>
      <c r="AN546" s="1133"/>
      <c r="AO546" s="1146"/>
      <c r="AT546" s="1143"/>
      <c r="AU546" s="1143"/>
      <c r="AV546" s="1143"/>
      <c r="AW546" s="1143"/>
      <c r="AX546" s="1143"/>
      <c r="AY546" s="1143"/>
      <c r="AZ546" s="1143"/>
    </row>
    <row r="547" spans="1:81" s="1134" customFormat="1">
      <c r="A547" s="1060"/>
      <c r="B547" s="1035"/>
      <c r="C547" s="1647"/>
      <c r="D547" s="1023" t="s">
        <v>1679</v>
      </c>
      <c r="E547" s="1641"/>
      <c r="F547" s="1641"/>
      <c r="G547" s="1641"/>
      <c r="H547" s="3114" t="s">
        <v>626</v>
      </c>
      <c r="I547" s="3114"/>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3"/>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74">
        <f>VLOOKUP($H$547,$AO$541:$AP$542,2,FALSE)</f>
        <v>0</v>
      </c>
      <c r="AK549" s="3076"/>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74">
        <f>IF(($AJ$382+$AJ$401+$AJ$413+$AJ$448+$AJ$468+$AJ$482+$AJ$494+$AJ$510+$AJ$522+$AJ$538+AJ549)&gt;10,10,($AJ$382+$AJ$401+$AJ$413+$AJ$448+$AJ$468+$AJ$482+$AJ$494+$AJ$510+$AJ$522+$AJ$538+AJ549))</f>
        <v>10</v>
      </c>
      <c r="AL551" s="3075"/>
      <c r="AM551" s="3076"/>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74">
        <f>IF((AK320+AK551)&gt;20,20,(AK320+AK551))</f>
        <v>19</v>
      </c>
      <c r="AL553" s="3075"/>
      <c r="AM553" s="3076"/>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7" t="s">
        <v>1585</v>
      </c>
      <c r="AF556" s="3067"/>
      <c r="AG556" s="3067"/>
      <c r="AH556" s="3067"/>
      <c r="AI556" s="3067"/>
      <c r="AJ556" s="3067"/>
      <c r="AK556" s="3067"/>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1" t="s">
        <v>1738</v>
      </c>
      <c r="D558" s="3121"/>
      <c r="E558" s="3121"/>
      <c r="F558" s="3121"/>
      <c r="G558" s="3121"/>
      <c r="H558" s="3121"/>
      <c r="I558" s="3121"/>
      <c r="J558" s="3121"/>
      <c r="K558" s="3121"/>
      <c r="L558" s="3121"/>
      <c r="M558" s="3121"/>
      <c r="N558" s="3121"/>
      <c r="O558" s="3121"/>
      <c r="P558" s="3121"/>
      <c r="Q558" s="3121"/>
      <c r="R558" s="3121"/>
      <c r="S558" s="3121"/>
      <c r="T558" s="3121"/>
      <c r="U558" s="3121"/>
      <c r="V558" s="3121"/>
      <c r="W558" s="3121"/>
      <c r="X558" s="3121"/>
      <c r="Y558" s="3121"/>
      <c r="Z558" s="3121"/>
      <c r="AA558" s="3121"/>
      <c r="AB558" s="3121"/>
      <c r="AC558" s="3121"/>
      <c r="AD558" s="3121"/>
      <c r="AE558" s="3121"/>
      <c r="AF558" s="3121"/>
      <c r="AG558" s="3121"/>
      <c r="AH558" s="3121"/>
      <c r="AI558" s="3121"/>
      <c r="AJ558" s="3121"/>
      <c r="AK558" s="1027"/>
      <c r="AL558" s="1027"/>
      <c r="AM558" s="1027"/>
      <c r="AN558" s="1000"/>
    </row>
    <row r="559" spans="1:81" s="943" customFormat="1" ht="12.75" customHeight="1">
      <c r="A559" s="1027"/>
      <c r="B559" s="1028"/>
      <c r="C559" s="3121"/>
      <c r="D559" s="3121"/>
      <c r="E559" s="3121"/>
      <c r="F559" s="3121"/>
      <c r="G559" s="3121"/>
      <c r="H559" s="3121"/>
      <c r="I559" s="3121"/>
      <c r="J559" s="3121"/>
      <c r="K559" s="3121"/>
      <c r="L559" s="3121"/>
      <c r="M559" s="3121"/>
      <c r="N559" s="3121"/>
      <c r="O559" s="3121"/>
      <c r="P559" s="3121"/>
      <c r="Q559" s="3121"/>
      <c r="R559" s="3121"/>
      <c r="S559" s="3121"/>
      <c r="T559" s="3121"/>
      <c r="U559" s="3121"/>
      <c r="V559" s="3121"/>
      <c r="W559" s="3121"/>
      <c r="X559" s="3121"/>
      <c r="Y559" s="3121"/>
      <c r="Z559" s="3121"/>
      <c r="AA559" s="3121"/>
      <c r="AB559" s="3121"/>
      <c r="AC559" s="3121"/>
      <c r="AD559" s="3121"/>
      <c r="AE559" s="3121"/>
      <c r="AF559" s="3121"/>
      <c r="AG559" s="3121"/>
      <c r="AH559" s="3121"/>
      <c r="AI559" s="3121"/>
      <c r="AJ559" s="3121"/>
      <c r="AK559" s="1027"/>
      <c r="AL559" s="1027"/>
      <c r="AM559" s="1027"/>
      <c r="AN559" s="1000"/>
    </row>
    <row r="560" spans="1:81" s="943" customFormat="1" ht="12.75" customHeight="1">
      <c r="A560" s="1027"/>
      <c r="B560" s="1028"/>
      <c r="C560" s="3121"/>
      <c r="D560" s="3121"/>
      <c r="E560" s="3121"/>
      <c r="F560" s="3121"/>
      <c r="G560" s="3121"/>
      <c r="H560" s="3121"/>
      <c r="I560" s="3121"/>
      <c r="J560" s="3121"/>
      <c r="K560" s="3121"/>
      <c r="L560" s="3121"/>
      <c r="M560" s="3121"/>
      <c r="N560" s="3121"/>
      <c r="O560" s="3121"/>
      <c r="P560" s="3121"/>
      <c r="Q560" s="3121"/>
      <c r="R560" s="3121"/>
      <c r="S560" s="3121"/>
      <c r="T560" s="3121"/>
      <c r="U560" s="3121"/>
      <c r="V560" s="3121"/>
      <c r="W560" s="3121"/>
      <c r="X560" s="3121"/>
      <c r="Y560" s="3121"/>
      <c r="Z560" s="3121"/>
      <c r="AA560" s="3121"/>
      <c r="AB560" s="3121"/>
      <c r="AC560" s="3121"/>
      <c r="AD560" s="3121"/>
      <c r="AE560" s="3121"/>
      <c r="AF560" s="3121"/>
      <c r="AG560" s="3121"/>
      <c r="AH560" s="3121"/>
      <c r="AI560" s="3121"/>
      <c r="AJ560" s="3121"/>
      <c r="AK560" s="1027"/>
      <c r="AL560" s="1027"/>
      <c r="AM560" s="1027"/>
      <c r="AN560" s="1000"/>
      <c r="AQ560" s="1135"/>
      <c r="AR560" s="1002"/>
    </row>
    <row r="561" spans="1:46" s="943" customFormat="1" ht="12.75" customHeight="1">
      <c r="A561" s="1027"/>
      <c r="B561" s="1118"/>
      <c r="C561" s="3121"/>
      <c r="D561" s="3121"/>
      <c r="E561" s="3121"/>
      <c r="F561" s="3121"/>
      <c r="G561" s="3121"/>
      <c r="H561" s="3121"/>
      <c r="I561" s="3121"/>
      <c r="J561" s="3121"/>
      <c r="K561" s="3121"/>
      <c r="L561" s="3121"/>
      <c r="M561" s="3121"/>
      <c r="N561" s="3121"/>
      <c r="O561" s="3121"/>
      <c r="P561" s="3121"/>
      <c r="Q561" s="3121"/>
      <c r="R561" s="3121"/>
      <c r="S561" s="3121"/>
      <c r="T561" s="3121"/>
      <c r="U561" s="3121"/>
      <c r="V561" s="3121"/>
      <c r="W561" s="3121"/>
      <c r="X561" s="3121"/>
      <c r="Y561" s="3121"/>
      <c r="Z561" s="3121"/>
      <c r="AA561" s="3121"/>
      <c r="AB561" s="3121"/>
      <c r="AC561" s="3121"/>
      <c r="AD561" s="3121"/>
      <c r="AE561" s="3121"/>
      <c r="AF561" s="3121"/>
      <c r="AG561" s="3121"/>
      <c r="AH561" s="3121"/>
      <c r="AI561" s="3121"/>
      <c r="AJ561" s="3121"/>
      <c r="AK561" s="1027"/>
      <c r="AL561" s="1027"/>
      <c r="AM561" s="1027"/>
      <c r="AN561" s="1000"/>
      <c r="AQ561" s="1135"/>
      <c r="AR561" s="1002"/>
    </row>
    <row r="562" spans="1:46" s="943" customFormat="1" ht="12.4" customHeight="1">
      <c r="A562" s="1027"/>
      <c r="B562" s="1118"/>
      <c r="C562" s="3121"/>
      <c r="D562" s="3121"/>
      <c r="E562" s="3121"/>
      <c r="F562" s="3121"/>
      <c r="G562" s="3121"/>
      <c r="H562" s="3121"/>
      <c r="I562" s="3121"/>
      <c r="J562" s="3121"/>
      <c r="K562" s="3121"/>
      <c r="L562" s="3121"/>
      <c r="M562" s="3121"/>
      <c r="N562" s="3121"/>
      <c r="O562" s="3121"/>
      <c r="P562" s="3121"/>
      <c r="Q562" s="3121"/>
      <c r="R562" s="3121"/>
      <c r="S562" s="3121"/>
      <c r="T562" s="3121"/>
      <c r="U562" s="3121"/>
      <c r="V562" s="3121"/>
      <c r="W562" s="3121"/>
      <c r="X562" s="3121"/>
      <c r="Y562" s="3121"/>
      <c r="Z562" s="3121"/>
      <c r="AA562" s="3121"/>
      <c r="AB562" s="3121"/>
      <c r="AC562" s="3121"/>
      <c r="AD562" s="3121"/>
      <c r="AE562" s="3121"/>
      <c r="AF562" s="3121"/>
      <c r="AG562" s="3121"/>
      <c r="AH562" s="3121"/>
      <c r="AI562" s="3121"/>
      <c r="AJ562" s="3121"/>
      <c r="AK562" s="1027"/>
      <c r="AL562" s="1027"/>
      <c r="AM562" s="1027"/>
      <c r="AN562" s="1000"/>
      <c r="AQ562" s="1135"/>
      <c r="AR562" s="1135"/>
    </row>
    <row r="563" spans="1:46" s="943" customFormat="1" ht="24.95" customHeight="1">
      <c r="A563" s="1027"/>
      <c r="B563" s="1118"/>
      <c r="C563" s="3121" t="s">
        <v>1739</v>
      </c>
      <c r="D563" s="3121"/>
      <c r="E563" s="3121"/>
      <c r="F563" s="3121"/>
      <c r="G563" s="3121"/>
      <c r="H563" s="3121"/>
      <c r="I563" s="3121"/>
      <c r="J563" s="3121"/>
      <c r="K563" s="3121"/>
      <c r="L563" s="3121"/>
      <c r="M563" s="3121"/>
      <c r="N563" s="3121"/>
      <c r="O563" s="3121"/>
      <c r="P563" s="3121"/>
      <c r="Q563" s="3121"/>
      <c r="R563" s="3121"/>
      <c r="S563" s="3121"/>
      <c r="T563" s="3121"/>
      <c r="U563" s="3121"/>
      <c r="V563" s="3121"/>
      <c r="W563" s="3121"/>
      <c r="X563" s="3121"/>
      <c r="Y563" s="3121"/>
      <c r="Z563" s="3121"/>
      <c r="AA563" s="3121"/>
      <c r="AB563" s="3121"/>
      <c r="AC563" s="3121"/>
      <c r="AD563" s="3121"/>
      <c r="AE563" s="3121"/>
      <c r="AF563" s="3121"/>
      <c r="AG563" s="3121"/>
      <c r="AH563" s="3121"/>
      <c r="AI563" s="3121"/>
      <c r="AJ563" s="3121"/>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1" t="s">
        <v>2393</v>
      </c>
      <c r="D565" s="3121"/>
      <c r="E565" s="3121"/>
      <c r="F565" s="3121"/>
      <c r="G565" s="3121"/>
      <c r="H565" s="3121"/>
      <c r="I565" s="3121"/>
      <c r="J565" s="3121"/>
      <c r="K565" s="3121"/>
      <c r="L565" s="3121"/>
      <c r="M565" s="3121"/>
      <c r="N565" s="3121"/>
      <c r="O565" s="3121"/>
      <c r="P565" s="3121"/>
      <c r="Q565" s="3121"/>
      <c r="R565" s="3121"/>
      <c r="S565" s="3121"/>
      <c r="T565" s="3121"/>
      <c r="U565" s="3121"/>
      <c r="V565" s="3121"/>
      <c r="W565" s="3121"/>
      <c r="X565" s="3121"/>
      <c r="Y565" s="3121"/>
      <c r="Z565" s="3121"/>
      <c r="AA565" s="3121"/>
      <c r="AB565" s="3121"/>
      <c r="AC565" s="3121"/>
      <c r="AD565" s="3121"/>
      <c r="AE565" s="3121"/>
      <c r="AF565" s="3121"/>
      <c r="AG565" s="3121"/>
      <c r="AH565" s="3121"/>
      <c r="AI565" s="3121"/>
      <c r="AJ565" s="3121"/>
      <c r="AK565" s="1027"/>
      <c r="AL565" s="1027"/>
      <c r="AM565" s="1027"/>
      <c r="AN565" s="1000"/>
      <c r="AQ565" s="1135"/>
      <c r="AR565" s="1135"/>
    </row>
    <row r="566" spans="1:46" s="943" customFormat="1" ht="30" customHeight="1">
      <c r="A566" s="1027"/>
      <c r="B566" s="1118"/>
      <c r="C566" s="3121"/>
      <c r="D566" s="3121"/>
      <c r="E566" s="3121"/>
      <c r="F566" s="3121"/>
      <c r="G566" s="3121"/>
      <c r="H566" s="3121"/>
      <c r="I566" s="3121"/>
      <c r="J566" s="3121"/>
      <c r="K566" s="3121"/>
      <c r="L566" s="3121"/>
      <c r="M566" s="3121"/>
      <c r="N566" s="3121"/>
      <c r="O566" s="3121"/>
      <c r="P566" s="3121"/>
      <c r="Q566" s="3121"/>
      <c r="R566" s="3121"/>
      <c r="S566" s="3121"/>
      <c r="T566" s="3121"/>
      <c r="U566" s="3121"/>
      <c r="V566" s="3121"/>
      <c r="W566" s="3121"/>
      <c r="X566" s="3121"/>
      <c r="Y566" s="3121"/>
      <c r="Z566" s="3121"/>
      <c r="AA566" s="3121"/>
      <c r="AB566" s="3121"/>
      <c r="AC566" s="3121"/>
      <c r="AD566" s="3121"/>
      <c r="AE566" s="3121"/>
      <c r="AF566" s="3121"/>
      <c r="AG566" s="3121"/>
      <c r="AH566" s="3121"/>
      <c r="AI566" s="3121"/>
      <c r="AJ566" s="3121"/>
      <c r="AK566" s="1027"/>
      <c r="AL566" s="1027"/>
      <c r="AM566" s="1027"/>
      <c r="AN566" s="1000"/>
      <c r="AQ566" s="1002"/>
      <c r="AR566" s="1135"/>
    </row>
    <row r="567" spans="1:46" s="943" customFormat="1" ht="12.75" customHeight="1">
      <c r="A567" s="1027"/>
      <c r="B567" s="1118"/>
      <c r="C567" s="3121"/>
      <c r="D567" s="3121"/>
      <c r="E567" s="3121"/>
      <c r="F567" s="3121"/>
      <c r="G567" s="3121"/>
      <c r="H567" s="3121"/>
      <c r="I567" s="3121"/>
      <c r="J567" s="3121"/>
      <c r="K567" s="3121"/>
      <c r="L567" s="3121"/>
      <c r="M567" s="3121"/>
      <c r="N567" s="3121"/>
      <c r="O567" s="3121"/>
      <c r="P567" s="3121"/>
      <c r="Q567" s="3121"/>
      <c r="R567" s="3121"/>
      <c r="S567" s="3121"/>
      <c r="T567" s="3121"/>
      <c r="U567" s="3121"/>
      <c r="V567" s="3121"/>
      <c r="W567" s="3121"/>
      <c r="X567" s="3121"/>
      <c r="Y567" s="3121"/>
      <c r="Z567" s="3121"/>
      <c r="AA567" s="3121"/>
      <c r="AB567" s="3121"/>
      <c r="AC567" s="3121"/>
      <c r="AD567" s="3121"/>
      <c r="AE567" s="3121"/>
      <c r="AF567" s="3121"/>
      <c r="AG567" s="3121"/>
      <c r="AH567" s="3121"/>
      <c r="AI567" s="3121"/>
      <c r="AJ567" s="3121"/>
      <c r="AK567" s="1027"/>
      <c r="AL567" s="1027"/>
      <c r="AM567" s="1027"/>
      <c r="AN567" s="1000"/>
      <c r="AQ567" s="1002"/>
      <c r="AR567" s="1135"/>
    </row>
    <row r="568" spans="1:46" s="943" customFormat="1" ht="12.75" customHeight="1">
      <c r="A568" s="1027"/>
      <c r="B568" s="1118"/>
      <c r="C568" s="3121" t="s">
        <v>1740</v>
      </c>
      <c r="D568" s="3121"/>
      <c r="E568" s="3121"/>
      <c r="F568" s="3121"/>
      <c r="G568" s="3121"/>
      <c r="H568" s="3121"/>
      <c r="I568" s="3121"/>
      <c r="J568" s="3121"/>
      <c r="K568" s="3121"/>
      <c r="L568" s="3121"/>
      <c r="M568" s="3121"/>
      <c r="N568" s="3121"/>
      <c r="O568" s="3121"/>
      <c r="P568" s="3121"/>
      <c r="Q568" s="3121"/>
      <c r="R568" s="3121"/>
      <c r="S568" s="3121"/>
      <c r="T568" s="3121"/>
      <c r="U568" s="3121"/>
      <c r="V568" s="3121"/>
      <c r="W568" s="3121"/>
      <c r="X568" s="3121"/>
      <c r="Y568" s="3121"/>
      <c r="Z568" s="3121"/>
      <c r="AA568" s="3121"/>
      <c r="AB568" s="3121"/>
      <c r="AC568" s="3121"/>
      <c r="AD568" s="3121"/>
      <c r="AE568" s="3121"/>
      <c r="AF568" s="3121"/>
      <c r="AG568" s="3121"/>
      <c r="AH568" s="3121"/>
      <c r="AI568" s="3121"/>
      <c r="AJ568" s="3121"/>
      <c r="AK568" s="1027"/>
      <c r="AL568" s="1027"/>
      <c r="AM568" s="1027"/>
      <c r="AN568" s="1000"/>
      <c r="AQ568" s="1135"/>
      <c r="AR568" s="1135"/>
    </row>
    <row r="569" spans="1:46" s="943" customFormat="1" ht="12.75" customHeight="1">
      <c r="A569" s="1027"/>
      <c r="B569" s="1118"/>
      <c r="C569" s="3121"/>
      <c r="D569" s="3121"/>
      <c r="E569" s="3121"/>
      <c r="F569" s="3121"/>
      <c r="G569" s="3121"/>
      <c r="H569" s="3121"/>
      <c r="I569" s="3121"/>
      <c r="J569" s="3121"/>
      <c r="K569" s="3121"/>
      <c r="L569" s="3121"/>
      <c r="M569" s="3121"/>
      <c r="N569" s="3121"/>
      <c r="O569" s="3121"/>
      <c r="P569" s="3121"/>
      <c r="Q569" s="3121"/>
      <c r="R569" s="3121"/>
      <c r="S569" s="3121"/>
      <c r="T569" s="3121"/>
      <c r="U569" s="3121"/>
      <c r="V569" s="3121"/>
      <c r="W569" s="3121"/>
      <c r="X569" s="3121"/>
      <c r="Y569" s="3121"/>
      <c r="Z569" s="3121"/>
      <c r="AA569" s="3121"/>
      <c r="AB569" s="3121"/>
      <c r="AC569" s="3121"/>
      <c r="AD569" s="3121"/>
      <c r="AE569" s="3121"/>
      <c r="AF569" s="3121"/>
      <c r="AG569" s="3121"/>
      <c r="AH569" s="3121"/>
      <c r="AI569" s="3121"/>
      <c r="AJ569" s="3121"/>
      <c r="AK569" s="1027"/>
      <c r="AL569" s="1027"/>
      <c r="AM569" s="1027"/>
      <c r="AN569" s="1000"/>
      <c r="AQ569" s="1135"/>
      <c r="AR569" s="1135"/>
    </row>
    <row r="570" spans="1:46" s="943" customFormat="1" ht="13.15" customHeight="1">
      <c r="A570" s="1027"/>
      <c r="B570" s="1118"/>
      <c r="C570" s="3121"/>
      <c r="D570" s="3121"/>
      <c r="E570" s="3121"/>
      <c r="F570" s="3121"/>
      <c r="G570" s="3121"/>
      <c r="H570" s="3121"/>
      <c r="I570" s="3121"/>
      <c r="J570" s="3121"/>
      <c r="K570" s="3121"/>
      <c r="L570" s="3121"/>
      <c r="M570" s="3121"/>
      <c r="N570" s="3121"/>
      <c r="O570" s="3121"/>
      <c r="P570" s="3121"/>
      <c r="Q570" s="3121"/>
      <c r="R570" s="3121"/>
      <c r="S570" s="3121"/>
      <c r="T570" s="3121"/>
      <c r="U570" s="3121"/>
      <c r="V570" s="3121"/>
      <c r="W570" s="3121"/>
      <c r="X570" s="3121"/>
      <c r="Y570" s="3121"/>
      <c r="Z570" s="3121"/>
      <c r="AA570" s="3121"/>
      <c r="AB570" s="3121"/>
      <c r="AC570" s="3121"/>
      <c r="AD570" s="3121"/>
      <c r="AE570" s="3121"/>
      <c r="AF570" s="3121"/>
      <c r="AG570" s="3121"/>
      <c r="AH570" s="3121"/>
      <c r="AI570" s="3121"/>
      <c r="AJ570" s="3121"/>
      <c r="AK570" s="1027"/>
      <c r="AL570" s="1027"/>
      <c r="AM570" s="1027"/>
      <c r="AN570" s="1000"/>
      <c r="AQ570" s="1135"/>
      <c r="AR570" s="1135"/>
    </row>
    <row r="571" spans="1:46" s="943" customFormat="1" ht="12.75" customHeight="1">
      <c r="A571" s="1027"/>
      <c r="B571" s="1118"/>
      <c r="C571" s="3121"/>
      <c r="D571" s="3121"/>
      <c r="E571" s="3121"/>
      <c r="F571" s="3121"/>
      <c r="G571" s="3121"/>
      <c r="H571" s="3121"/>
      <c r="I571" s="3121"/>
      <c r="J571" s="3121"/>
      <c r="K571" s="3121"/>
      <c r="L571" s="3121"/>
      <c r="M571" s="3121"/>
      <c r="N571" s="3121"/>
      <c r="O571" s="3121"/>
      <c r="P571" s="3121"/>
      <c r="Q571" s="3121"/>
      <c r="R571" s="3121"/>
      <c r="S571" s="3121"/>
      <c r="T571" s="3121"/>
      <c r="U571" s="3121"/>
      <c r="V571" s="3121"/>
      <c r="W571" s="3121"/>
      <c r="X571" s="3121"/>
      <c r="Y571" s="3121"/>
      <c r="Z571" s="3121"/>
      <c r="AA571" s="3121"/>
      <c r="AB571" s="3121"/>
      <c r="AC571" s="3121"/>
      <c r="AD571" s="3121"/>
      <c r="AE571" s="3121"/>
      <c r="AF571" s="3121"/>
      <c r="AG571" s="3121"/>
      <c r="AH571" s="3121"/>
      <c r="AI571" s="3121"/>
      <c r="AJ571" s="3121"/>
      <c r="AK571" s="1027"/>
      <c r="AL571" s="1027"/>
      <c r="AM571" s="1027"/>
      <c r="AN571" s="1000"/>
      <c r="AO571" s="1150"/>
      <c r="AP571" s="1150"/>
      <c r="AQ571" s="1135"/>
      <c r="AR571" s="1002"/>
    </row>
    <row r="572" spans="1:46" s="943" customFormat="1" ht="11.85" customHeight="1">
      <c r="A572" s="1027"/>
      <c r="B572" s="1118"/>
      <c r="C572" s="3121"/>
      <c r="D572" s="3121"/>
      <c r="E572" s="3121"/>
      <c r="F572" s="3121"/>
      <c r="G572" s="3121"/>
      <c r="H572" s="3121"/>
      <c r="I572" s="3121"/>
      <c r="J572" s="3121"/>
      <c r="K572" s="3121"/>
      <c r="L572" s="3121"/>
      <c r="M572" s="3121"/>
      <c r="N572" s="3121"/>
      <c r="O572" s="3121"/>
      <c r="P572" s="3121"/>
      <c r="Q572" s="3121"/>
      <c r="R572" s="3121"/>
      <c r="S572" s="3121"/>
      <c r="T572" s="3121"/>
      <c r="U572" s="3121"/>
      <c r="V572" s="3121"/>
      <c r="W572" s="3121"/>
      <c r="X572" s="3121"/>
      <c r="Y572" s="3121"/>
      <c r="Z572" s="3121"/>
      <c r="AA572" s="3121"/>
      <c r="AB572" s="3121"/>
      <c r="AC572" s="3121"/>
      <c r="AD572" s="3121"/>
      <c r="AE572" s="3121"/>
      <c r="AF572" s="3121"/>
      <c r="AG572" s="3121"/>
      <c r="AH572" s="3121"/>
      <c r="AI572" s="3121"/>
      <c r="AJ572" s="3121"/>
      <c r="AK572" s="1027"/>
      <c r="AL572" s="1027"/>
      <c r="AM572" s="1027"/>
      <c r="AN572" s="1000"/>
      <c r="AO572" s="1151" t="s">
        <v>117</v>
      </c>
      <c r="AP572" s="1152">
        <f>IF(C596="Yes",5,0)</f>
        <v>0</v>
      </c>
      <c r="AQ572" s="1002"/>
      <c r="AR572" s="1002"/>
      <c r="AS572" s="932" t="s">
        <v>1741</v>
      </c>
    </row>
    <row r="573" spans="1:46" s="943" customFormat="1" ht="12.75" customHeight="1">
      <c r="A573" s="1027"/>
      <c r="B573" s="1118"/>
      <c r="C573" s="3121"/>
      <c r="D573" s="3121"/>
      <c r="E573" s="3121"/>
      <c r="F573" s="3121"/>
      <c r="G573" s="3121"/>
      <c r="H573" s="3121"/>
      <c r="I573" s="3121"/>
      <c r="J573" s="3121"/>
      <c r="K573" s="3121"/>
      <c r="L573" s="3121"/>
      <c r="M573" s="3121"/>
      <c r="N573" s="3121"/>
      <c r="O573" s="3121"/>
      <c r="P573" s="3121"/>
      <c r="Q573" s="3121"/>
      <c r="R573" s="3121"/>
      <c r="S573" s="3121"/>
      <c r="T573" s="3121"/>
      <c r="U573" s="3121"/>
      <c r="V573" s="3121"/>
      <c r="W573" s="3121"/>
      <c r="X573" s="3121"/>
      <c r="Y573" s="3121"/>
      <c r="Z573" s="3121"/>
      <c r="AA573" s="3121"/>
      <c r="AB573" s="3121"/>
      <c r="AC573" s="3121"/>
      <c r="AD573" s="3121"/>
      <c r="AE573" s="3121"/>
      <c r="AF573" s="3121"/>
      <c r="AG573" s="3121"/>
      <c r="AH573" s="3121"/>
      <c r="AI573" s="3121"/>
      <c r="AJ573" s="3121"/>
      <c r="AK573" s="1027"/>
      <c r="AL573" s="1027"/>
      <c r="AM573" s="1027"/>
      <c r="AN573" s="1000"/>
      <c r="AO573" s="1151" t="s">
        <v>118</v>
      </c>
      <c r="AP573" s="1152">
        <f>IF(C604="Yes",5,0)</f>
        <v>0</v>
      </c>
      <c r="AQ573" s="1002"/>
      <c r="AR573" s="1002"/>
      <c r="AS573" s="3128">
        <f>IF(Application!D210="Non-Targeted",(SUM(AQ581+AQ590)),AS577)</f>
        <v>10</v>
      </c>
      <c r="AT573" s="3128"/>
    </row>
    <row r="574" spans="1:46" s="943" customFormat="1" ht="12.75" customHeight="1">
      <c r="A574" s="1027"/>
      <c r="B574" s="1118"/>
      <c r="C574" s="3121"/>
      <c r="D574" s="3121"/>
      <c r="E574" s="3121"/>
      <c r="F574" s="3121"/>
      <c r="G574" s="3121"/>
      <c r="H574" s="3121"/>
      <c r="I574" s="3121"/>
      <c r="J574" s="3121"/>
      <c r="K574" s="3121"/>
      <c r="L574" s="3121"/>
      <c r="M574" s="3121"/>
      <c r="N574" s="3121"/>
      <c r="O574" s="3121"/>
      <c r="P574" s="3121"/>
      <c r="Q574" s="3121"/>
      <c r="R574" s="3121"/>
      <c r="S574" s="3121"/>
      <c r="T574" s="3121"/>
      <c r="U574" s="3121"/>
      <c r="V574" s="3121"/>
      <c r="W574" s="3121"/>
      <c r="X574" s="3121"/>
      <c r="Y574" s="3121"/>
      <c r="Z574" s="3121"/>
      <c r="AA574" s="3121"/>
      <c r="AB574" s="3121"/>
      <c r="AC574" s="3121"/>
      <c r="AD574" s="3121"/>
      <c r="AE574" s="3121"/>
      <c r="AF574" s="3121"/>
      <c r="AG574" s="3121"/>
      <c r="AH574" s="3121"/>
      <c r="AI574" s="3121"/>
      <c r="AJ574" s="3121"/>
      <c r="AK574" s="1027"/>
      <c r="AL574" s="1027"/>
      <c r="AM574" s="1027"/>
      <c r="AN574" s="1000"/>
      <c r="AO574" s="1151" t="s">
        <v>124</v>
      </c>
      <c r="AP574" s="1152">
        <f>IF(C612="Yes",7,0)</f>
        <v>0</v>
      </c>
      <c r="AS574" s="932" t="s">
        <v>1742</v>
      </c>
    </row>
    <row r="575" spans="1:46" s="943" customFormat="1" ht="12.75" customHeight="1">
      <c r="A575" s="1027"/>
      <c r="B575" s="1118"/>
      <c r="C575" s="3121"/>
      <c r="D575" s="3121"/>
      <c r="E575" s="3121"/>
      <c r="F575" s="3121"/>
      <c r="G575" s="3121"/>
      <c r="H575" s="3121"/>
      <c r="I575" s="3121"/>
      <c r="J575" s="3121"/>
      <c r="K575" s="3121"/>
      <c r="L575" s="3121"/>
      <c r="M575" s="3121"/>
      <c r="N575" s="3121"/>
      <c r="O575" s="3121"/>
      <c r="P575" s="3121"/>
      <c r="Q575" s="3121"/>
      <c r="R575" s="3121"/>
      <c r="S575" s="3121"/>
      <c r="T575" s="3121"/>
      <c r="U575" s="3121"/>
      <c r="V575" s="3121"/>
      <c r="W575" s="3121"/>
      <c r="X575" s="3121"/>
      <c r="Y575" s="3121"/>
      <c r="Z575" s="3121"/>
      <c r="AA575" s="3121"/>
      <c r="AB575" s="3121"/>
      <c r="AC575" s="3121"/>
      <c r="AD575" s="3121"/>
      <c r="AE575" s="3121"/>
      <c r="AF575" s="3121"/>
      <c r="AG575" s="3121"/>
      <c r="AH575" s="3121"/>
      <c r="AI575" s="3121"/>
      <c r="AJ575" s="3121"/>
      <c r="AK575" s="1027"/>
      <c r="AL575" s="1027"/>
      <c r="AM575" s="1027"/>
      <c r="AN575" s="1000"/>
      <c r="AO575" s="1000"/>
      <c r="AP575" s="1152">
        <f>IF(C614="Yes",5,0)</f>
        <v>5</v>
      </c>
      <c r="AS575" s="3128">
        <f>IF(AND(AQ581&gt;0,AQ590&gt;0),(AQ581+AQ590)/2,0)</f>
        <v>0</v>
      </c>
      <c r="AT575" s="3128"/>
    </row>
    <row r="576" spans="1:46" s="943" customFormat="1" ht="12.75" customHeight="1">
      <c r="A576" s="1027"/>
      <c r="B576" s="1118"/>
      <c r="C576" s="3121"/>
      <c r="D576" s="3121"/>
      <c r="E576" s="3121"/>
      <c r="F576" s="3121"/>
      <c r="G576" s="3121"/>
      <c r="H576" s="3121"/>
      <c r="I576" s="3121"/>
      <c r="J576" s="3121"/>
      <c r="K576" s="3121"/>
      <c r="L576" s="3121"/>
      <c r="M576" s="3121"/>
      <c r="N576" s="3121"/>
      <c r="O576" s="3121"/>
      <c r="P576" s="3121"/>
      <c r="Q576" s="3121"/>
      <c r="R576" s="3121"/>
      <c r="S576" s="3121"/>
      <c r="T576" s="3121"/>
      <c r="U576" s="3121"/>
      <c r="V576" s="3121"/>
      <c r="W576" s="3121"/>
      <c r="X576" s="3121"/>
      <c r="Y576" s="3121"/>
      <c r="Z576" s="3121"/>
      <c r="AA576" s="3121"/>
      <c r="AB576" s="3121"/>
      <c r="AC576" s="3121"/>
      <c r="AD576" s="3121"/>
      <c r="AE576" s="3121"/>
      <c r="AF576" s="3121"/>
      <c r="AG576" s="3121"/>
      <c r="AH576" s="3121"/>
      <c r="AI576" s="3121"/>
      <c r="AJ576" s="3121"/>
      <c r="AK576" s="1027"/>
      <c r="AL576" s="1027"/>
      <c r="AM576" s="1027"/>
      <c r="AN576" s="1000"/>
      <c r="AO576" s="1151" t="s">
        <v>616</v>
      </c>
      <c r="AP576" s="1152">
        <f>IF(C622="Yes",5,0)</f>
        <v>0</v>
      </c>
      <c r="AQ576" s="1002"/>
      <c r="AR576" s="1002"/>
      <c r="AS576" s="932" t="s">
        <v>2416</v>
      </c>
    </row>
    <row r="577" spans="1:81" s="943" customFormat="1" ht="12.75" customHeight="1">
      <c r="A577" s="1027"/>
      <c r="B577" s="1118"/>
      <c r="C577" s="3129" t="s">
        <v>1743</v>
      </c>
      <c r="D577" s="3129"/>
      <c r="E577" s="3129"/>
      <c r="F577" s="3129"/>
      <c r="G577" s="3129"/>
      <c r="H577" s="3129"/>
      <c r="I577" s="3129"/>
      <c r="J577" s="3129"/>
      <c r="K577" s="3129"/>
      <c r="L577" s="3129"/>
      <c r="M577" s="3129"/>
      <c r="N577" s="3129"/>
      <c r="O577" s="3129"/>
      <c r="P577" s="3129"/>
      <c r="Q577" s="3129"/>
      <c r="R577" s="3129"/>
      <c r="S577" s="3129"/>
      <c r="T577" s="3129"/>
      <c r="U577" s="3129"/>
      <c r="V577" s="3129"/>
      <c r="W577" s="3129"/>
      <c r="X577" s="3129"/>
      <c r="Y577" s="3129"/>
      <c r="Z577" s="3129"/>
      <c r="AA577" s="3129"/>
      <c r="AB577" s="3129"/>
      <c r="AC577" s="3129"/>
      <c r="AD577" s="3129"/>
      <c r="AE577" s="3129"/>
      <c r="AF577" s="3129"/>
      <c r="AG577" s="3129"/>
      <c r="AH577" s="3129"/>
      <c r="AI577" s="3129"/>
      <c r="AJ577" s="3129"/>
      <c r="AK577" s="1027"/>
      <c r="AL577" s="1027"/>
      <c r="AM577" s="1027"/>
      <c r="AN577" s="1000"/>
      <c r="AO577" s="1000"/>
      <c r="AP577" s="1152">
        <f>IF(C624="Yes",3,0)</f>
        <v>0</v>
      </c>
      <c r="AS577" s="3128">
        <f>IF(AQ581=0,AQ590,AQ581)</f>
        <v>10</v>
      </c>
      <c r="AT577" s="3128"/>
    </row>
    <row r="578" spans="1:81" s="943" customFormat="1" ht="12.75" customHeight="1">
      <c r="A578" s="1027"/>
      <c r="B578" s="1118"/>
      <c r="C578" s="3129"/>
      <c r="D578" s="3129"/>
      <c r="E578" s="3129"/>
      <c r="F578" s="3129"/>
      <c r="G578" s="3129"/>
      <c r="H578" s="3129"/>
      <c r="I578" s="3129"/>
      <c r="J578" s="3129"/>
      <c r="K578" s="3129"/>
      <c r="L578" s="3129"/>
      <c r="M578" s="3129"/>
      <c r="N578" s="3129"/>
      <c r="O578" s="3129"/>
      <c r="P578" s="3129"/>
      <c r="Q578" s="3129"/>
      <c r="R578" s="3129"/>
      <c r="S578" s="3129"/>
      <c r="T578" s="3129"/>
      <c r="U578" s="3129"/>
      <c r="V578" s="3129"/>
      <c r="W578" s="3129"/>
      <c r="X578" s="3129"/>
      <c r="Y578" s="3129"/>
      <c r="Z578" s="3129"/>
      <c r="AA578" s="3129"/>
      <c r="AB578" s="3129"/>
      <c r="AC578" s="3129"/>
      <c r="AD578" s="3129"/>
      <c r="AE578" s="3129"/>
      <c r="AF578" s="3129"/>
      <c r="AG578" s="3129"/>
      <c r="AH578" s="3129"/>
      <c r="AI578" s="3129"/>
      <c r="AJ578" s="3129"/>
      <c r="AK578" s="1027"/>
      <c r="AL578" s="1027"/>
      <c r="AM578" s="1027"/>
      <c r="AN578" s="1000"/>
      <c r="AO578" s="1151" t="s">
        <v>821</v>
      </c>
      <c r="AP578" s="1152">
        <f>IF(C627="Yes",5,0)</f>
        <v>0</v>
      </c>
    </row>
    <row r="579" spans="1:81" s="943" customFormat="1" ht="12.75" customHeight="1">
      <c r="A579" s="1027"/>
      <c r="B579" s="1118"/>
      <c r="C579" s="3129"/>
      <c r="D579" s="3129"/>
      <c r="E579" s="3129"/>
      <c r="F579" s="3129"/>
      <c r="G579" s="3129"/>
      <c r="H579" s="3129"/>
      <c r="I579" s="3129"/>
      <c r="J579" s="3129"/>
      <c r="K579" s="3129"/>
      <c r="L579" s="3129"/>
      <c r="M579" s="3129"/>
      <c r="N579" s="3129"/>
      <c r="O579" s="3129"/>
      <c r="P579" s="3129"/>
      <c r="Q579" s="3129"/>
      <c r="R579" s="3129"/>
      <c r="S579" s="3129"/>
      <c r="T579" s="3129"/>
      <c r="U579" s="3129"/>
      <c r="V579" s="3129"/>
      <c r="W579" s="3129"/>
      <c r="X579" s="3129"/>
      <c r="Y579" s="3129"/>
      <c r="Z579" s="3129"/>
      <c r="AA579" s="3129"/>
      <c r="AB579" s="3129"/>
      <c r="AC579" s="3129"/>
      <c r="AD579" s="3129"/>
      <c r="AE579" s="3129"/>
      <c r="AF579" s="3129"/>
      <c r="AG579" s="3129"/>
      <c r="AH579" s="3129"/>
      <c r="AI579" s="3129"/>
      <c r="AJ579" s="3129"/>
      <c r="AK579" s="1027"/>
      <c r="AL579" s="1027"/>
      <c r="AM579" s="1027"/>
      <c r="AN579" s="1000"/>
      <c r="AO579" s="1151" t="s">
        <v>619</v>
      </c>
      <c r="AP579" s="1152">
        <f>IF(C636="Yes",5,0)</f>
        <v>5</v>
      </c>
    </row>
    <row r="580" spans="1:81" s="943" customFormat="1" ht="11.85" customHeight="1">
      <c r="A580" s="1027"/>
      <c r="B580" s="1118"/>
      <c r="C580" s="3129"/>
      <c r="D580" s="3129"/>
      <c r="E580" s="3129"/>
      <c r="F580" s="3129"/>
      <c r="G580" s="3129"/>
      <c r="H580" s="3129"/>
      <c r="I580" s="3129"/>
      <c r="J580" s="3129"/>
      <c r="K580" s="3129"/>
      <c r="L580" s="3129"/>
      <c r="M580" s="3129"/>
      <c r="N580" s="3129"/>
      <c r="O580" s="3129"/>
      <c r="P580" s="3129"/>
      <c r="Q580" s="3129"/>
      <c r="R580" s="3129"/>
      <c r="S580" s="3129"/>
      <c r="T580" s="3129"/>
      <c r="U580" s="3129"/>
      <c r="V580" s="3129"/>
      <c r="W580" s="3129"/>
      <c r="X580" s="3129"/>
      <c r="Y580" s="3129"/>
      <c r="Z580" s="3129"/>
      <c r="AA580" s="3129"/>
      <c r="AB580" s="3129"/>
      <c r="AC580" s="3129"/>
      <c r="AD580" s="3129"/>
      <c r="AE580" s="3129"/>
      <c r="AF580" s="3129"/>
      <c r="AG580" s="3129"/>
      <c r="AH580" s="3129"/>
      <c r="AI580" s="3129"/>
      <c r="AJ580" s="3129"/>
      <c r="AK580" s="1027"/>
      <c r="AL580" s="1027"/>
      <c r="AM580" s="1027"/>
      <c r="AN580" s="1000"/>
      <c r="AO580" s="1153"/>
      <c r="AP580" s="1154">
        <f>IF(C638="Yes",3,0)</f>
        <v>0</v>
      </c>
    </row>
    <row r="581" spans="1:81" s="943" customFormat="1" ht="12.4" customHeight="1">
      <c r="A581" s="1027"/>
      <c r="B581" s="1118"/>
      <c r="C581" s="3129"/>
      <c r="D581" s="3129"/>
      <c r="E581" s="3129"/>
      <c r="F581" s="3129"/>
      <c r="G581" s="3129"/>
      <c r="H581" s="3129"/>
      <c r="I581" s="3129"/>
      <c r="J581" s="3129"/>
      <c r="K581" s="3129"/>
      <c r="L581" s="3129"/>
      <c r="M581" s="3129"/>
      <c r="N581" s="3129"/>
      <c r="O581" s="3129"/>
      <c r="P581" s="3129"/>
      <c r="Q581" s="3129"/>
      <c r="R581" s="3129"/>
      <c r="S581" s="3129"/>
      <c r="T581" s="3129"/>
      <c r="U581" s="3129"/>
      <c r="V581" s="3129"/>
      <c r="W581" s="3129"/>
      <c r="X581" s="3129"/>
      <c r="Y581" s="3129"/>
      <c r="Z581" s="3129"/>
      <c r="AA581" s="3129"/>
      <c r="AB581" s="3129"/>
      <c r="AC581" s="3129"/>
      <c r="AD581" s="3129"/>
      <c r="AE581" s="3129"/>
      <c r="AF581" s="3129"/>
      <c r="AG581" s="3129"/>
      <c r="AH581" s="3129"/>
      <c r="AI581" s="3129"/>
      <c r="AJ581" s="3129"/>
      <c r="AK581" s="1027"/>
      <c r="AL581" s="1027"/>
      <c r="AM581" s="1027"/>
      <c r="AN581" s="1000"/>
      <c r="AO581" s="1155" t="s">
        <v>233</v>
      </c>
      <c r="AP581" s="1156">
        <f>SUM(AP572:AP580)</f>
        <v>10</v>
      </c>
      <c r="AQ581" s="3130">
        <f>IF(AP581&gt;0,AP581,0)</f>
        <v>10</v>
      </c>
      <c r="AR581" s="3130"/>
    </row>
    <row r="582" spans="1:81" s="943" customFormat="1" ht="12.75" customHeight="1">
      <c r="A582" s="1027"/>
      <c r="B582" s="1118"/>
      <c r="C582" s="3129"/>
      <c r="D582" s="3129"/>
      <c r="E582" s="3129"/>
      <c r="F582" s="3129"/>
      <c r="G582" s="3129"/>
      <c r="H582" s="3129"/>
      <c r="I582" s="3129"/>
      <c r="J582" s="3129"/>
      <c r="K582" s="3129"/>
      <c r="L582" s="3129"/>
      <c r="M582" s="3129"/>
      <c r="N582" s="3129"/>
      <c r="O582" s="3129"/>
      <c r="P582" s="3129"/>
      <c r="Q582" s="3129"/>
      <c r="R582" s="3129"/>
      <c r="S582" s="3129"/>
      <c r="T582" s="3129"/>
      <c r="U582" s="3129"/>
      <c r="V582" s="3129"/>
      <c r="W582" s="3129"/>
      <c r="X582" s="3129"/>
      <c r="Y582" s="3129"/>
      <c r="Z582" s="3129"/>
      <c r="AA582" s="3129"/>
      <c r="AB582" s="3129"/>
      <c r="AC582" s="3129"/>
      <c r="AD582" s="3129"/>
      <c r="AE582" s="3129"/>
      <c r="AF582" s="3129"/>
      <c r="AG582" s="3129"/>
      <c r="AH582" s="3129"/>
      <c r="AI582" s="3129"/>
      <c r="AJ582" s="3129"/>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21" t="s">
        <v>1744</v>
      </c>
      <c r="D584" s="3121"/>
      <c r="E584" s="3121"/>
      <c r="F584" s="3121"/>
      <c r="G584" s="3121"/>
      <c r="H584" s="3121"/>
      <c r="I584" s="3121"/>
      <c r="J584" s="3121"/>
      <c r="K584" s="3121"/>
      <c r="L584" s="3121"/>
      <c r="M584" s="3121"/>
      <c r="N584" s="3121"/>
      <c r="O584" s="3121"/>
      <c r="P584" s="3121"/>
      <c r="Q584" s="3121"/>
      <c r="R584" s="3121"/>
      <c r="S584" s="3121"/>
      <c r="T584" s="3121"/>
      <c r="U584" s="3121"/>
      <c r="V584" s="3121"/>
      <c r="W584" s="3121"/>
      <c r="X584" s="3121"/>
      <c r="Y584" s="3121"/>
      <c r="Z584" s="3121"/>
      <c r="AA584" s="3121"/>
      <c r="AB584" s="3121"/>
      <c r="AC584" s="3121"/>
      <c r="AD584" s="3121"/>
      <c r="AE584" s="3121"/>
      <c r="AF584" s="3121"/>
      <c r="AG584" s="3121"/>
      <c r="AH584" s="3121"/>
      <c r="AI584" s="3121"/>
      <c r="AJ584" s="3121"/>
      <c r="AK584" s="1027"/>
      <c r="AL584" s="1027"/>
      <c r="AM584" s="1027"/>
      <c r="AN584" s="1000"/>
      <c r="AO584" s="1151" t="s">
        <v>488</v>
      </c>
      <c r="AP584" s="1152">
        <f>IF(C657="Yes",5,0)</f>
        <v>0</v>
      </c>
    </row>
    <row r="585" spans="1:81" s="943" customFormat="1" ht="12.75" customHeight="1">
      <c r="A585" s="1027"/>
      <c r="B585" s="1118"/>
      <c r="C585" s="3121"/>
      <c r="D585" s="3121"/>
      <c r="E585" s="3121"/>
      <c r="F585" s="3121"/>
      <c r="G585" s="3121"/>
      <c r="H585" s="3121"/>
      <c r="I585" s="3121"/>
      <c r="J585" s="3121"/>
      <c r="K585" s="3121"/>
      <c r="L585" s="3121"/>
      <c r="M585" s="3121"/>
      <c r="N585" s="3121"/>
      <c r="O585" s="3121"/>
      <c r="P585" s="3121"/>
      <c r="Q585" s="3121"/>
      <c r="R585" s="3121"/>
      <c r="S585" s="3121"/>
      <c r="T585" s="3121"/>
      <c r="U585" s="3121"/>
      <c r="V585" s="3121"/>
      <c r="W585" s="3121"/>
      <c r="X585" s="3121"/>
      <c r="Y585" s="3121"/>
      <c r="Z585" s="3121"/>
      <c r="AA585" s="3121"/>
      <c r="AB585" s="3121"/>
      <c r="AC585" s="3121"/>
      <c r="AD585" s="3121"/>
      <c r="AE585" s="3121"/>
      <c r="AF585" s="3121"/>
      <c r="AG585" s="3121"/>
      <c r="AH585" s="3121"/>
      <c r="AI585" s="3121"/>
      <c r="AJ585" s="3121"/>
      <c r="AK585" s="1027"/>
      <c r="AL585" s="1027"/>
      <c r="AM585" s="1027"/>
      <c r="AN585" s="1000"/>
      <c r="AO585" s="1151" t="s">
        <v>494</v>
      </c>
      <c r="AP585" s="1152">
        <f>IF(C664="Yes",5,0)</f>
        <v>0</v>
      </c>
    </row>
    <row r="586" spans="1:81" s="943" customFormat="1" ht="68.099999999999994" customHeight="1">
      <c r="A586" s="1027"/>
      <c r="B586" s="1118"/>
      <c r="C586" s="3121"/>
      <c r="D586" s="3121"/>
      <c r="E586" s="3121"/>
      <c r="F586" s="3121"/>
      <c r="G586" s="3121"/>
      <c r="H586" s="3121"/>
      <c r="I586" s="3121"/>
      <c r="J586" s="3121"/>
      <c r="K586" s="3121"/>
      <c r="L586" s="3121"/>
      <c r="M586" s="3121"/>
      <c r="N586" s="3121"/>
      <c r="O586" s="3121"/>
      <c r="P586" s="3121"/>
      <c r="Q586" s="3121"/>
      <c r="R586" s="3121"/>
      <c r="S586" s="3121"/>
      <c r="T586" s="3121"/>
      <c r="U586" s="3121"/>
      <c r="V586" s="3121"/>
      <c r="W586" s="3121"/>
      <c r="X586" s="3121"/>
      <c r="Y586" s="3121"/>
      <c r="Z586" s="3121"/>
      <c r="AA586" s="3121"/>
      <c r="AB586" s="3121"/>
      <c r="AC586" s="3121"/>
      <c r="AD586" s="3121"/>
      <c r="AE586" s="3121"/>
      <c r="AF586" s="3121"/>
      <c r="AG586" s="3121"/>
      <c r="AH586" s="3121"/>
      <c r="AI586" s="3121"/>
      <c r="AJ586" s="3121"/>
      <c r="AK586" s="1027"/>
      <c r="AL586" s="1027"/>
      <c r="AM586" s="1027"/>
      <c r="AN586" s="1000"/>
      <c r="AO586" s="1151" t="s">
        <v>681</v>
      </c>
      <c r="AP586" s="1158">
        <f>IF(C668="Yes",5,0)</f>
        <v>0</v>
      </c>
      <c r="AQ586" s="1002"/>
      <c r="AR586" s="1002"/>
    </row>
    <row r="587" spans="1:81" s="943" customFormat="1" ht="12.4"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230">
        <f>'Service Amenities Budget'!J10</f>
        <v>485</v>
      </c>
      <c r="V588" s="3230"/>
      <c r="W588" s="3230"/>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231">
        <f>'Service Amenities Budget'!J9</f>
        <v>0</v>
      </c>
      <c r="V589" s="3231"/>
      <c r="W589" s="3231"/>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68"/>
      <c r="E590" s="1668"/>
      <c r="F590" s="1668"/>
      <c r="G590" s="1668"/>
      <c r="H590" s="1668"/>
      <c r="I590" s="1668"/>
      <c r="J590" s="1668"/>
      <c r="K590" s="1668"/>
      <c r="L590" s="1668"/>
      <c r="M590" s="1025"/>
      <c r="N590" s="1025"/>
      <c r="O590" s="1668"/>
      <c r="P590" s="1668"/>
      <c r="Q590" s="1668"/>
      <c r="R590" s="1668"/>
      <c r="S590" s="1668"/>
      <c r="T590" s="1668"/>
      <c r="U590" s="1669"/>
      <c r="V590" s="1669"/>
      <c r="W590" s="1669"/>
      <c r="X590" s="1668"/>
      <c r="Y590" s="1668"/>
      <c r="Z590" s="1668"/>
      <c r="AA590" s="1668"/>
      <c r="AB590" s="1159"/>
      <c r="AC590" s="1168"/>
      <c r="AD590" s="1168"/>
      <c r="AE590" s="1027"/>
      <c r="AF590" s="1027"/>
      <c r="AG590" s="1027"/>
      <c r="AH590" s="1027"/>
      <c r="AI590" s="1027"/>
      <c r="AJ590" s="1027"/>
      <c r="AK590" s="1027"/>
      <c r="AL590" s="1027"/>
      <c r="AM590" s="1027"/>
      <c r="AN590" s="1000"/>
      <c r="AO590" s="1169" t="s">
        <v>233</v>
      </c>
      <c r="AP590" s="1170">
        <f>SUM(AP583:AP588)</f>
        <v>0</v>
      </c>
      <c r="AQ590" s="3130">
        <f>IF(AP590&gt;0,AP590,0)</f>
        <v>0</v>
      </c>
      <c r="AR590" s="3130"/>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126" t="s">
        <v>1749</v>
      </c>
      <c r="G592" s="3126"/>
      <c r="H592" s="3126"/>
      <c r="I592" s="3126"/>
      <c r="J592" s="3126"/>
      <c r="K592" s="3126"/>
      <c r="L592" s="3126"/>
      <c r="M592" s="3126"/>
      <c r="N592" s="3126"/>
      <c r="O592" s="3126"/>
      <c r="P592" s="3126"/>
      <c r="Q592" s="3126"/>
      <c r="R592" s="3126"/>
      <c r="S592" s="3126"/>
      <c r="T592" s="3126"/>
      <c r="U592" s="3126"/>
      <c r="V592" s="3126"/>
      <c r="W592" s="3126"/>
      <c r="X592" s="3126"/>
      <c r="Y592" s="3126"/>
      <c r="Z592" s="3126"/>
      <c r="AA592" s="3126"/>
      <c r="AB592" s="3126"/>
      <c r="AC592" s="3126"/>
      <c r="AD592" s="3126"/>
      <c r="AE592" s="3126"/>
      <c r="AF592" s="3126"/>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27"/>
      <c r="G593" s="3127"/>
      <c r="H593" s="3127"/>
      <c r="I593" s="3127"/>
      <c r="J593" s="3127"/>
      <c r="K593" s="3127"/>
      <c r="L593" s="3127"/>
      <c r="M593" s="3127"/>
      <c r="N593" s="3127"/>
      <c r="O593" s="3127"/>
      <c r="P593" s="3127"/>
      <c r="Q593" s="3127"/>
      <c r="R593" s="3127"/>
      <c r="S593" s="3127"/>
      <c r="T593" s="3127"/>
      <c r="U593" s="3127"/>
      <c r="V593" s="3127"/>
      <c r="W593" s="3127"/>
      <c r="X593" s="3127"/>
      <c r="Y593" s="3127"/>
      <c r="Z593" s="3127"/>
      <c r="AA593" s="3127"/>
      <c r="AB593" s="3127"/>
      <c r="AC593" s="3127"/>
      <c r="AD593" s="3127"/>
      <c r="AE593" s="3127"/>
      <c r="AF593" s="3127"/>
      <c r="AG593" s="1179"/>
      <c r="AH593" s="1179"/>
      <c r="AI593" s="1179"/>
      <c r="AJ593" s="1179"/>
      <c r="AK593" s="1179"/>
      <c r="AL593" s="1598"/>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27"/>
      <c r="G594" s="3127"/>
      <c r="H594" s="3127"/>
      <c r="I594" s="3127"/>
      <c r="J594" s="3127"/>
      <c r="K594" s="3127"/>
      <c r="L594" s="3127"/>
      <c r="M594" s="3127"/>
      <c r="N594" s="3127"/>
      <c r="O594" s="3127"/>
      <c r="P594" s="3127"/>
      <c r="Q594" s="3127"/>
      <c r="R594" s="3127"/>
      <c r="S594" s="3127"/>
      <c r="T594" s="3127"/>
      <c r="U594" s="3127"/>
      <c r="V594" s="3127"/>
      <c r="W594" s="3127"/>
      <c r="X594" s="3127"/>
      <c r="Y594" s="3127"/>
      <c r="Z594" s="3127"/>
      <c r="AA594" s="3127"/>
      <c r="AB594" s="3127"/>
      <c r="AC594" s="3127"/>
      <c r="AD594" s="3127"/>
      <c r="AE594" s="3127"/>
      <c r="AF594" s="3127"/>
      <c r="AG594" s="1179"/>
      <c r="AH594" s="1179"/>
      <c r="AI594" s="1179"/>
      <c r="AJ594" s="1179"/>
      <c r="AK594" s="1179"/>
      <c r="AL594" s="1598"/>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27"/>
      <c r="G595" s="3127"/>
      <c r="H595" s="3127"/>
      <c r="I595" s="3127"/>
      <c r="J595" s="3127"/>
      <c r="K595" s="3127"/>
      <c r="L595" s="3127"/>
      <c r="M595" s="3127"/>
      <c r="N595" s="3127"/>
      <c r="O595" s="3127"/>
      <c r="P595" s="3127"/>
      <c r="Q595" s="3127"/>
      <c r="R595" s="3127"/>
      <c r="S595" s="3127"/>
      <c r="T595" s="3127"/>
      <c r="U595" s="3127"/>
      <c r="V595" s="3127"/>
      <c r="W595" s="3127"/>
      <c r="X595" s="3127"/>
      <c r="Y595" s="3127"/>
      <c r="Z595" s="3127"/>
      <c r="AA595" s="3127"/>
      <c r="AB595" s="3127"/>
      <c r="AC595" s="3127"/>
      <c r="AD595" s="3127"/>
      <c r="AE595" s="3127"/>
      <c r="AF595" s="3127"/>
      <c r="AG595" s="1179"/>
      <c r="AH595" s="1179"/>
      <c r="AI595" s="1179"/>
      <c r="AJ595" s="1179"/>
      <c r="AK595" s="1179"/>
      <c r="AL595" s="1598"/>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3" t="s">
        <v>626</v>
      </c>
      <c r="D596" s="3071"/>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4" t="s">
        <v>1751</v>
      </c>
      <c r="AG596" s="3124"/>
      <c r="AH596" s="3124"/>
      <c r="AI596" s="3124"/>
      <c r="AJ596" s="3124"/>
      <c r="AK596" s="3124"/>
      <c r="AL596" s="3125"/>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126" t="s">
        <v>1752</v>
      </c>
      <c r="G599" s="3126"/>
      <c r="H599" s="3126"/>
      <c r="I599" s="3126"/>
      <c r="J599" s="3126"/>
      <c r="K599" s="3126"/>
      <c r="L599" s="3126"/>
      <c r="M599" s="3126"/>
      <c r="N599" s="3126"/>
      <c r="O599" s="3126"/>
      <c r="P599" s="3126"/>
      <c r="Q599" s="3126"/>
      <c r="R599" s="3126"/>
      <c r="S599" s="3126"/>
      <c r="T599" s="3126"/>
      <c r="U599" s="3126"/>
      <c r="V599" s="3126"/>
      <c r="W599" s="3126"/>
      <c r="X599" s="3126"/>
      <c r="Y599" s="3126"/>
      <c r="Z599" s="3126"/>
      <c r="AA599" s="3126"/>
      <c r="AB599" s="3126"/>
      <c r="AC599" s="3126"/>
      <c r="AD599" s="3126"/>
      <c r="AE599" s="3126"/>
      <c r="AF599" s="3126"/>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27"/>
      <c r="G600" s="3127"/>
      <c r="H600" s="3127"/>
      <c r="I600" s="3127"/>
      <c r="J600" s="3127"/>
      <c r="K600" s="3127"/>
      <c r="L600" s="3127"/>
      <c r="M600" s="3127"/>
      <c r="N600" s="3127"/>
      <c r="O600" s="3127"/>
      <c r="P600" s="3127"/>
      <c r="Q600" s="3127"/>
      <c r="R600" s="3127"/>
      <c r="S600" s="3127"/>
      <c r="T600" s="3127"/>
      <c r="U600" s="3127"/>
      <c r="V600" s="3127"/>
      <c r="W600" s="3127"/>
      <c r="X600" s="3127"/>
      <c r="Y600" s="3127"/>
      <c r="Z600" s="3127"/>
      <c r="AA600" s="3127"/>
      <c r="AB600" s="3127"/>
      <c r="AC600" s="3127"/>
      <c r="AD600" s="3127"/>
      <c r="AE600" s="3127"/>
      <c r="AF600" s="3127"/>
      <c r="AG600" s="1179"/>
      <c r="AH600" s="1179"/>
      <c r="AI600" s="1179"/>
      <c r="AJ600" s="1179"/>
      <c r="AK600" s="1179"/>
      <c r="AL600" s="1598"/>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27"/>
      <c r="G601" s="3127"/>
      <c r="H601" s="3127"/>
      <c r="I601" s="3127"/>
      <c r="J601" s="3127"/>
      <c r="K601" s="3127"/>
      <c r="L601" s="3127"/>
      <c r="M601" s="3127"/>
      <c r="N601" s="3127"/>
      <c r="O601" s="3127"/>
      <c r="P601" s="3127"/>
      <c r="Q601" s="3127"/>
      <c r="R601" s="3127"/>
      <c r="S601" s="3127"/>
      <c r="T601" s="3127"/>
      <c r="U601" s="3127"/>
      <c r="V601" s="3127"/>
      <c r="W601" s="3127"/>
      <c r="X601" s="3127"/>
      <c r="Y601" s="3127"/>
      <c r="Z601" s="3127"/>
      <c r="AA601" s="3127"/>
      <c r="AB601" s="3127"/>
      <c r="AC601" s="3127"/>
      <c r="AD601" s="3127"/>
      <c r="AE601" s="3127"/>
      <c r="AF601" s="3127"/>
      <c r="AG601" s="1179"/>
      <c r="AH601" s="1179"/>
      <c r="AI601" s="1179"/>
      <c r="AJ601" s="1179"/>
      <c r="AK601" s="1179"/>
      <c r="AL601" s="1598"/>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27"/>
      <c r="G602" s="3127"/>
      <c r="H602" s="3127"/>
      <c r="I602" s="3127"/>
      <c r="J602" s="3127"/>
      <c r="K602" s="3127"/>
      <c r="L602" s="3127"/>
      <c r="M602" s="3127"/>
      <c r="N602" s="3127"/>
      <c r="O602" s="3127"/>
      <c r="P602" s="3127"/>
      <c r="Q602" s="3127"/>
      <c r="R602" s="3127"/>
      <c r="S602" s="3127"/>
      <c r="T602" s="3127"/>
      <c r="U602" s="3127"/>
      <c r="V602" s="3127"/>
      <c r="W602" s="3127"/>
      <c r="X602" s="3127"/>
      <c r="Y602" s="3127"/>
      <c r="Z602" s="3127"/>
      <c r="AA602" s="3127"/>
      <c r="AB602" s="3127"/>
      <c r="AC602" s="3127"/>
      <c r="AD602" s="3127"/>
      <c r="AE602" s="3127"/>
      <c r="AF602" s="3127"/>
      <c r="AG602" s="1179"/>
      <c r="AH602" s="1179"/>
      <c r="AI602" s="1179"/>
      <c r="AJ602" s="1179"/>
      <c r="AK602" s="1179"/>
      <c r="AL602" s="1598"/>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27"/>
      <c r="G603" s="3127"/>
      <c r="H603" s="3127"/>
      <c r="I603" s="3127"/>
      <c r="J603" s="3127"/>
      <c r="K603" s="3127"/>
      <c r="L603" s="3127"/>
      <c r="M603" s="3127"/>
      <c r="N603" s="3127"/>
      <c r="O603" s="3127"/>
      <c r="P603" s="3127"/>
      <c r="Q603" s="3127"/>
      <c r="R603" s="3127"/>
      <c r="S603" s="3127"/>
      <c r="T603" s="3127"/>
      <c r="U603" s="3127"/>
      <c r="V603" s="3127"/>
      <c r="W603" s="3127"/>
      <c r="X603" s="3127"/>
      <c r="Y603" s="3127"/>
      <c r="Z603" s="3127"/>
      <c r="AA603" s="3127"/>
      <c r="AB603" s="3127"/>
      <c r="AC603" s="3127"/>
      <c r="AD603" s="3127"/>
      <c r="AE603" s="3127"/>
      <c r="AF603" s="3127"/>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3" t="s">
        <v>626</v>
      </c>
      <c r="D604" s="3071"/>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4" t="s">
        <v>1751</v>
      </c>
      <c r="AG604" s="3124"/>
      <c r="AH604" s="3124"/>
      <c r="AI604" s="3124"/>
      <c r="AJ604" s="3124"/>
      <c r="AK604" s="3124"/>
      <c r="AL604" s="3125"/>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126" t="s">
        <v>1754</v>
      </c>
      <c r="G607" s="3126"/>
      <c r="H607" s="3126"/>
      <c r="I607" s="3126"/>
      <c r="J607" s="3126"/>
      <c r="K607" s="3126"/>
      <c r="L607" s="3126"/>
      <c r="M607" s="3126"/>
      <c r="N607" s="3126"/>
      <c r="O607" s="3126"/>
      <c r="P607" s="3126"/>
      <c r="Q607" s="3126"/>
      <c r="R607" s="3126"/>
      <c r="S607" s="3126"/>
      <c r="T607" s="3126"/>
      <c r="U607" s="3126"/>
      <c r="V607" s="3126"/>
      <c r="W607" s="3126"/>
      <c r="X607" s="3126"/>
      <c r="Y607" s="3126"/>
      <c r="Z607" s="3126"/>
      <c r="AA607" s="3126"/>
      <c r="AB607" s="3126"/>
      <c r="AC607" s="3126"/>
      <c r="AD607" s="3126"/>
      <c r="AE607" s="3126"/>
      <c r="AF607" s="3126"/>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27"/>
      <c r="G608" s="3127"/>
      <c r="H608" s="3127"/>
      <c r="I608" s="3127"/>
      <c r="J608" s="3127"/>
      <c r="K608" s="3127"/>
      <c r="L608" s="3127"/>
      <c r="M608" s="3127"/>
      <c r="N608" s="3127"/>
      <c r="O608" s="3127"/>
      <c r="P608" s="3127"/>
      <c r="Q608" s="3127"/>
      <c r="R608" s="3127"/>
      <c r="S608" s="3127"/>
      <c r="T608" s="3127"/>
      <c r="U608" s="3127"/>
      <c r="V608" s="3127"/>
      <c r="W608" s="3127"/>
      <c r="X608" s="3127"/>
      <c r="Y608" s="3127"/>
      <c r="Z608" s="3127"/>
      <c r="AA608" s="3127"/>
      <c r="AB608" s="3127"/>
      <c r="AC608" s="3127"/>
      <c r="AD608" s="3127"/>
      <c r="AE608" s="3127"/>
      <c r="AF608" s="3127"/>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27"/>
      <c r="G609" s="3127"/>
      <c r="H609" s="3127"/>
      <c r="I609" s="3127"/>
      <c r="J609" s="3127"/>
      <c r="K609" s="3127"/>
      <c r="L609" s="3127"/>
      <c r="M609" s="3127"/>
      <c r="N609" s="3127"/>
      <c r="O609" s="3127"/>
      <c r="P609" s="3127"/>
      <c r="Q609" s="3127"/>
      <c r="R609" s="3127"/>
      <c r="S609" s="3127"/>
      <c r="T609" s="3127"/>
      <c r="U609" s="3127"/>
      <c r="V609" s="3127"/>
      <c r="W609" s="3127"/>
      <c r="X609" s="3127"/>
      <c r="Y609" s="3127"/>
      <c r="Z609" s="3127"/>
      <c r="AA609" s="3127"/>
      <c r="AB609" s="3127"/>
      <c r="AC609" s="3127"/>
      <c r="AD609" s="3127"/>
      <c r="AE609" s="3127"/>
      <c r="AF609" s="3127"/>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27"/>
      <c r="G610" s="3127"/>
      <c r="H610" s="3127"/>
      <c r="I610" s="3127"/>
      <c r="J610" s="3127"/>
      <c r="K610" s="3127"/>
      <c r="L610" s="3127"/>
      <c r="M610" s="3127"/>
      <c r="N610" s="3127"/>
      <c r="O610" s="3127"/>
      <c r="P610" s="3127"/>
      <c r="Q610" s="3127"/>
      <c r="R610" s="3127"/>
      <c r="S610" s="3127"/>
      <c r="T610" s="3127"/>
      <c r="U610" s="3127"/>
      <c r="V610" s="3127"/>
      <c r="W610" s="3127"/>
      <c r="X610" s="3127"/>
      <c r="Y610" s="3127"/>
      <c r="Z610" s="3127"/>
      <c r="AA610" s="3127"/>
      <c r="AB610" s="3127"/>
      <c r="AC610" s="3127"/>
      <c r="AD610" s="3127"/>
      <c r="AE610" s="3127"/>
      <c r="AF610" s="3127"/>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27"/>
      <c r="G611" s="3127"/>
      <c r="H611" s="3127"/>
      <c r="I611" s="3127"/>
      <c r="J611" s="3127"/>
      <c r="K611" s="3127"/>
      <c r="L611" s="3127"/>
      <c r="M611" s="3127"/>
      <c r="N611" s="3127"/>
      <c r="O611" s="3127"/>
      <c r="P611" s="3127"/>
      <c r="Q611" s="3127"/>
      <c r="R611" s="3127"/>
      <c r="S611" s="3127"/>
      <c r="T611" s="3127"/>
      <c r="U611" s="3127"/>
      <c r="V611" s="3127"/>
      <c r="W611" s="3127"/>
      <c r="X611" s="3127"/>
      <c r="Y611" s="3127"/>
      <c r="Z611" s="3127"/>
      <c r="AA611" s="3127"/>
      <c r="AB611" s="3127"/>
      <c r="AC611" s="3127"/>
      <c r="AD611" s="3127"/>
      <c r="AE611" s="3127"/>
      <c r="AF611" s="3127"/>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3" t="s">
        <v>626</v>
      </c>
      <c r="D612" s="3071"/>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4" t="s">
        <v>1756</v>
      </c>
      <c r="AG612" s="3124"/>
      <c r="AH612" s="3124"/>
      <c r="AI612" s="3124"/>
      <c r="AJ612" s="3124"/>
      <c r="AK612" s="3124"/>
      <c r="AL612" s="3125"/>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3" t="s">
        <v>578</v>
      </c>
      <c r="D614" s="3071"/>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4" t="s">
        <v>1751</v>
      </c>
      <c r="AG614" s="3124"/>
      <c r="AH614" s="3124"/>
      <c r="AI614" s="3124"/>
      <c r="AJ614" s="3124"/>
      <c r="AK614" s="3124"/>
      <c r="AL614" s="3125"/>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126" t="s">
        <v>1760</v>
      </c>
      <c r="G618" s="3126"/>
      <c r="H618" s="3126"/>
      <c r="I618" s="3126"/>
      <c r="J618" s="3126"/>
      <c r="K618" s="3126"/>
      <c r="L618" s="3126"/>
      <c r="M618" s="3126"/>
      <c r="N618" s="3126"/>
      <c r="O618" s="3126"/>
      <c r="P618" s="3126"/>
      <c r="Q618" s="3126"/>
      <c r="R618" s="3126"/>
      <c r="S618" s="3126"/>
      <c r="T618" s="3126"/>
      <c r="U618" s="3126"/>
      <c r="V618" s="3126"/>
      <c r="W618" s="3126"/>
      <c r="X618" s="3126"/>
      <c r="Y618" s="3126"/>
      <c r="Z618" s="3126"/>
      <c r="AA618" s="3126"/>
      <c r="AB618" s="3126"/>
      <c r="AC618" s="3126"/>
      <c r="AD618" s="3126"/>
      <c r="AE618" s="3126"/>
      <c r="AF618" s="3126"/>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27"/>
      <c r="G619" s="3127"/>
      <c r="H619" s="3127"/>
      <c r="I619" s="3127"/>
      <c r="J619" s="3127"/>
      <c r="K619" s="3127"/>
      <c r="L619" s="3127"/>
      <c r="M619" s="3127"/>
      <c r="N619" s="3127"/>
      <c r="O619" s="3127"/>
      <c r="P619" s="3127"/>
      <c r="Q619" s="3127"/>
      <c r="R619" s="3127"/>
      <c r="S619" s="3127"/>
      <c r="T619" s="3127"/>
      <c r="U619" s="3127"/>
      <c r="V619" s="3127"/>
      <c r="W619" s="3127"/>
      <c r="X619" s="3127"/>
      <c r="Y619" s="3127"/>
      <c r="Z619" s="3127"/>
      <c r="AA619" s="3127"/>
      <c r="AB619" s="3127"/>
      <c r="AC619" s="3127"/>
      <c r="AD619" s="3127"/>
      <c r="AE619" s="3127"/>
      <c r="AF619" s="3127"/>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7"/>
      <c r="G620" s="3127"/>
      <c r="H620" s="3127"/>
      <c r="I620" s="3127"/>
      <c r="J620" s="3127"/>
      <c r="K620" s="3127"/>
      <c r="L620" s="3127"/>
      <c r="M620" s="3127"/>
      <c r="N620" s="3127"/>
      <c r="O620" s="3127"/>
      <c r="P620" s="3127"/>
      <c r="Q620" s="3127"/>
      <c r="R620" s="3127"/>
      <c r="S620" s="3127"/>
      <c r="T620" s="3127"/>
      <c r="U620" s="3127"/>
      <c r="V620" s="3127"/>
      <c r="W620" s="3127"/>
      <c r="X620" s="3127"/>
      <c r="Y620" s="3127"/>
      <c r="Z620" s="3127"/>
      <c r="AA620" s="3127"/>
      <c r="AB620" s="3127"/>
      <c r="AC620" s="3127"/>
      <c r="AD620" s="3127"/>
      <c r="AE620" s="3127"/>
      <c r="AF620" s="3127"/>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27"/>
      <c r="G621" s="3127"/>
      <c r="H621" s="3127"/>
      <c r="I621" s="3127"/>
      <c r="J621" s="3127"/>
      <c r="K621" s="3127"/>
      <c r="L621" s="3127"/>
      <c r="M621" s="3127"/>
      <c r="N621" s="3127"/>
      <c r="O621" s="3127"/>
      <c r="P621" s="3127"/>
      <c r="Q621" s="3127"/>
      <c r="R621" s="3127"/>
      <c r="S621" s="3127"/>
      <c r="T621" s="3127"/>
      <c r="U621" s="3127"/>
      <c r="V621" s="3127"/>
      <c r="W621" s="3127"/>
      <c r="X621" s="3127"/>
      <c r="Y621" s="3127"/>
      <c r="Z621" s="3127"/>
      <c r="AA621" s="3127"/>
      <c r="AB621" s="3127"/>
      <c r="AC621" s="3127"/>
      <c r="AD621" s="3127"/>
      <c r="AE621" s="3127"/>
      <c r="AF621" s="3127"/>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3" t="s">
        <v>626</v>
      </c>
      <c r="D622" s="3071"/>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4" t="s">
        <v>1751</v>
      </c>
      <c r="AG622" s="3124"/>
      <c r="AH622" s="3124"/>
      <c r="AI622" s="3124"/>
      <c r="AJ622" s="3124"/>
      <c r="AK622" s="3124"/>
      <c r="AL622" s="3125"/>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3" t="s">
        <v>626</v>
      </c>
      <c r="D624" s="3071"/>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4" t="s">
        <v>1763</v>
      </c>
      <c r="AG624" s="3124"/>
      <c r="AH624" s="3124"/>
      <c r="AI624" s="3124"/>
      <c r="AJ624" s="3124"/>
      <c r="AK624" s="3124"/>
      <c r="AL624" s="3125"/>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3" t="s">
        <v>626</v>
      </c>
      <c r="D627" s="3071"/>
      <c r="E627" s="1174" t="s">
        <v>1764</v>
      </c>
      <c r="F627" s="3126" t="s">
        <v>1765</v>
      </c>
      <c r="G627" s="3126"/>
      <c r="H627" s="3126"/>
      <c r="I627" s="3126"/>
      <c r="J627" s="3126"/>
      <c r="K627" s="3126"/>
      <c r="L627" s="3126"/>
      <c r="M627" s="3126"/>
      <c r="N627" s="3126"/>
      <c r="O627" s="3126"/>
      <c r="P627" s="3126"/>
      <c r="Q627" s="3126"/>
      <c r="R627" s="3126"/>
      <c r="S627" s="3126"/>
      <c r="T627" s="3126"/>
      <c r="U627" s="3126"/>
      <c r="V627" s="3126"/>
      <c r="W627" s="3126"/>
      <c r="X627" s="3126"/>
      <c r="Y627" s="3126"/>
      <c r="Z627" s="3126"/>
      <c r="AA627" s="3126"/>
      <c r="AB627" s="3126"/>
      <c r="AC627" s="3126"/>
      <c r="AD627" s="3126"/>
      <c r="AE627" s="3126"/>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27"/>
      <c r="G628" s="3127"/>
      <c r="H628" s="3127"/>
      <c r="I628" s="3127"/>
      <c r="J628" s="3127"/>
      <c r="K628" s="3127"/>
      <c r="L628" s="3127"/>
      <c r="M628" s="3127"/>
      <c r="N628" s="3127"/>
      <c r="O628" s="3127"/>
      <c r="P628" s="3127"/>
      <c r="Q628" s="3127"/>
      <c r="R628" s="3127"/>
      <c r="S628" s="3127"/>
      <c r="T628" s="3127"/>
      <c r="U628" s="3127"/>
      <c r="V628" s="3127"/>
      <c r="W628" s="3127"/>
      <c r="X628" s="3127"/>
      <c r="Y628" s="3127"/>
      <c r="Z628" s="3127"/>
      <c r="AA628" s="3127"/>
      <c r="AB628" s="3127"/>
      <c r="AC628" s="3127"/>
      <c r="AD628" s="3127"/>
      <c r="AE628" s="3127"/>
      <c r="AF628" s="3132" t="s">
        <v>1751</v>
      </c>
      <c r="AG628" s="3132"/>
      <c r="AH628" s="3132"/>
      <c r="AI628" s="3132"/>
      <c r="AJ628" s="3132"/>
      <c r="AK628" s="3132"/>
      <c r="AL628" s="3133"/>
      <c r="AM628" s="1134"/>
      <c r="AN628" s="1000"/>
      <c r="BS628" s="1134"/>
      <c r="BT628" s="1134"/>
      <c r="BY628" s="1134"/>
      <c r="BZ628" s="1134"/>
      <c r="CA628" s="1134"/>
      <c r="CB628" s="1134"/>
      <c r="CC628" s="1134"/>
    </row>
    <row r="629" spans="1:81" s="943" customFormat="1" ht="12.75" customHeight="1">
      <c r="A629" s="927"/>
      <c r="B629" s="51"/>
      <c r="C629" s="1192"/>
      <c r="D629" s="112"/>
      <c r="E629" s="1146"/>
      <c r="F629" s="3127"/>
      <c r="G629" s="3127"/>
      <c r="H629" s="3127"/>
      <c r="I629" s="3127"/>
      <c r="J629" s="3127"/>
      <c r="K629" s="3127"/>
      <c r="L629" s="3127"/>
      <c r="M629" s="3127"/>
      <c r="N629" s="3127"/>
      <c r="O629" s="3127"/>
      <c r="P629" s="3127"/>
      <c r="Q629" s="3127"/>
      <c r="R629" s="3127"/>
      <c r="S629" s="3127"/>
      <c r="T629" s="3127"/>
      <c r="U629" s="3127"/>
      <c r="V629" s="3127"/>
      <c r="W629" s="3127"/>
      <c r="X629" s="3127"/>
      <c r="Y629" s="3127"/>
      <c r="Z629" s="3127"/>
      <c r="AA629" s="3127"/>
      <c r="AB629" s="3127"/>
      <c r="AC629" s="3127"/>
      <c r="AD629" s="3127"/>
      <c r="AE629" s="3127"/>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1"/>
      <c r="G630" s="3131"/>
      <c r="H630" s="3131"/>
      <c r="I630" s="3131"/>
      <c r="J630" s="3131"/>
      <c r="K630" s="3131"/>
      <c r="L630" s="3131"/>
      <c r="M630" s="3131"/>
      <c r="N630" s="3131"/>
      <c r="O630" s="3131"/>
      <c r="P630" s="3131"/>
      <c r="Q630" s="3131"/>
      <c r="R630" s="3131"/>
      <c r="S630" s="3131"/>
      <c r="T630" s="3131"/>
      <c r="U630" s="3131"/>
      <c r="V630" s="3131"/>
      <c r="W630" s="3131"/>
      <c r="X630" s="3131"/>
      <c r="Y630" s="3131"/>
      <c r="Z630" s="3131"/>
      <c r="AA630" s="3131"/>
      <c r="AB630" s="3131"/>
      <c r="AC630" s="3131"/>
      <c r="AD630" s="3131"/>
      <c r="AE630" s="3131"/>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34" t="s">
        <v>1767</v>
      </c>
      <c r="G632" s="3134"/>
      <c r="H632" s="3134"/>
      <c r="I632" s="3134"/>
      <c r="J632" s="3134"/>
      <c r="K632" s="3134"/>
      <c r="L632" s="3134"/>
      <c r="M632" s="3134"/>
      <c r="N632" s="3134"/>
      <c r="O632" s="3134"/>
      <c r="P632" s="3134"/>
      <c r="Q632" s="3134"/>
      <c r="R632" s="3134"/>
      <c r="S632" s="3134"/>
      <c r="T632" s="3134"/>
      <c r="U632" s="3134"/>
      <c r="V632" s="3134"/>
      <c r="W632" s="3134"/>
      <c r="X632" s="3134"/>
      <c r="Y632" s="3134"/>
      <c r="Z632" s="3134"/>
      <c r="AA632" s="3134"/>
      <c r="AB632" s="3134"/>
      <c r="AC632" s="3134"/>
      <c r="AD632" s="3134"/>
      <c r="AE632" s="3134"/>
      <c r="AF632" s="1211"/>
      <c r="AG632" s="1211"/>
      <c r="AH632" s="1211"/>
      <c r="AI632" s="1211"/>
      <c r="AJ632" s="1211"/>
      <c r="AK632" s="1211"/>
      <c r="AL632" s="1212"/>
      <c r="AM632" s="1134"/>
    </row>
    <row r="633" spans="1:81">
      <c r="A633" s="927"/>
      <c r="C633" s="1192"/>
      <c r="D633" s="112"/>
      <c r="E633" s="1146"/>
      <c r="F633" s="3135"/>
      <c r="G633" s="3135"/>
      <c r="H633" s="3135"/>
      <c r="I633" s="3135"/>
      <c r="J633" s="3135"/>
      <c r="K633" s="3135"/>
      <c r="L633" s="3135"/>
      <c r="M633" s="3135"/>
      <c r="N633" s="3135"/>
      <c r="O633" s="3135"/>
      <c r="P633" s="3135"/>
      <c r="Q633" s="3135"/>
      <c r="R633" s="3135"/>
      <c r="S633" s="3135"/>
      <c r="T633" s="3135"/>
      <c r="U633" s="3135"/>
      <c r="V633" s="3135"/>
      <c r="W633" s="3135"/>
      <c r="X633" s="3135"/>
      <c r="Y633" s="3135"/>
      <c r="Z633" s="3135"/>
      <c r="AA633" s="3135"/>
      <c r="AB633" s="3135"/>
      <c r="AC633" s="3135"/>
      <c r="AD633" s="3135"/>
      <c r="AE633" s="3135"/>
      <c r="AF633" s="1213"/>
      <c r="AG633" s="991"/>
      <c r="AH633" s="1025"/>
      <c r="AI633" s="1025"/>
      <c r="AJ633" s="1025"/>
      <c r="AK633" s="1025"/>
      <c r="AL633" s="1193"/>
      <c r="AM633" s="1134"/>
    </row>
    <row r="634" spans="1:81" s="943" customFormat="1" ht="12.75" customHeight="1">
      <c r="A634" s="927"/>
      <c r="B634" s="51"/>
      <c r="C634" s="1192"/>
      <c r="D634" s="112"/>
      <c r="E634" s="1146"/>
      <c r="F634" s="3135"/>
      <c r="G634" s="3135"/>
      <c r="H634" s="3135"/>
      <c r="I634" s="3135"/>
      <c r="J634" s="3135"/>
      <c r="K634" s="3135"/>
      <c r="L634" s="3135"/>
      <c r="M634" s="3135"/>
      <c r="N634" s="3135"/>
      <c r="O634" s="3135"/>
      <c r="P634" s="3135"/>
      <c r="Q634" s="3135"/>
      <c r="R634" s="3135"/>
      <c r="S634" s="3135"/>
      <c r="T634" s="3135"/>
      <c r="U634" s="3135"/>
      <c r="V634" s="3135"/>
      <c r="W634" s="3135"/>
      <c r="X634" s="3135"/>
      <c r="Y634" s="3135"/>
      <c r="Z634" s="3135"/>
      <c r="AA634" s="3135"/>
      <c r="AB634" s="3135"/>
      <c r="AC634" s="3135"/>
      <c r="AD634" s="3135"/>
      <c r="AE634" s="3135"/>
      <c r="AF634" s="1025"/>
      <c r="AG634" s="1025"/>
      <c r="AH634" s="1025"/>
      <c r="AI634" s="1025"/>
      <c r="AJ634" s="1025"/>
      <c r="AK634" s="1025"/>
      <c r="AL634" s="1193"/>
      <c r="AM634" s="1134"/>
      <c r="AN634" s="1000"/>
    </row>
    <row r="635" spans="1:81" s="943" customFormat="1" ht="12.75" customHeight="1">
      <c r="A635" s="927"/>
      <c r="B635" s="51"/>
      <c r="C635" s="1201"/>
      <c r="D635" s="1025"/>
      <c r="E635" s="1025"/>
      <c r="F635" s="3135"/>
      <c r="G635" s="3135"/>
      <c r="H635" s="3135"/>
      <c r="I635" s="3135"/>
      <c r="J635" s="3135"/>
      <c r="K635" s="3135"/>
      <c r="L635" s="3135"/>
      <c r="M635" s="3135"/>
      <c r="N635" s="3135"/>
      <c r="O635" s="3135"/>
      <c r="P635" s="3135"/>
      <c r="Q635" s="3135"/>
      <c r="R635" s="3135"/>
      <c r="S635" s="3135"/>
      <c r="T635" s="3135"/>
      <c r="U635" s="3135"/>
      <c r="V635" s="3135"/>
      <c r="W635" s="3135"/>
      <c r="X635" s="3135"/>
      <c r="Y635" s="3135"/>
      <c r="Z635" s="3135"/>
      <c r="AA635" s="3135"/>
      <c r="AB635" s="3135"/>
      <c r="AC635" s="3135"/>
      <c r="AD635" s="3135"/>
      <c r="AE635" s="3135"/>
      <c r="AF635" s="1025"/>
      <c r="AG635" s="1025"/>
      <c r="AH635" s="1025"/>
      <c r="AI635" s="1025"/>
      <c r="AJ635" s="1025"/>
      <c r="AK635" s="1025"/>
      <c r="AL635" s="1193"/>
      <c r="AM635" s="1134"/>
      <c r="AN635" s="1000"/>
    </row>
    <row r="636" spans="1:81" s="943" customFormat="1" ht="12.75" customHeight="1">
      <c r="A636" s="927"/>
      <c r="B636" s="51"/>
      <c r="C636" s="3123" t="s">
        <v>578</v>
      </c>
      <c r="D636" s="3071"/>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2" t="s">
        <v>1751</v>
      </c>
      <c r="AG636" s="3132"/>
      <c r="AH636" s="3132"/>
      <c r="AI636" s="3132"/>
      <c r="AJ636" s="3132"/>
      <c r="AK636" s="3132"/>
      <c r="AL636" s="3133"/>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3" t="s">
        <v>626</v>
      </c>
      <c r="D638" s="3071"/>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2" t="s">
        <v>1763</v>
      </c>
      <c r="AG638" s="3132"/>
      <c r="AH638" s="3132"/>
      <c r="AI638" s="3132"/>
      <c r="AJ638" s="3132"/>
      <c r="AK638" s="3132"/>
      <c r="AL638" s="3133"/>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126" t="s">
        <v>1772</v>
      </c>
      <c r="G642" s="3126"/>
      <c r="H642" s="3126"/>
      <c r="I642" s="3126"/>
      <c r="J642" s="3126"/>
      <c r="K642" s="3126"/>
      <c r="L642" s="3126"/>
      <c r="M642" s="3126"/>
      <c r="N642" s="3126"/>
      <c r="O642" s="3126"/>
      <c r="P642" s="3126"/>
      <c r="Q642" s="3126"/>
      <c r="R642" s="3126"/>
      <c r="S642" s="3126"/>
      <c r="T642" s="3126"/>
      <c r="U642" s="3126"/>
      <c r="V642" s="3126"/>
      <c r="W642" s="3126"/>
      <c r="X642" s="3126"/>
      <c r="Y642" s="3126"/>
      <c r="Z642" s="3126"/>
      <c r="AA642" s="3126"/>
      <c r="AB642" s="3126"/>
      <c r="AC642" s="3126"/>
      <c r="AD642" s="3126"/>
      <c r="AE642" s="3126"/>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27"/>
      <c r="G643" s="3127"/>
      <c r="H643" s="3127"/>
      <c r="I643" s="3127"/>
      <c r="J643" s="3127"/>
      <c r="K643" s="3127"/>
      <c r="L643" s="3127"/>
      <c r="M643" s="3127"/>
      <c r="N643" s="3127"/>
      <c r="O643" s="3127"/>
      <c r="P643" s="3127"/>
      <c r="Q643" s="3127"/>
      <c r="R643" s="3127"/>
      <c r="S643" s="3127"/>
      <c r="T643" s="3127"/>
      <c r="U643" s="3127"/>
      <c r="V643" s="3127"/>
      <c r="W643" s="3127"/>
      <c r="X643" s="3127"/>
      <c r="Y643" s="3127"/>
      <c r="Z643" s="3127"/>
      <c r="AA643" s="3127"/>
      <c r="AB643" s="3127"/>
      <c r="AC643" s="3127"/>
      <c r="AD643" s="3127"/>
      <c r="AE643" s="3127"/>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27"/>
      <c r="G644" s="3127"/>
      <c r="H644" s="3127"/>
      <c r="I644" s="3127"/>
      <c r="J644" s="3127"/>
      <c r="K644" s="3127"/>
      <c r="L644" s="3127"/>
      <c r="M644" s="3127"/>
      <c r="N644" s="3127"/>
      <c r="O644" s="3127"/>
      <c r="P644" s="3127"/>
      <c r="Q644" s="3127"/>
      <c r="R644" s="3127"/>
      <c r="S644" s="3127"/>
      <c r="T644" s="3127"/>
      <c r="U644" s="3127"/>
      <c r="V644" s="3127"/>
      <c r="W644" s="3127"/>
      <c r="X644" s="3127"/>
      <c r="Y644" s="3127"/>
      <c r="Z644" s="3127"/>
      <c r="AA644" s="3127"/>
      <c r="AB644" s="3127"/>
      <c r="AC644" s="3127"/>
      <c r="AD644" s="3127"/>
      <c r="AE644" s="3127"/>
      <c r="AF644" s="1025"/>
      <c r="AG644" s="1025"/>
      <c r="AH644" s="1025"/>
      <c r="AI644" s="1025"/>
      <c r="AJ644" s="1025"/>
      <c r="AK644" s="1025"/>
      <c r="AL644" s="1193"/>
      <c r="AM644" s="1134"/>
      <c r="AN644" s="1000"/>
      <c r="AO644" s="1025"/>
      <c r="AP644" s="1025"/>
    </row>
    <row r="645" spans="1:60" s="943" customFormat="1" ht="12.75" customHeight="1">
      <c r="A645" s="927"/>
      <c r="B645" s="51"/>
      <c r="C645" s="3123" t="s">
        <v>626</v>
      </c>
      <c r="D645" s="3071"/>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2" t="s">
        <v>1751</v>
      </c>
      <c r="AG645" s="3132"/>
      <c r="AH645" s="3132"/>
      <c r="AI645" s="3132"/>
      <c r="AJ645" s="3132"/>
      <c r="AK645" s="3132"/>
      <c r="AL645" s="3133"/>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1774</v>
      </c>
      <c r="F648" s="3126" t="s">
        <v>1775</v>
      </c>
      <c r="G648" s="3126"/>
      <c r="H648" s="3126"/>
      <c r="I648" s="3126"/>
      <c r="J648" s="3126"/>
      <c r="K648" s="3126"/>
      <c r="L648" s="3126"/>
      <c r="M648" s="3126"/>
      <c r="N648" s="3126"/>
      <c r="O648" s="3126"/>
      <c r="P648" s="3126"/>
      <c r="Q648" s="3126"/>
      <c r="R648" s="3126"/>
      <c r="S648" s="3126"/>
      <c r="T648" s="3126"/>
      <c r="U648" s="3126"/>
      <c r="V648" s="3126"/>
      <c r="W648" s="3126"/>
      <c r="X648" s="3126"/>
      <c r="Y648" s="3126"/>
      <c r="Z648" s="3126"/>
      <c r="AA648" s="3126"/>
      <c r="AB648" s="3126"/>
      <c r="AC648" s="3126"/>
      <c r="AD648" s="3126"/>
      <c r="AE648" s="3126"/>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7"/>
      <c r="G649" s="3127"/>
      <c r="H649" s="3127"/>
      <c r="I649" s="3127"/>
      <c r="J649" s="3127"/>
      <c r="K649" s="3127"/>
      <c r="L649" s="3127"/>
      <c r="M649" s="3127"/>
      <c r="N649" s="3127"/>
      <c r="O649" s="3127"/>
      <c r="P649" s="3127"/>
      <c r="Q649" s="3127"/>
      <c r="R649" s="3127"/>
      <c r="S649" s="3127"/>
      <c r="T649" s="3127"/>
      <c r="U649" s="3127"/>
      <c r="V649" s="3127"/>
      <c r="W649" s="3127"/>
      <c r="X649" s="3127"/>
      <c r="Y649" s="3127"/>
      <c r="Z649" s="3127"/>
      <c r="AA649" s="3127"/>
      <c r="AB649" s="3127"/>
      <c r="AC649" s="3127"/>
      <c r="AD649" s="3127"/>
      <c r="AE649" s="3127"/>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27"/>
      <c r="G650" s="3127"/>
      <c r="H650" s="3127"/>
      <c r="I650" s="3127"/>
      <c r="J650" s="3127"/>
      <c r="K650" s="3127"/>
      <c r="L650" s="3127"/>
      <c r="M650" s="3127"/>
      <c r="N650" s="3127"/>
      <c r="O650" s="3127"/>
      <c r="P650" s="3127"/>
      <c r="Q650" s="3127"/>
      <c r="R650" s="3127"/>
      <c r="S650" s="3127"/>
      <c r="T650" s="3127"/>
      <c r="U650" s="3127"/>
      <c r="V650" s="3127"/>
      <c r="W650" s="3127"/>
      <c r="X650" s="3127"/>
      <c r="Y650" s="3127"/>
      <c r="Z650" s="3127"/>
      <c r="AA650" s="3127"/>
      <c r="AB650" s="3127"/>
      <c r="AC650" s="3127"/>
      <c r="AD650" s="3127"/>
      <c r="AE650" s="3127"/>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27"/>
      <c r="G651" s="3127"/>
      <c r="H651" s="3127"/>
      <c r="I651" s="3127"/>
      <c r="J651" s="3127"/>
      <c r="K651" s="3127"/>
      <c r="L651" s="3127"/>
      <c r="M651" s="3127"/>
      <c r="N651" s="3127"/>
      <c r="O651" s="3127"/>
      <c r="P651" s="3127"/>
      <c r="Q651" s="3127"/>
      <c r="R651" s="3127"/>
      <c r="S651" s="3127"/>
      <c r="T651" s="3127"/>
      <c r="U651" s="3127"/>
      <c r="V651" s="3127"/>
      <c r="W651" s="3127"/>
      <c r="X651" s="3127"/>
      <c r="Y651" s="3127"/>
      <c r="Z651" s="3127"/>
      <c r="AA651" s="3127"/>
      <c r="AB651" s="3127"/>
      <c r="AC651" s="3127"/>
      <c r="AD651" s="3127"/>
      <c r="AE651" s="3127"/>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27"/>
      <c r="G652" s="3127"/>
      <c r="H652" s="3127"/>
      <c r="I652" s="3127"/>
      <c r="J652" s="3127"/>
      <c r="K652" s="3127"/>
      <c r="L652" s="3127"/>
      <c r="M652" s="3127"/>
      <c r="N652" s="3127"/>
      <c r="O652" s="3127"/>
      <c r="P652" s="3127"/>
      <c r="Q652" s="3127"/>
      <c r="R652" s="3127"/>
      <c r="S652" s="3127"/>
      <c r="T652" s="3127"/>
      <c r="U652" s="3127"/>
      <c r="V652" s="3127"/>
      <c r="W652" s="3127"/>
      <c r="X652" s="3127"/>
      <c r="Y652" s="3127"/>
      <c r="Z652" s="3127"/>
      <c r="AA652" s="3127"/>
      <c r="AB652" s="3127"/>
      <c r="AC652" s="3127"/>
      <c r="AD652" s="3127"/>
      <c r="AE652" s="3127"/>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27"/>
      <c r="G653" s="3127"/>
      <c r="H653" s="3127"/>
      <c r="I653" s="3127"/>
      <c r="J653" s="3127"/>
      <c r="K653" s="3127"/>
      <c r="L653" s="3127"/>
      <c r="M653" s="3127"/>
      <c r="N653" s="3127"/>
      <c r="O653" s="3127"/>
      <c r="P653" s="3127"/>
      <c r="Q653" s="3127"/>
      <c r="R653" s="3127"/>
      <c r="S653" s="3127"/>
      <c r="T653" s="3127"/>
      <c r="U653" s="3127"/>
      <c r="V653" s="3127"/>
      <c r="W653" s="3127"/>
      <c r="X653" s="3127"/>
      <c r="Y653" s="3127"/>
      <c r="Z653" s="3127"/>
      <c r="AA653" s="3127"/>
      <c r="AB653" s="3127"/>
      <c r="AC653" s="3127"/>
      <c r="AD653" s="3127"/>
      <c r="AE653" s="3127"/>
      <c r="AF653" s="1224"/>
      <c r="AG653" s="1224"/>
      <c r="AH653" s="1224"/>
      <c r="AI653" s="1224"/>
      <c r="AJ653" s="1224"/>
      <c r="AK653" s="1224"/>
      <c r="AL653" s="1225"/>
      <c r="AM653" s="1134"/>
      <c r="AN653" s="1000"/>
    </row>
    <row r="654" spans="1:60" s="943" customFormat="1" ht="12.75" customHeight="1">
      <c r="A654" s="927"/>
      <c r="B654" s="51"/>
      <c r="C654" s="1226"/>
      <c r="D654" s="1191"/>
      <c r="E654" s="1178"/>
      <c r="F654" s="3127"/>
      <c r="G654" s="3127"/>
      <c r="H654" s="3127"/>
      <c r="I654" s="3127"/>
      <c r="J654" s="3127"/>
      <c r="K654" s="3127"/>
      <c r="L654" s="3127"/>
      <c r="M654" s="3127"/>
      <c r="N654" s="3127"/>
      <c r="O654" s="3127"/>
      <c r="P654" s="3127"/>
      <c r="Q654" s="3127"/>
      <c r="R654" s="3127"/>
      <c r="S654" s="3127"/>
      <c r="T654" s="3127"/>
      <c r="U654" s="3127"/>
      <c r="V654" s="3127"/>
      <c r="W654" s="3127"/>
      <c r="X654" s="3127"/>
      <c r="Y654" s="3127"/>
      <c r="Z654" s="3127"/>
      <c r="AA654" s="3127"/>
      <c r="AB654" s="3127"/>
      <c r="AC654" s="3127"/>
      <c r="AD654" s="3127"/>
      <c r="AE654" s="3127"/>
      <c r="AF654" s="1224"/>
      <c r="AG654" s="1224"/>
      <c r="AH654" s="1224"/>
      <c r="AI654" s="1224"/>
      <c r="AJ654" s="1224"/>
      <c r="AK654" s="1224"/>
      <c r="AL654" s="1225"/>
      <c r="AM654" s="1134"/>
      <c r="AN654" s="1000"/>
    </row>
    <row r="655" spans="1:60" s="943" customFormat="1" ht="12.75" customHeight="1">
      <c r="A655" s="927"/>
      <c r="B655" s="51"/>
      <c r="C655" s="1226"/>
      <c r="D655" s="1191"/>
      <c r="E655" s="1178"/>
      <c r="F655" s="3127"/>
      <c r="G655" s="3127"/>
      <c r="H655" s="3127"/>
      <c r="I655" s="3127"/>
      <c r="J655" s="3127"/>
      <c r="K655" s="3127"/>
      <c r="L655" s="3127"/>
      <c r="M655" s="3127"/>
      <c r="N655" s="3127"/>
      <c r="O655" s="3127"/>
      <c r="P655" s="3127"/>
      <c r="Q655" s="3127"/>
      <c r="R655" s="3127"/>
      <c r="S655" s="3127"/>
      <c r="T655" s="3127"/>
      <c r="U655" s="3127"/>
      <c r="V655" s="3127"/>
      <c r="W655" s="3127"/>
      <c r="X655" s="3127"/>
      <c r="Y655" s="3127"/>
      <c r="Z655" s="3127"/>
      <c r="AA655" s="3127"/>
      <c r="AB655" s="3127"/>
      <c r="AC655" s="3127"/>
      <c r="AD655" s="3127"/>
      <c r="AE655" s="3127"/>
      <c r="AF655" s="1224"/>
      <c r="AG655" s="1224"/>
      <c r="AH655" s="1224"/>
      <c r="AI655" s="1224"/>
      <c r="AJ655" s="1224"/>
      <c r="AK655" s="1224"/>
      <c r="AL655" s="1225"/>
      <c r="AM655" s="1134"/>
      <c r="AN655" s="1000"/>
    </row>
    <row r="656" spans="1:60" s="943" customFormat="1" ht="17.25" customHeight="1">
      <c r="A656" s="927"/>
      <c r="B656" s="51"/>
      <c r="C656" s="1226"/>
      <c r="D656" s="1191"/>
      <c r="E656" s="1178"/>
      <c r="F656" s="3127"/>
      <c r="G656" s="3127"/>
      <c r="H656" s="3127"/>
      <c r="I656" s="3127"/>
      <c r="J656" s="3127"/>
      <c r="K656" s="3127"/>
      <c r="L656" s="3127"/>
      <c r="M656" s="3127"/>
      <c r="N656" s="3127"/>
      <c r="O656" s="3127"/>
      <c r="P656" s="3127"/>
      <c r="Q656" s="3127"/>
      <c r="R656" s="3127"/>
      <c r="S656" s="3127"/>
      <c r="T656" s="3127"/>
      <c r="U656" s="3127"/>
      <c r="V656" s="3127"/>
      <c r="W656" s="3127"/>
      <c r="X656" s="3127"/>
      <c r="Y656" s="3127"/>
      <c r="Z656" s="3127"/>
      <c r="AA656" s="3127"/>
      <c r="AB656" s="3127"/>
      <c r="AC656" s="3127"/>
      <c r="AD656" s="3127"/>
      <c r="AE656" s="3127"/>
      <c r="AF656" s="1025"/>
      <c r="AG656" s="1025"/>
      <c r="AH656" s="1025"/>
      <c r="AI656" s="1025"/>
      <c r="AJ656" s="1025"/>
      <c r="AK656" s="1025"/>
      <c r="AL656" s="1193"/>
      <c r="AM656" s="1134"/>
      <c r="AN656" s="1000"/>
    </row>
    <row r="657" spans="1:54" s="943" customFormat="1" ht="12.75" customHeight="1">
      <c r="A657" s="927"/>
      <c r="B657" s="51"/>
      <c r="C657" s="3123" t="s">
        <v>626</v>
      </c>
      <c r="D657" s="3071"/>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2" t="s">
        <v>1751</v>
      </c>
      <c r="AG657" s="3132"/>
      <c r="AH657" s="3132"/>
      <c r="AI657" s="3132"/>
      <c r="AJ657" s="3132"/>
      <c r="AK657" s="3132"/>
      <c r="AL657" s="3133"/>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126" t="s">
        <v>1778</v>
      </c>
      <c r="G660" s="3126"/>
      <c r="H660" s="3126"/>
      <c r="I660" s="3126"/>
      <c r="J660" s="3126"/>
      <c r="K660" s="3126"/>
      <c r="L660" s="3126"/>
      <c r="M660" s="3126"/>
      <c r="N660" s="3126"/>
      <c r="O660" s="3126"/>
      <c r="P660" s="3126"/>
      <c r="Q660" s="3126"/>
      <c r="R660" s="3126"/>
      <c r="S660" s="3126"/>
      <c r="T660" s="3126"/>
      <c r="U660" s="3126"/>
      <c r="V660" s="3126"/>
      <c r="W660" s="3126"/>
      <c r="X660" s="3126"/>
      <c r="Y660" s="3126"/>
      <c r="Z660" s="3126"/>
      <c r="AA660" s="3126"/>
      <c r="AB660" s="3126"/>
      <c r="AC660" s="3126"/>
      <c r="AD660" s="3126"/>
      <c r="AE660" s="3126"/>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27"/>
      <c r="G661" s="3127"/>
      <c r="H661" s="3127"/>
      <c r="I661" s="3127"/>
      <c r="J661" s="3127"/>
      <c r="K661" s="3127"/>
      <c r="L661" s="3127"/>
      <c r="M661" s="3127"/>
      <c r="N661" s="3127"/>
      <c r="O661" s="3127"/>
      <c r="P661" s="3127"/>
      <c r="Q661" s="3127"/>
      <c r="R661" s="3127"/>
      <c r="S661" s="3127"/>
      <c r="T661" s="3127"/>
      <c r="U661" s="3127"/>
      <c r="V661" s="3127"/>
      <c r="W661" s="3127"/>
      <c r="X661" s="3127"/>
      <c r="Y661" s="3127"/>
      <c r="Z661" s="3127"/>
      <c r="AA661" s="3127"/>
      <c r="AB661" s="3127"/>
      <c r="AC661" s="3127"/>
      <c r="AD661" s="3127"/>
      <c r="AE661" s="3127"/>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127"/>
      <c r="G662" s="3127"/>
      <c r="H662" s="3127"/>
      <c r="I662" s="3127"/>
      <c r="J662" s="3127"/>
      <c r="K662" s="3127"/>
      <c r="L662" s="3127"/>
      <c r="M662" s="3127"/>
      <c r="N662" s="3127"/>
      <c r="O662" s="3127"/>
      <c r="P662" s="3127"/>
      <c r="Q662" s="3127"/>
      <c r="R662" s="3127"/>
      <c r="S662" s="3127"/>
      <c r="T662" s="3127"/>
      <c r="U662" s="3127"/>
      <c r="V662" s="3127"/>
      <c r="W662" s="3127"/>
      <c r="X662" s="3127"/>
      <c r="Y662" s="3127"/>
      <c r="Z662" s="3127"/>
      <c r="AA662" s="3127"/>
      <c r="AB662" s="3127"/>
      <c r="AC662" s="3127"/>
      <c r="AD662" s="3127"/>
      <c r="AE662" s="3127"/>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127"/>
      <c r="G663" s="3127"/>
      <c r="H663" s="3127"/>
      <c r="I663" s="3127"/>
      <c r="J663" s="3127"/>
      <c r="K663" s="3127"/>
      <c r="L663" s="3127"/>
      <c r="M663" s="3127"/>
      <c r="N663" s="3127"/>
      <c r="O663" s="3127"/>
      <c r="P663" s="3127"/>
      <c r="Q663" s="3127"/>
      <c r="R663" s="3127"/>
      <c r="S663" s="3127"/>
      <c r="T663" s="3127"/>
      <c r="U663" s="3127"/>
      <c r="V663" s="3127"/>
      <c r="W663" s="3127"/>
      <c r="X663" s="3127"/>
      <c r="Y663" s="3127"/>
      <c r="Z663" s="3127"/>
      <c r="AA663" s="3127"/>
      <c r="AB663" s="3127"/>
      <c r="AC663" s="3127"/>
      <c r="AD663" s="3127"/>
      <c r="AE663" s="3127"/>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123" t="s">
        <v>626</v>
      </c>
      <c r="D664" s="3071"/>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2" t="s">
        <v>1751</v>
      </c>
      <c r="AG664" s="3132"/>
      <c r="AH664" s="3132"/>
      <c r="AI664" s="3132"/>
      <c r="AJ664" s="3132"/>
      <c r="AK664" s="3132"/>
      <c r="AL664" s="3133"/>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36" t="s">
        <v>626</v>
      </c>
      <c r="D668" s="3137"/>
      <c r="E668" s="1174" t="s">
        <v>1787</v>
      </c>
      <c r="F668" s="3126" t="s">
        <v>1788</v>
      </c>
      <c r="G668" s="3126"/>
      <c r="H668" s="3126"/>
      <c r="I668" s="3126"/>
      <c r="J668" s="3126"/>
      <c r="K668" s="3126"/>
      <c r="L668" s="3126"/>
      <c r="M668" s="3126"/>
      <c r="N668" s="3126"/>
      <c r="O668" s="3126"/>
      <c r="P668" s="3126"/>
      <c r="Q668" s="3126"/>
      <c r="R668" s="3126"/>
      <c r="S668" s="3126"/>
      <c r="T668" s="3126"/>
      <c r="U668" s="3126"/>
      <c r="V668" s="3126"/>
      <c r="W668" s="3126"/>
      <c r="X668" s="3126"/>
      <c r="Y668" s="3126"/>
      <c r="Z668" s="3126"/>
      <c r="AA668" s="3126"/>
      <c r="AB668" s="3126"/>
      <c r="AC668" s="3126"/>
      <c r="AD668" s="3126"/>
      <c r="AE668" s="3126"/>
      <c r="AF668" s="3138" t="s">
        <v>1751</v>
      </c>
      <c r="AG668" s="3138"/>
      <c r="AH668" s="3138"/>
      <c r="AI668" s="3138"/>
      <c r="AJ668" s="3138"/>
      <c r="AK668" s="3138"/>
      <c r="AL668" s="3139"/>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27"/>
      <c r="G669" s="3127"/>
      <c r="H669" s="3127"/>
      <c r="I669" s="3127"/>
      <c r="J669" s="3127"/>
      <c r="K669" s="3127"/>
      <c r="L669" s="3127"/>
      <c r="M669" s="3127"/>
      <c r="N669" s="3127"/>
      <c r="O669" s="3127"/>
      <c r="P669" s="3127"/>
      <c r="Q669" s="3127"/>
      <c r="R669" s="3127"/>
      <c r="S669" s="3127"/>
      <c r="T669" s="3127"/>
      <c r="U669" s="3127"/>
      <c r="V669" s="3127"/>
      <c r="W669" s="3127"/>
      <c r="X669" s="3127"/>
      <c r="Y669" s="3127"/>
      <c r="Z669" s="3127"/>
      <c r="AA669" s="3127"/>
      <c r="AB669" s="3127"/>
      <c r="AC669" s="3127"/>
      <c r="AD669" s="3127"/>
      <c r="AE669" s="3127"/>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649999999999999" customHeight="1">
      <c r="A670" s="927"/>
      <c r="B670" s="51"/>
      <c r="C670" s="1236"/>
      <c r="D670" s="1184"/>
      <c r="E670" s="1185"/>
      <c r="F670" s="3131"/>
      <c r="G670" s="3131"/>
      <c r="H670" s="3131"/>
      <c r="I670" s="3131"/>
      <c r="J670" s="3131"/>
      <c r="K670" s="3131"/>
      <c r="L670" s="3131"/>
      <c r="M670" s="3131"/>
      <c r="N670" s="3131"/>
      <c r="O670" s="3131"/>
      <c r="P670" s="3131"/>
      <c r="Q670" s="3131"/>
      <c r="R670" s="3131"/>
      <c r="S670" s="3131"/>
      <c r="T670" s="3131"/>
      <c r="U670" s="3131"/>
      <c r="V670" s="3131"/>
      <c r="W670" s="3131"/>
      <c r="X670" s="3131"/>
      <c r="Y670" s="3131"/>
      <c r="Z670" s="3131"/>
      <c r="AA670" s="3131"/>
      <c r="AB670" s="3131"/>
      <c r="AC670" s="3131"/>
      <c r="AD670" s="3131"/>
      <c r="AE670" s="3131"/>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123" t="s">
        <v>626</v>
      </c>
      <c r="D672" s="3071"/>
      <c r="E672" s="1174" t="s">
        <v>1793</v>
      </c>
      <c r="F672" s="3126" t="s">
        <v>1794</v>
      </c>
      <c r="G672" s="3126"/>
      <c r="H672" s="3126"/>
      <c r="I672" s="3126"/>
      <c r="J672" s="3126"/>
      <c r="K672" s="3126"/>
      <c r="L672" s="3126"/>
      <c r="M672" s="3126"/>
      <c r="N672" s="3126"/>
      <c r="O672" s="3126"/>
      <c r="P672" s="3126"/>
      <c r="Q672" s="3126"/>
      <c r="R672" s="3126"/>
      <c r="S672" s="3126"/>
      <c r="T672" s="3126"/>
      <c r="U672" s="3126"/>
      <c r="V672" s="3126"/>
      <c r="W672" s="3126"/>
      <c r="X672" s="3126"/>
      <c r="Y672" s="3126"/>
      <c r="Z672" s="3126"/>
      <c r="AA672" s="3126"/>
      <c r="AB672" s="3126"/>
      <c r="AC672" s="3126"/>
      <c r="AD672" s="3126"/>
      <c r="AE672" s="3126"/>
      <c r="AF672" s="3138" t="s">
        <v>1751</v>
      </c>
      <c r="AG672" s="3138"/>
      <c r="AH672" s="3138"/>
      <c r="AI672" s="3138"/>
      <c r="AJ672" s="3138"/>
      <c r="AK672" s="3138"/>
      <c r="AL672" s="3139"/>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127"/>
      <c r="G673" s="3127"/>
      <c r="H673" s="3127"/>
      <c r="I673" s="3127"/>
      <c r="J673" s="3127"/>
      <c r="K673" s="3127"/>
      <c r="L673" s="3127"/>
      <c r="M673" s="3127"/>
      <c r="N673" s="3127"/>
      <c r="O673" s="3127"/>
      <c r="P673" s="3127"/>
      <c r="Q673" s="3127"/>
      <c r="R673" s="3127"/>
      <c r="S673" s="3127"/>
      <c r="T673" s="3127"/>
      <c r="U673" s="3127"/>
      <c r="V673" s="3127"/>
      <c r="W673" s="3127"/>
      <c r="X673" s="3127"/>
      <c r="Y673" s="3127"/>
      <c r="Z673" s="3127"/>
      <c r="AA673" s="3127"/>
      <c r="AB673" s="3127"/>
      <c r="AC673" s="3127"/>
      <c r="AD673" s="3127"/>
      <c r="AE673" s="3127"/>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27"/>
      <c r="G674" s="3127"/>
      <c r="H674" s="3127"/>
      <c r="I674" s="3127"/>
      <c r="J674" s="3127"/>
      <c r="K674" s="3127"/>
      <c r="L674" s="3127"/>
      <c r="M674" s="3127"/>
      <c r="N674" s="3127"/>
      <c r="O674" s="3127"/>
      <c r="P674" s="3127"/>
      <c r="Q674" s="3127"/>
      <c r="R674" s="3127"/>
      <c r="S674" s="3127"/>
      <c r="T674" s="3127"/>
      <c r="U674" s="3127"/>
      <c r="V674" s="3127"/>
      <c r="W674" s="3127"/>
      <c r="X674" s="3127"/>
      <c r="Y674" s="3127"/>
      <c r="Z674" s="3127"/>
      <c r="AA674" s="3127"/>
      <c r="AB674" s="3127"/>
      <c r="AC674" s="3127"/>
      <c r="AD674" s="3127"/>
      <c r="AE674" s="3127"/>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1"/>
      <c r="G675" s="3131"/>
      <c r="H675" s="3131"/>
      <c r="I675" s="3131"/>
      <c r="J675" s="3131"/>
      <c r="K675" s="3131"/>
      <c r="L675" s="3131"/>
      <c r="M675" s="3131"/>
      <c r="N675" s="3131"/>
      <c r="O675" s="3131"/>
      <c r="P675" s="3131"/>
      <c r="Q675" s="3131"/>
      <c r="R675" s="3131"/>
      <c r="S675" s="3131"/>
      <c r="T675" s="3131"/>
      <c r="U675" s="3131"/>
      <c r="V675" s="3131"/>
      <c r="W675" s="3131"/>
      <c r="X675" s="3131"/>
      <c r="Y675" s="3131"/>
      <c r="Z675" s="3131"/>
      <c r="AA675" s="3131"/>
      <c r="AB675" s="3131"/>
      <c r="AC675" s="3131"/>
      <c r="AD675" s="3131"/>
      <c r="AE675" s="3131"/>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34" t="s">
        <v>1797</v>
      </c>
      <c r="G677" s="3134"/>
      <c r="H677" s="3134"/>
      <c r="I677" s="3134"/>
      <c r="J677" s="3134"/>
      <c r="K677" s="3134"/>
      <c r="L677" s="3134"/>
      <c r="M677" s="3134"/>
      <c r="N677" s="3134"/>
      <c r="O677" s="3134"/>
      <c r="P677" s="3134"/>
      <c r="Q677" s="3134"/>
      <c r="R677" s="3134"/>
      <c r="S677" s="3134"/>
      <c r="T677" s="3134"/>
      <c r="U677" s="3134"/>
      <c r="V677" s="3134"/>
      <c r="W677" s="3134"/>
      <c r="X677" s="3134"/>
      <c r="Y677" s="3134"/>
      <c r="Z677" s="3134"/>
      <c r="AA677" s="3134"/>
      <c r="AB677" s="3134"/>
      <c r="AC677" s="3134"/>
      <c r="AD677" s="3134"/>
      <c r="AE677" s="3134"/>
      <c r="AF677" s="3134"/>
      <c r="AG677" s="1208"/>
      <c r="AH677" s="1173"/>
      <c r="AI677" s="1173"/>
      <c r="AJ677" s="1173"/>
      <c r="AK677" s="1173"/>
      <c r="AL677" s="1209"/>
      <c r="AM677" s="1134"/>
      <c r="AN677" s="1000"/>
    </row>
    <row r="678" spans="1:54" s="943" customFormat="1" ht="12.75" customHeight="1">
      <c r="A678" s="927"/>
      <c r="B678" s="51"/>
      <c r="C678" s="1192"/>
      <c r="D678" s="112"/>
      <c r="E678" s="1146"/>
      <c r="F678" s="3135"/>
      <c r="G678" s="3135"/>
      <c r="H678" s="3135"/>
      <c r="I678" s="3135"/>
      <c r="J678" s="3135"/>
      <c r="K678" s="3135"/>
      <c r="L678" s="3135"/>
      <c r="M678" s="3135"/>
      <c r="N678" s="3135"/>
      <c r="O678" s="3135"/>
      <c r="P678" s="3135"/>
      <c r="Q678" s="3135"/>
      <c r="R678" s="3135"/>
      <c r="S678" s="3135"/>
      <c r="T678" s="3135"/>
      <c r="U678" s="3135"/>
      <c r="V678" s="3135"/>
      <c r="W678" s="3135"/>
      <c r="X678" s="3135"/>
      <c r="Y678" s="3135"/>
      <c r="Z678" s="3135"/>
      <c r="AA678" s="3135"/>
      <c r="AB678" s="3135"/>
      <c r="AC678" s="3135"/>
      <c r="AD678" s="3135"/>
      <c r="AE678" s="3135"/>
      <c r="AF678" s="3135"/>
      <c r="AG678" s="1025"/>
      <c r="AH678" s="1025"/>
      <c r="AI678" s="1025"/>
      <c r="AJ678" s="1025"/>
      <c r="AK678" s="1025"/>
      <c r="AL678" s="1193"/>
      <c r="AM678" s="1134"/>
      <c r="AN678" s="1000"/>
    </row>
    <row r="679" spans="1:54" s="943" customFormat="1" ht="12.75" customHeight="1">
      <c r="A679" s="927"/>
      <c r="B679" s="51"/>
      <c r="C679" s="1201"/>
      <c r="D679" s="1025"/>
      <c r="E679" s="1025"/>
      <c r="F679" s="3135"/>
      <c r="G679" s="3135"/>
      <c r="H679" s="3135"/>
      <c r="I679" s="3135"/>
      <c r="J679" s="3135"/>
      <c r="K679" s="3135"/>
      <c r="L679" s="3135"/>
      <c r="M679" s="3135"/>
      <c r="N679" s="3135"/>
      <c r="O679" s="3135"/>
      <c r="P679" s="3135"/>
      <c r="Q679" s="3135"/>
      <c r="R679" s="3135"/>
      <c r="S679" s="3135"/>
      <c r="T679" s="3135"/>
      <c r="U679" s="3135"/>
      <c r="V679" s="3135"/>
      <c r="W679" s="3135"/>
      <c r="X679" s="3135"/>
      <c r="Y679" s="3135"/>
      <c r="Z679" s="3135"/>
      <c r="AA679" s="3135"/>
      <c r="AB679" s="3135"/>
      <c r="AC679" s="3135"/>
      <c r="AD679" s="3135"/>
      <c r="AE679" s="3135"/>
      <c r="AF679" s="3135"/>
      <c r="AG679" s="1025"/>
      <c r="AH679" s="1025"/>
      <c r="AI679" s="1025"/>
      <c r="AJ679" s="1025"/>
      <c r="AK679" s="1025"/>
      <c r="AL679" s="1193"/>
      <c r="AM679" s="1134"/>
      <c r="AN679" s="1000"/>
    </row>
    <row r="680" spans="1:54" s="943" customFormat="1" ht="12.75" customHeight="1">
      <c r="A680" s="927"/>
      <c r="B680" s="51"/>
      <c r="C680" s="1201"/>
      <c r="D680" s="1025"/>
      <c r="E680" s="1025"/>
      <c r="F680" s="3135"/>
      <c r="G680" s="3135"/>
      <c r="H680" s="3135"/>
      <c r="I680" s="3135"/>
      <c r="J680" s="3135"/>
      <c r="K680" s="3135"/>
      <c r="L680" s="3135"/>
      <c r="M680" s="3135"/>
      <c r="N680" s="3135"/>
      <c r="O680" s="3135"/>
      <c r="P680" s="3135"/>
      <c r="Q680" s="3135"/>
      <c r="R680" s="3135"/>
      <c r="S680" s="3135"/>
      <c r="T680" s="3135"/>
      <c r="U680" s="3135"/>
      <c r="V680" s="3135"/>
      <c r="W680" s="3135"/>
      <c r="X680" s="3135"/>
      <c r="Y680" s="3135"/>
      <c r="Z680" s="3135"/>
      <c r="AA680" s="3135"/>
      <c r="AB680" s="3135"/>
      <c r="AC680" s="3135"/>
      <c r="AD680" s="3135"/>
      <c r="AE680" s="3135"/>
      <c r="AF680" s="3135"/>
      <c r="AG680" s="1025"/>
      <c r="AH680" s="1025"/>
      <c r="AI680" s="1025"/>
      <c r="AJ680" s="1025"/>
      <c r="AK680" s="1025"/>
      <c r="AL680" s="1193"/>
      <c r="AM680" s="1134"/>
      <c r="AN680" s="1000"/>
    </row>
    <row r="681" spans="1:54" s="943" customFormat="1" ht="12.75" customHeight="1">
      <c r="A681" s="927"/>
      <c r="B681" s="51"/>
      <c r="C681" s="3123" t="s">
        <v>626</v>
      </c>
      <c r="D681" s="3071"/>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4" t="s">
        <v>1751</v>
      </c>
      <c r="AG681" s="3124"/>
      <c r="AH681" s="3124"/>
      <c r="AI681" s="3124"/>
      <c r="AJ681" s="3124"/>
      <c r="AK681" s="3124"/>
      <c r="AL681" s="3125"/>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0"/>
      <c r="D683" s="1256"/>
      <c r="E683" s="1026"/>
      <c r="F683" s="1811"/>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74">
        <f>IF(Application!D213="N/A",AS573,AS575)</f>
        <v>10</v>
      </c>
      <c r="AL684" s="3075"/>
      <c r="AM684" s="3076"/>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1"/>
      <c r="J686" s="1791"/>
      <c r="K686" s="1791"/>
      <c r="L686" s="1791"/>
      <c r="M686" s="1791"/>
      <c r="N686" s="1791"/>
      <c r="O686" s="1791"/>
      <c r="P686" s="1791"/>
      <c r="Q686" s="1791"/>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0" t="s">
        <v>1801</v>
      </c>
      <c r="AF687" s="3190"/>
      <c r="AG687" s="3190"/>
      <c r="AH687" s="3190"/>
      <c r="AI687" s="3190"/>
      <c r="AJ687" s="3190"/>
      <c r="AK687" s="3190"/>
      <c r="AL687" s="1787"/>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7"/>
      <c r="AF688" s="1787"/>
      <c r="AG688" s="1787"/>
      <c r="AH688" s="1787"/>
      <c r="AI688" s="1787"/>
      <c r="AJ688" s="1787"/>
      <c r="AK688" s="1787"/>
      <c r="AL688" s="1787"/>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7"/>
      <c r="AF689" s="1787"/>
      <c r="AG689" s="1787"/>
      <c r="AH689" s="1787"/>
      <c r="AI689" s="1787"/>
      <c r="AJ689" s="1787"/>
      <c r="AK689" s="1787"/>
      <c r="AL689" s="1787"/>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7"/>
      <c r="AF690" s="1787"/>
      <c r="AG690" s="1787"/>
      <c r="AH690" s="1787"/>
      <c r="AI690" s="1787"/>
      <c r="AJ690" s="1787"/>
      <c r="AK690" s="1787"/>
      <c r="AL690" s="1787"/>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7"/>
      <c r="AF691" s="1787"/>
      <c r="AG691" s="1787"/>
      <c r="AH691" s="1787"/>
      <c r="AI691" s="1787"/>
      <c r="AJ691" s="1787"/>
      <c r="AK691" s="1787"/>
      <c r="AL691" s="1787"/>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7"/>
      <c r="AF692" s="1787"/>
      <c r="AG692" s="999"/>
      <c r="AH692" s="999"/>
      <c r="AI692" s="999"/>
      <c r="AJ692" s="999"/>
      <c r="AK692" s="999"/>
      <c r="AL692" s="999"/>
      <c r="AM692" s="1026"/>
      <c r="AN692" s="1000"/>
      <c r="AO692" s="943" t="s">
        <v>1785</v>
      </c>
      <c r="AP692" s="943">
        <v>5</v>
      </c>
      <c r="AW692" s="1246"/>
    </row>
    <row r="693" spans="1:50" s="943" customFormat="1" ht="12.75" hidden="1" customHeight="1">
      <c r="A693" s="1012"/>
      <c r="C693" s="3140" t="s">
        <v>626</v>
      </c>
      <c r="D693" s="3141"/>
      <c r="E693" s="1248" t="s">
        <v>540</v>
      </c>
      <c r="F693" s="3142" t="s">
        <v>1807</v>
      </c>
      <c r="G693" s="3142"/>
      <c r="H693" s="3142"/>
      <c r="I693" s="3142"/>
      <c r="J693" s="3142"/>
      <c r="K693" s="3142"/>
      <c r="L693" s="3142"/>
      <c r="M693" s="3142"/>
      <c r="N693" s="3142"/>
      <c r="O693" s="3142"/>
      <c r="P693" s="3142"/>
      <c r="Q693" s="3142"/>
      <c r="R693" s="3142"/>
      <c r="S693" s="3142"/>
      <c r="T693" s="3142"/>
      <c r="U693" s="3142"/>
      <c r="V693" s="3142"/>
      <c r="W693" s="3142"/>
      <c r="X693" s="3142"/>
      <c r="Y693" s="3142"/>
      <c r="Z693" s="3142"/>
      <c r="AA693" s="3142"/>
      <c r="AB693" s="3142"/>
      <c r="AC693" s="3142"/>
      <c r="AD693" s="3142"/>
      <c r="AE693" s="3142"/>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43"/>
      <c r="G694" s="3143"/>
      <c r="H694" s="3143"/>
      <c r="I694" s="3143"/>
      <c r="J694" s="3143"/>
      <c r="K694" s="3143"/>
      <c r="L694" s="3143"/>
      <c r="M694" s="3143"/>
      <c r="N694" s="3143"/>
      <c r="O694" s="3143"/>
      <c r="P694" s="3143"/>
      <c r="Q694" s="3143"/>
      <c r="R694" s="3143"/>
      <c r="S694" s="3143"/>
      <c r="T694" s="3143"/>
      <c r="U694" s="3143"/>
      <c r="V694" s="3143"/>
      <c r="W694" s="3143"/>
      <c r="X694" s="3143"/>
      <c r="Y694" s="3143"/>
      <c r="Z694" s="3143"/>
      <c r="AA694" s="3143"/>
      <c r="AB694" s="3143"/>
      <c r="AC694" s="3143"/>
      <c r="AD694" s="3143"/>
      <c r="AE694" s="3143"/>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44" t="s">
        <v>626</v>
      </c>
      <c r="G695" s="3144"/>
      <c r="H695" s="3144"/>
      <c r="I695" s="3144"/>
      <c r="J695" s="3144"/>
      <c r="K695" s="3144"/>
      <c r="L695" s="3144"/>
      <c r="M695" s="3144"/>
      <c r="N695" s="3144"/>
      <c r="O695" s="3144"/>
      <c r="P695" s="3144"/>
      <c r="Q695" s="3144"/>
      <c r="R695" s="3144"/>
      <c r="S695" s="3144"/>
      <c r="T695" s="3144"/>
      <c r="U695" s="3144"/>
      <c r="V695" s="3144"/>
      <c r="W695" s="3144"/>
      <c r="X695" s="3144"/>
      <c r="Y695" s="3144"/>
      <c r="Z695" s="3144"/>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45" t="s">
        <v>578</v>
      </c>
      <c r="D697" s="3146"/>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7"/>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89"/>
      <c r="D699" s="1790"/>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152" t="s">
        <v>626</v>
      </c>
      <c r="W700" s="3152"/>
      <c r="X700" s="3152"/>
      <c r="Y700" s="1259"/>
      <c r="Z700" s="1259"/>
      <c r="AA700" s="1259"/>
      <c r="AB700" s="1259"/>
      <c r="AC700" s="1259"/>
      <c r="AD700" s="1262"/>
      <c r="AE700" s="1262"/>
      <c r="AF700" s="1262"/>
      <c r="AG700" s="1031">
        <f>IF(AND($C$697="Yes",$V$702="N/A",$V$707="N/A",$V$711="N/A",$V$713="N/A"),(VLOOKUP(V700,$AR$670:$AS$672,2,FALSE)),0)</f>
        <v>0</v>
      </c>
      <c r="AH700" s="1795"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5"/>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152" t="s">
        <v>626</v>
      </c>
      <c r="W702" s="3152"/>
      <c r="X702" s="3152"/>
      <c r="Y702" s="1259"/>
      <c r="Z702" s="1259"/>
      <c r="AA702" s="1259"/>
      <c r="AB702" s="1259"/>
      <c r="AC702" s="1259"/>
      <c r="AD702" s="1262"/>
      <c r="AE702" s="1262"/>
      <c r="AF702" s="1262"/>
      <c r="AG702" s="1031">
        <f>IF(AND($C$697="Yes",$V$700="N/A", $V$707="N/A",$V$711="N/A",$V$713="N/A"),(VLOOKUP(V702,$AO$670:$AP$672,2,FALSE)),0)</f>
        <v>0</v>
      </c>
      <c r="AH702" s="1795"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5"/>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5"/>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152" t="s">
        <v>626</v>
      </c>
      <c r="W707" s="3152"/>
      <c r="X707" s="3152"/>
      <c r="Y707" s="944"/>
      <c r="Z707" s="944"/>
      <c r="AA707" s="944"/>
      <c r="AB707" s="944"/>
      <c r="AC707" s="944"/>
      <c r="AD707" s="1025"/>
      <c r="AE707" s="1025"/>
      <c r="AF707" s="1025"/>
      <c r="AG707" s="1031">
        <f>IF(AND($C$697="Yes",$V$700="N/A",$V$702="N/A", $V$711="N/A",$V$713="N/A"),(VLOOKUP($V$707,$AO$674:$AP$676,2,FALSE)),0)</f>
        <v>0</v>
      </c>
      <c r="AH707" s="1795"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51"/>
      <c r="E710" s="3151"/>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3"/>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152" t="s">
        <v>626</v>
      </c>
      <c r="W711" s="3152"/>
      <c r="X711" s="3152"/>
      <c r="Y711" s="1025"/>
      <c r="Z711" s="1025"/>
      <c r="AA711" s="1025"/>
      <c r="AB711" s="1025"/>
      <c r="AC711" s="1025"/>
      <c r="AD711" s="1025"/>
      <c r="AE711" s="1025"/>
      <c r="AF711" s="1025"/>
      <c r="AG711" s="1031">
        <f>IF(AND($C$697="Yes",$V$700="N/A",V702="N/A",$V$707="N/A",$V$713="N/A"),(VLOOKUP($V$711,$AW$670:$AX$673,2,FALSE)),0)</f>
        <v>0</v>
      </c>
      <c r="AH711" s="1795"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3"/>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3"/>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152" t="s">
        <v>626</v>
      </c>
      <c r="W713" s="3152"/>
      <c r="X713" s="3152"/>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3"/>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3"/>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3"/>
      <c r="B716" s="943"/>
      <c r="C716" s="3140" t="s">
        <v>626</v>
      </c>
      <c r="D716" s="3141"/>
      <c r="E716" s="1248" t="s">
        <v>540</v>
      </c>
      <c r="F716" s="3142" t="s">
        <v>1807</v>
      </c>
      <c r="G716" s="3142"/>
      <c r="H716" s="3142"/>
      <c r="I716" s="3142"/>
      <c r="J716" s="3142"/>
      <c r="K716" s="3142"/>
      <c r="L716" s="3142"/>
      <c r="M716" s="3142"/>
      <c r="N716" s="3142"/>
      <c r="O716" s="3142"/>
      <c r="P716" s="3142"/>
      <c r="Q716" s="3142"/>
      <c r="R716" s="3142"/>
      <c r="S716" s="3142"/>
      <c r="T716" s="3142"/>
      <c r="U716" s="3142"/>
      <c r="V716" s="3142"/>
      <c r="W716" s="3142"/>
      <c r="X716" s="3142"/>
      <c r="Y716" s="3142"/>
      <c r="Z716" s="3142"/>
      <c r="AA716" s="3142"/>
      <c r="AB716" s="3142"/>
      <c r="AC716" s="3142"/>
      <c r="AD716" s="3142"/>
      <c r="AE716" s="3142"/>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3"/>
      <c r="B717" s="943"/>
      <c r="C717" s="1249"/>
      <c r="D717" s="1025"/>
      <c r="E717" s="1250"/>
      <c r="F717" s="3143"/>
      <c r="G717" s="3143"/>
      <c r="H717" s="3143"/>
      <c r="I717" s="3143"/>
      <c r="J717" s="3143"/>
      <c r="K717" s="3143"/>
      <c r="L717" s="3143"/>
      <c r="M717" s="3143"/>
      <c r="N717" s="3143"/>
      <c r="O717" s="3143"/>
      <c r="P717" s="3143"/>
      <c r="Q717" s="3143"/>
      <c r="R717" s="3143"/>
      <c r="S717" s="3143"/>
      <c r="T717" s="3143"/>
      <c r="U717" s="3143"/>
      <c r="V717" s="3143"/>
      <c r="W717" s="3143"/>
      <c r="X717" s="3143"/>
      <c r="Y717" s="3143"/>
      <c r="Z717" s="3143"/>
      <c r="AA717" s="3143"/>
      <c r="AB717" s="3143"/>
      <c r="AC717" s="3143"/>
      <c r="AD717" s="3143"/>
      <c r="AE717" s="3143"/>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3"/>
      <c r="B718" s="943"/>
      <c r="C718" s="1251"/>
      <c r="D718" s="1188"/>
      <c r="E718" s="1252"/>
      <c r="F718" s="3147" t="s">
        <v>626</v>
      </c>
      <c r="G718" s="3147"/>
      <c r="H718" s="3147"/>
      <c r="I718" s="3147"/>
      <c r="J718" s="3147"/>
      <c r="K718" s="3147"/>
      <c r="L718" s="3147"/>
      <c r="M718" s="3147"/>
      <c r="N718" s="3147"/>
      <c r="O718" s="3147"/>
      <c r="P718" s="3147"/>
      <c r="Q718" s="3147"/>
      <c r="R718" s="3147"/>
      <c r="S718" s="3147"/>
      <c r="T718" s="3147"/>
      <c r="U718" s="3147"/>
      <c r="V718" s="3147"/>
      <c r="W718" s="3147"/>
      <c r="X718" s="3147"/>
      <c r="Y718" s="3147"/>
      <c r="Z718" s="3147"/>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3"/>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0" t="s">
        <v>626</v>
      </c>
      <c r="D720" s="3141"/>
      <c r="E720" s="1248" t="s">
        <v>798</v>
      </c>
      <c r="F720" s="3148" t="s">
        <v>1829</v>
      </c>
      <c r="G720" s="3148"/>
      <c r="H720" s="3148"/>
      <c r="I720" s="3148"/>
      <c r="J720" s="3148"/>
      <c r="K720" s="3148"/>
      <c r="L720" s="3148"/>
      <c r="M720" s="3148"/>
      <c r="N720" s="3148"/>
      <c r="O720" s="3148"/>
      <c r="P720" s="3148"/>
      <c r="Q720" s="3148"/>
      <c r="R720" s="3148"/>
      <c r="S720" s="3148"/>
      <c r="T720" s="3148"/>
      <c r="U720" s="3148"/>
      <c r="V720" s="3148"/>
      <c r="W720" s="3148"/>
      <c r="X720" s="3148"/>
      <c r="Y720" s="3148"/>
      <c r="Z720" s="3148"/>
      <c r="AA720" s="3148"/>
      <c r="AB720" s="3148"/>
      <c r="AC720" s="3148"/>
      <c r="AD720" s="3148"/>
      <c r="AE720" s="3148"/>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9"/>
      <c r="G721" s="3149"/>
      <c r="H721" s="3149"/>
      <c r="I721" s="3149"/>
      <c r="J721" s="3149"/>
      <c r="K721" s="3149"/>
      <c r="L721" s="3149"/>
      <c r="M721" s="3149"/>
      <c r="N721" s="3149"/>
      <c r="O721" s="3149"/>
      <c r="P721" s="3149"/>
      <c r="Q721" s="3149"/>
      <c r="R721" s="3149"/>
      <c r="S721" s="3149"/>
      <c r="T721" s="3149"/>
      <c r="U721" s="3149"/>
      <c r="V721" s="3149"/>
      <c r="W721" s="3149"/>
      <c r="X721" s="3149"/>
      <c r="Y721" s="3149"/>
      <c r="Z721" s="3149"/>
      <c r="AA721" s="3149"/>
      <c r="AB721" s="3149"/>
      <c r="AC721" s="3149"/>
      <c r="AD721" s="3149"/>
      <c r="AE721" s="3149"/>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7"/>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50" t="s">
        <v>626</v>
      </c>
      <c r="G723" s="3150"/>
      <c r="H723" s="3150"/>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5"/>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0" t="s">
        <v>626</v>
      </c>
      <c r="D725" s="3141"/>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63"/>
      <c r="D727" s="3151"/>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7"/>
      <c r="AD727" s="1025"/>
      <c r="AE727" s="1025"/>
      <c r="AF727" s="1025"/>
      <c r="AG727" s="1031">
        <f>IF($C$725="Yes",(VLOOKUP($G$728,$AO$703:$AP$706,2,FALSE)),0)</f>
        <v>0</v>
      </c>
      <c r="AH727" s="1795"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64" t="s">
        <v>626</v>
      </c>
      <c r="H728" s="3164"/>
      <c r="I728" s="3164"/>
      <c r="J728" s="3164"/>
      <c r="K728" s="3164"/>
      <c r="L728" s="3164"/>
      <c r="M728" s="3164"/>
      <c r="N728" s="3164"/>
      <c r="O728" s="3164"/>
      <c r="P728" s="3164"/>
      <c r="Q728" s="3164"/>
      <c r="R728" s="3164"/>
      <c r="S728" s="3164"/>
      <c r="T728" s="3164"/>
      <c r="U728" s="3164"/>
      <c r="V728" s="3164"/>
      <c r="W728" s="3164"/>
      <c r="X728" s="3164"/>
      <c r="Y728" s="3164"/>
      <c r="Z728" s="3164"/>
      <c r="AA728" s="3164"/>
      <c r="AB728" s="3164"/>
      <c r="AC728" s="3164"/>
      <c r="AD728" s="3164"/>
      <c r="AE728" s="3164"/>
      <c r="AF728" s="3164"/>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65" t="s">
        <v>626</v>
      </c>
      <c r="D730" s="3166"/>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7"/>
      <c r="AD730" s="1025"/>
      <c r="AE730" s="1025"/>
      <c r="AF730" s="1025"/>
      <c r="AG730" s="1031">
        <f>IF(AND($C$730="Yes",$C$725="Yes"),2,0)</f>
        <v>0</v>
      </c>
      <c r="AH730" s="1795" t="s">
        <v>1599</v>
      </c>
      <c r="AI730" s="944"/>
      <c r="AJ730" s="1792"/>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0"/>
      <c r="E731" s="1790"/>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7"/>
      <c r="AD731" s="1025"/>
      <c r="AE731" s="1025"/>
      <c r="AF731" s="1025"/>
      <c r="AG731" s="1792"/>
      <c r="AH731" s="1792"/>
      <c r="AI731" s="1792"/>
      <c r="AJ731" s="1792"/>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0"/>
      <c r="E732" s="1790"/>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7"/>
      <c r="AD732" s="1026"/>
      <c r="AE732" s="1026"/>
      <c r="AF732" s="1026"/>
      <c r="AG732" s="1792"/>
      <c r="AH732" s="1792"/>
      <c r="AI732" s="1792"/>
      <c r="AJ732" s="1792"/>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7"/>
      <c r="AH733" s="1787"/>
      <c r="AI733" s="1787"/>
      <c r="AJ733" s="1787"/>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65" t="s">
        <v>626</v>
      </c>
      <c r="D734" s="3166"/>
      <c r="E734" s="1025"/>
      <c r="F734" s="1290" t="s">
        <v>1837</v>
      </c>
      <c r="G734" s="3167" t="s">
        <v>1838</v>
      </c>
      <c r="H734" s="3167"/>
      <c r="I734" s="3167"/>
      <c r="J734" s="3167"/>
      <c r="K734" s="3167"/>
      <c r="L734" s="3167"/>
      <c r="M734" s="3167"/>
      <c r="N734" s="3167"/>
      <c r="O734" s="3167"/>
      <c r="P734" s="3167"/>
      <c r="Q734" s="3167"/>
      <c r="R734" s="3167"/>
      <c r="S734" s="3167"/>
      <c r="T734" s="3167"/>
      <c r="U734" s="3167"/>
      <c r="V734" s="3167"/>
      <c r="W734" s="3167"/>
      <c r="X734" s="3167"/>
      <c r="Y734" s="3167"/>
      <c r="Z734" s="3167"/>
      <c r="AA734" s="3167"/>
      <c r="AB734" s="3167"/>
      <c r="AC734" s="3167"/>
      <c r="AD734" s="3167"/>
      <c r="AE734" s="3167"/>
      <c r="AF734" s="3167"/>
      <c r="AG734" s="1031">
        <f>IF(AND($C$734="Yes",$C$725="Yes"),2,0)</f>
        <v>0</v>
      </c>
      <c r="AH734" s="1795" t="s">
        <v>1599</v>
      </c>
      <c r="AI734" s="944"/>
      <c r="AJ734" s="1792"/>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68"/>
      <c r="H735" s="3168"/>
      <c r="I735" s="3168"/>
      <c r="J735" s="3168"/>
      <c r="K735" s="3168"/>
      <c r="L735" s="3168"/>
      <c r="M735" s="3168"/>
      <c r="N735" s="3168"/>
      <c r="O735" s="3168"/>
      <c r="P735" s="3168"/>
      <c r="Q735" s="3168"/>
      <c r="R735" s="3168"/>
      <c r="S735" s="3168"/>
      <c r="T735" s="3168"/>
      <c r="U735" s="3168"/>
      <c r="V735" s="3168"/>
      <c r="W735" s="3168"/>
      <c r="X735" s="3168"/>
      <c r="Y735" s="3168"/>
      <c r="Z735" s="3168"/>
      <c r="AA735" s="3168"/>
      <c r="AB735" s="3168"/>
      <c r="AC735" s="3168"/>
      <c r="AD735" s="3168"/>
      <c r="AE735" s="3168"/>
      <c r="AF735" s="3168"/>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1"/>
      <c r="H736" s="1791"/>
      <c r="I736" s="1791"/>
      <c r="J736" s="1791"/>
      <c r="K736" s="1791"/>
      <c r="L736" s="1791"/>
      <c r="M736" s="1791"/>
      <c r="N736" s="1791"/>
      <c r="O736" s="1791"/>
      <c r="P736" s="1791"/>
      <c r="Q736" s="1791"/>
      <c r="R736" s="1791"/>
      <c r="S736" s="1791"/>
      <c r="T736" s="1791"/>
      <c r="U736" s="1791"/>
      <c r="V736" s="1791"/>
      <c r="W736" s="1791"/>
      <c r="X736" s="1791"/>
      <c r="Y736" s="1791"/>
      <c r="Z736" s="1791"/>
      <c r="AA736" s="1791"/>
      <c r="AB736" s="1791"/>
      <c r="AC736" s="1791"/>
      <c r="AD736" s="1791"/>
      <c r="AE736" s="1791"/>
      <c r="AF736" s="1791"/>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3" t="s">
        <v>626</v>
      </c>
      <c r="D738" s="3154"/>
      <c r="E738" s="1299" t="s">
        <v>1840</v>
      </c>
      <c r="F738" s="1259" t="s">
        <v>1841</v>
      </c>
      <c r="G738" s="1791"/>
      <c r="H738" s="1791"/>
      <c r="I738" s="1791"/>
      <c r="J738" s="1791"/>
      <c r="K738" s="1791"/>
      <c r="L738" s="1791"/>
      <c r="M738" s="1791"/>
      <c r="N738" s="1791"/>
      <c r="O738" s="1791"/>
      <c r="P738" s="1791"/>
      <c r="Q738" s="1791"/>
      <c r="R738" s="1791"/>
      <c r="S738" s="1791"/>
      <c r="T738" s="1791"/>
      <c r="U738" s="1791"/>
      <c r="V738" s="1791"/>
      <c r="W738" s="1791"/>
      <c r="X738" s="1791"/>
      <c r="Y738" s="1791"/>
      <c r="Z738" s="1791"/>
      <c r="AA738" s="1791"/>
      <c r="AB738" s="1791"/>
      <c r="AC738" s="1791"/>
      <c r="AD738" s="1791"/>
      <c r="AE738" s="1791"/>
      <c r="AF738" s="1791"/>
      <c r="AG738" s="1031">
        <f>IF(C$738="Yes",(VLOOKUP(F$739,$AO$709:$AP$712,2,FALSE)),0)</f>
        <v>0</v>
      </c>
      <c r="AH738" s="1795"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55" t="s">
        <v>626</v>
      </c>
      <c r="G739" s="3155"/>
      <c r="H739" s="3155"/>
      <c r="I739" s="3155"/>
      <c r="J739" s="3155"/>
      <c r="K739" s="3155"/>
      <c r="L739" s="3155"/>
      <c r="M739" s="3155"/>
      <c r="N739" s="3155"/>
      <c r="O739" s="3155"/>
      <c r="P739" s="3155"/>
      <c r="Q739" s="3155"/>
      <c r="R739" s="3155"/>
      <c r="S739" s="3155"/>
      <c r="T739" s="3155"/>
      <c r="U739" s="3155"/>
      <c r="V739" s="3155"/>
      <c r="W739" s="3155"/>
      <c r="X739" s="3155"/>
      <c r="Y739" s="3155"/>
      <c r="Z739" s="3155"/>
      <c r="AA739" s="3155"/>
      <c r="AB739" s="3155"/>
      <c r="AC739" s="3155"/>
      <c r="AD739" s="3155"/>
      <c r="AE739" s="3155"/>
      <c r="AF739" s="3155"/>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56"/>
      <c r="G740" s="3156"/>
      <c r="H740" s="3156"/>
      <c r="I740" s="3156"/>
      <c r="J740" s="3156"/>
      <c r="K740" s="3156"/>
      <c r="L740" s="3156"/>
      <c r="M740" s="3156"/>
      <c r="N740" s="3156"/>
      <c r="O740" s="3156"/>
      <c r="P740" s="3156"/>
      <c r="Q740" s="3156"/>
      <c r="R740" s="3156"/>
      <c r="S740" s="3156"/>
      <c r="T740" s="3156"/>
      <c r="U740" s="3156"/>
      <c r="V740" s="3156"/>
      <c r="W740" s="3156"/>
      <c r="X740" s="3156"/>
      <c r="Y740" s="3156"/>
      <c r="Z740" s="3156"/>
      <c r="AA740" s="3156"/>
      <c r="AB740" s="3156"/>
      <c r="AC740" s="3156"/>
      <c r="AD740" s="3156"/>
      <c r="AE740" s="3156"/>
      <c r="AF740" s="3156"/>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74">
        <f>SUM(AG694:AG739)</f>
        <v>0</v>
      </c>
      <c r="AL750" s="3075"/>
      <c r="AM750" s="3076"/>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8"/>
      <c r="AJ751" s="1788"/>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7" t="s">
        <v>1852</v>
      </c>
      <c r="AF753" s="3067"/>
      <c r="AG753" s="3067"/>
      <c r="AH753" s="3067"/>
      <c r="AI753" s="3067"/>
      <c r="AJ753" s="3067"/>
      <c r="AK753" s="3067"/>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8"/>
      <c r="AF754" s="1788"/>
      <c r="AG754" s="1788"/>
      <c r="AH754" s="1788"/>
      <c r="AI754" s="1788"/>
      <c r="AJ754" s="1788"/>
      <c r="AK754" s="1788"/>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1" t="s">
        <v>578</v>
      </c>
      <c r="D756" s="3071"/>
      <c r="E756" s="944"/>
      <c r="F756" s="3157" t="s">
        <v>1853</v>
      </c>
      <c r="G756" s="3158"/>
      <c r="H756" s="3158"/>
      <c r="I756" s="3158"/>
      <c r="J756" s="3158"/>
      <c r="K756" s="3158"/>
      <c r="L756" s="3158"/>
      <c r="M756" s="3158"/>
      <c r="N756" s="3158"/>
      <c r="O756" s="3158"/>
      <c r="P756" s="3158"/>
      <c r="Q756" s="3158"/>
      <c r="R756" s="3158"/>
      <c r="S756" s="3158"/>
      <c r="T756" s="3158"/>
      <c r="U756" s="3158"/>
      <c r="V756" s="3158"/>
      <c r="W756" s="3158"/>
      <c r="X756" s="3158"/>
      <c r="Y756" s="3158"/>
      <c r="Z756" s="3158"/>
      <c r="AA756" s="3158"/>
      <c r="AB756" s="3158"/>
      <c r="AC756" s="3158"/>
      <c r="AD756" s="3158"/>
      <c r="AE756" s="3158"/>
      <c r="AF756" s="3158"/>
      <c r="AG756" s="3158"/>
      <c r="AH756" s="3158"/>
      <c r="AI756" s="3158"/>
      <c r="AJ756" s="3158"/>
      <c r="AK756" s="3158"/>
      <c r="AL756" s="3159"/>
      <c r="AM756" s="1005"/>
      <c r="AN756" s="1000"/>
    </row>
    <row r="757" spans="1:49" s="943" customFormat="1" ht="12.75" customHeight="1">
      <c r="A757" s="1012"/>
      <c r="B757" s="1012"/>
      <c r="C757" s="944"/>
      <c r="D757" s="944"/>
      <c r="E757" s="944"/>
      <c r="F757" s="3160"/>
      <c r="G757" s="3161"/>
      <c r="H757" s="3161"/>
      <c r="I757" s="3161"/>
      <c r="J757" s="3161"/>
      <c r="K757" s="3161"/>
      <c r="L757" s="3161"/>
      <c r="M757" s="3161"/>
      <c r="N757" s="3161"/>
      <c r="O757" s="3161"/>
      <c r="P757" s="3161"/>
      <c r="Q757" s="3161"/>
      <c r="R757" s="3161"/>
      <c r="S757" s="3161"/>
      <c r="T757" s="3161"/>
      <c r="U757" s="3161"/>
      <c r="V757" s="3161"/>
      <c r="W757" s="3161"/>
      <c r="X757" s="3161"/>
      <c r="Y757" s="3161"/>
      <c r="Z757" s="3161"/>
      <c r="AA757" s="3161"/>
      <c r="AB757" s="3161"/>
      <c r="AC757" s="3161"/>
      <c r="AD757" s="3161"/>
      <c r="AE757" s="3161"/>
      <c r="AF757" s="3161"/>
      <c r="AG757" s="3161"/>
      <c r="AH757" s="3161"/>
      <c r="AI757" s="3161"/>
      <c r="AJ757" s="3161"/>
      <c r="AK757" s="3161"/>
      <c r="AL757" s="3162"/>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1" t="s">
        <v>626</v>
      </c>
      <c r="D759" s="3071"/>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35" t="s">
        <v>1855</v>
      </c>
      <c r="G760" s="3236"/>
      <c r="H760" s="3236"/>
      <c r="I760" s="3236"/>
      <c r="J760" s="3236"/>
      <c r="K760" s="3236"/>
      <c r="L760" s="3236"/>
      <c r="M760" s="3236"/>
      <c r="N760" s="3236"/>
      <c r="O760" s="3236"/>
      <c r="P760" s="3236"/>
      <c r="Q760" s="3236"/>
      <c r="R760" s="3236"/>
      <c r="S760" s="3236"/>
      <c r="T760" s="3236"/>
      <c r="U760" s="3236"/>
      <c r="V760" s="3236"/>
      <c r="W760" s="3236"/>
      <c r="X760" s="3236"/>
      <c r="Y760" s="3236"/>
      <c r="Z760" s="3236"/>
      <c r="AA760" s="3236"/>
      <c r="AB760" s="3236"/>
      <c r="AC760" s="3236"/>
      <c r="AD760" s="3236"/>
      <c r="AE760" s="3236"/>
      <c r="AF760" s="3236"/>
      <c r="AG760" s="3236"/>
      <c r="AH760" s="3236"/>
      <c r="AI760" s="3236"/>
      <c r="AJ760" s="3236"/>
      <c r="AK760" s="3236"/>
      <c r="AL760" s="3237"/>
      <c r="AM760" s="1005"/>
      <c r="AN760" s="1000"/>
      <c r="AS760" s="1481"/>
      <c r="AT760" s="1481"/>
      <c r="AU760" s="1481"/>
      <c r="AV760" s="1481"/>
      <c r="AW760" s="1481"/>
    </row>
    <row r="761" spans="1:49" s="943" customFormat="1" ht="12.75" customHeight="1">
      <c r="A761" s="1026"/>
      <c r="B761" s="1305"/>
      <c r="C761" s="1305"/>
      <c r="D761" s="1305"/>
      <c r="E761" s="1305"/>
      <c r="F761" s="3235"/>
      <c r="G761" s="3236"/>
      <c r="H761" s="3236"/>
      <c r="I761" s="3236"/>
      <c r="J761" s="3236"/>
      <c r="K761" s="3236"/>
      <c r="L761" s="3236"/>
      <c r="M761" s="3236"/>
      <c r="N761" s="3236"/>
      <c r="O761" s="3236"/>
      <c r="P761" s="3236"/>
      <c r="Q761" s="3236"/>
      <c r="R761" s="3236"/>
      <c r="S761" s="3236"/>
      <c r="T761" s="3236"/>
      <c r="U761" s="3236"/>
      <c r="V761" s="3236"/>
      <c r="W761" s="3236"/>
      <c r="X761" s="3236"/>
      <c r="Y761" s="3236"/>
      <c r="Z761" s="3236"/>
      <c r="AA761" s="3236"/>
      <c r="AB761" s="3236"/>
      <c r="AC761" s="3236"/>
      <c r="AD761" s="3236"/>
      <c r="AE761" s="3236"/>
      <c r="AF761" s="3236"/>
      <c r="AG761" s="3236"/>
      <c r="AH761" s="3236"/>
      <c r="AI761" s="3236"/>
      <c r="AJ761" s="3236"/>
      <c r="AK761" s="3236"/>
      <c r="AL761" s="3237"/>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35" t="s">
        <v>1857</v>
      </c>
      <c r="G763" s="3236"/>
      <c r="H763" s="3236"/>
      <c r="I763" s="3236"/>
      <c r="J763" s="3236"/>
      <c r="K763" s="3236"/>
      <c r="L763" s="3236"/>
      <c r="M763" s="3236"/>
      <c r="N763" s="3236"/>
      <c r="O763" s="3236"/>
      <c r="P763" s="3236"/>
      <c r="Q763" s="3236"/>
      <c r="R763" s="3236"/>
      <c r="S763" s="3236"/>
      <c r="T763" s="3236"/>
      <c r="U763" s="3236"/>
      <c r="V763" s="3236"/>
      <c r="W763" s="3236"/>
      <c r="X763" s="3236"/>
      <c r="Y763" s="3236"/>
      <c r="Z763" s="3236"/>
      <c r="AA763" s="3236"/>
      <c r="AB763" s="3236"/>
      <c r="AC763" s="3236"/>
      <c r="AD763" s="3236"/>
      <c r="AE763" s="3236"/>
      <c r="AF763" s="3236"/>
      <c r="AG763" s="3236"/>
      <c r="AH763" s="3236"/>
      <c r="AI763" s="3236"/>
      <c r="AJ763" s="3236"/>
      <c r="AK763" s="3236"/>
      <c r="AL763" s="1314"/>
      <c r="AM763" s="1005"/>
      <c r="AN763" s="1000"/>
      <c r="AT763" s="1089"/>
      <c r="AU763" s="1089"/>
      <c r="AV763" s="1089"/>
    </row>
    <row r="764" spans="1:49" s="943" customFormat="1" ht="12.75" customHeight="1">
      <c r="A764" s="1026"/>
      <c r="B764" s="1305"/>
      <c r="C764" s="1305"/>
      <c r="D764" s="1305"/>
      <c r="E764" s="1305"/>
      <c r="F764" s="3238"/>
      <c r="G764" s="3239"/>
      <c r="H764" s="3239"/>
      <c r="I764" s="3239"/>
      <c r="J764" s="3239"/>
      <c r="K764" s="3239"/>
      <c r="L764" s="3239"/>
      <c r="M764" s="3239"/>
      <c r="N764" s="3239"/>
      <c r="O764" s="3239"/>
      <c r="P764" s="3239"/>
      <c r="Q764" s="3239"/>
      <c r="R764" s="3239"/>
      <c r="S764" s="3239"/>
      <c r="T764" s="3239"/>
      <c r="U764" s="3239"/>
      <c r="V764" s="3239"/>
      <c r="W764" s="3239"/>
      <c r="X764" s="3239"/>
      <c r="Y764" s="3239"/>
      <c r="Z764" s="3239"/>
      <c r="AA764" s="3239"/>
      <c r="AB764" s="3239"/>
      <c r="AC764" s="3239"/>
      <c r="AD764" s="3239"/>
      <c r="AE764" s="3239"/>
      <c r="AF764" s="3239"/>
      <c r="AG764" s="3239"/>
      <c r="AH764" s="3239"/>
      <c r="AI764" s="3239"/>
      <c r="AJ764" s="3239"/>
      <c r="AK764" s="3239"/>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8">
        <f>Application!AJ975</f>
        <v>155858040</v>
      </c>
      <c r="AQ765" s="3228"/>
      <c r="AR765" s="3228"/>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7">
        <f>'Sources and Uses Budget'!S107+'Sources and Uses Budget'!T107</f>
        <v>106037953</v>
      </c>
      <c r="AG766" s="3077"/>
      <c r="AH766" s="3077"/>
      <c r="AI766" s="3077"/>
      <c r="AJ766" s="3077"/>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0">
        <f>AP774</f>
        <v>211454129</v>
      </c>
      <c r="AG767" s="3240"/>
      <c r="AH767" s="3240"/>
      <c r="AI767" s="3240"/>
      <c r="AJ767" s="3240"/>
      <c r="AK767" s="1005"/>
      <c r="AL767" s="1005"/>
      <c r="AM767" s="1005"/>
      <c r="AN767" s="1000"/>
      <c r="AP767" s="3228">
        <f>Application!AJ1024</f>
        <v>15585804</v>
      </c>
      <c r="AQ767" s="3228"/>
      <c r="AR767" s="3228"/>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1">
        <f>ROUNDDOWN(IF(C759="YES",((1-(AF766/AF767))*2),(1-(AF766/AF767))),2)</f>
        <v>0.49</v>
      </c>
      <c r="AG768" s="3241"/>
      <c r="AH768" s="3241"/>
      <c r="AI768" s="3241"/>
      <c r="AJ768" s="3241"/>
      <c r="AK768" s="1005"/>
      <c r="AL768" s="1005"/>
      <c r="AM768" s="1005"/>
      <c r="AN768" s="1000"/>
      <c r="AP768" s="3232">
        <f>Application!AJ1028</f>
        <v>31171608</v>
      </c>
      <c r="AQ768" s="3232"/>
      <c r="AR768" s="3232"/>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7">
        <f>IF(((AP767+AP768)/AP765)&gt;0.8,0.8,((AP767+AP768)/AP765))</f>
        <v>0.3</v>
      </c>
      <c r="AQ769" s="3227"/>
      <c r="AR769" s="3227"/>
    </row>
    <row r="770" spans="1:44" s="943" customFormat="1" ht="12.75" customHeight="1">
      <c r="A770" s="1048"/>
      <c r="B770" s="3176" t="s">
        <v>1860</v>
      </c>
      <c r="C770" s="3177"/>
      <c r="D770" s="3177"/>
      <c r="E770" s="3177"/>
      <c r="F770" s="3177"/>
      <c r="G770" s="3177"/>
      <c r="H770" s="3177"/>
      <c r="I770" s="3177"/>
      <c r="J770" s="3177"/>
      <c r="K770" s="3177"/>
      <c r="L770" s="3177"/>
      <c r="M770" s="3177"/>
      <c r="N770" s="3177"/>
      <c r="O770" s="3177"/>
      <c r="P770" s="3177"/>
      <c r="Q770" s="3177"/>
      <c r="R770" s="3177"/>
      <c r="S770" s="3177"/>
      <c r="T770" s="3177"/>
      <c r="U770" s="3177"/>
      <c r="V770" s="3177"/>
      <c r="W770" s="3177"/>
      <c r="X770" s="3177"/>
      <c r="Y770" s="3177"/>
      <c r="Z770" s="3177"/>
      <c r="AA770" s="3177"/>
      <c r="AB770" s="3177"/>
      <c r="AC770" s="3177"/>
      <c r="AD770" s="3177"/>
      <c r="AE770" s="3177"/>
      <c r="AF770" s="3177"/>
      <c r="AG770" s="3177"/>
      <c r="AH770" s="3177"/>
      <c r="AI770" s="3177"/>
      <c r="AJ770" s="3178"/>
      <c r="AK770" s="1005"/>
      <c r="AL770" s="1005"/>
      <c r="AM770" s="1005"/>
      <c r="AN770" s="1000"/>
    </row>
    <row r="771" spans="1:44" s="943" customFormat="1" ht="12.75" customHeight="1">
      <c r="A771" s="1048"/>
      <c r="B771" s="3179"/>
      <c r="C771" s="3180"/>
      <c r="D771" s="3180"/>
      <c r="E771" s="3180"/>
      <c r="F771" s="3180"/>
      <c r="G771" s="3180"/>
      <c r="H771" s="3180"/>
      <c r="I771" s="3180"/>
      <c r="J771" s="3180"/>
      <c r="K771" s="3180"/>
      <c r="L771" s="3180"/>
      <c r="M771" s="3180"/>
      <c r="N771" s="3180"/>
      <c r="O771" s="3180"/>
      <c r="P771" s="3180"/>
      <c r="Q771" s="3180"/>
      <c r="R771" s="3180"/>
      <c r="S771" s="3180"/>
      <c r="T771" s="3180"/>
      <c r="U771" s="3180"/>
      <c r="V771" s="3180"/>
      <c r="W771" s="3180"/>
      <c r="X771" s="3180"/>
      <c r="Y771" s="3180"/>
      <c r="Z771" s="3180"/>
      <c r="AA771" s="3180"/>
      <c r="AB771" s="3180"/>
      <c r="AC771" s="3180"/>
      <c r="AD771" s="3180"/>
      <c r="AE771" s="3180"/>
      <c r="AF771" s="3180"/>
      <c r="AG771" s="3180"/>
      <c r="AH771" s="3180"/>
      <c r="AI771" s="3180"/>
      <c r="AJ771" s="3181"/>
      <c r="AK771" s="1005"/>
      <c r="AL771" s="1005"/>
      <c r="AM771" s="1005"/>
      <c r="AN771" s="1000"/>
      <c r="AP771" s="3228">
        <f>AP772-AP767-AP768</f>
        <v>164696717</v>
      </c>
      <c r="AQ771" s="3229"/>
      <c r="AR771" s="3229"/>
    </row>
    <row r="772" spans="1:44" s="943" customFormat="1" ht="12.75" customHeight="1">
      <c r="A772" s="1048"/>
      <c r="B772" s="3182"/>
      <c r="C772" s="3183"/>
      <c r="D772" s="3183"/>
      <c r="E772" s="3183"/>
      <c r="F772" s="3183"/>
      <c r="G772" s="3183"/>
      <c r="H772" s="3183"/>
      <c r="I772" s="3183"/>
      <c r="J772" s="3183"/>
      <c r="K772" s="3183"/>
      <c r="L772" s="3183"/>
      <c r="M772" s="3183"/>
      <c r="N772" s="3183"/>
      <c r="O772" s="3183"/>
      <c r="P772" s="3183"/>
      <c r="Q772" s="3183"/>
      <c r="R772" s="3183"/>
      <c r="S772" s="3183"/>
      <c r="T772" s="3183"/>
      <c r="U772" s="3183"/>
      <c r="V772" s="3183"/>
      <c r="W772" s="3183"/>
      <c r="X772" s="3183"/>
      <c r="Y772" s="3183"/>
      <c r="Z772" s="3183"/>
      <c r="AA772" s="3183"/>
      <c r="AB772" s="3183"/>
      <c r="AC772" s="3183"/>
      <c r="AD772" s="3183"/>
      <c r="AE772" s="3183"/>
      <c r="AF772" s="3183"/>
      <c r="AG772" s="3183"/>
      <c r="AH772" s="3183"/>
      <c r="AI772" s="3183"/>
      <c r="AJ772" s="3184"/>
      <c r="AK772" s="1005"/>
      <c r="AL772" s="1005"/>
      <c r="AM772" s="1005"/>
      <c r="AN772" s="1000"/>
      <c r="AP772" s="3228">
        <f>Application!AJ1032</f>
        <v>211454129</v>
      </c>
      <c r="AQ772" s="3228"/>
      <c r="AR772" s="3228"/>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185">
        <f>IF(AF768=0,0,IF((AF768*100)&gt;12,12,(AF768*100)))</f>
        <v>12</v>
      </c>
      <c r="AL774" s="3185"/>
      <c r="AM774" s="3186"/>
      <c r="AN774" s="1000"/>
      <c r="AP774" s="3251">
        <f>AP771+(AP765*AP769)</f>
        <v>211454129</v>
      </c>
      <c r="AQ774" s="3252"/>
      <c r="AR774" s="3253"/>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7" t="s">
        <v>1862</v>
      </c>
      <c r="B777" s="3188"/>
      <c r="C777" s="3188"/>
      <c r="D777" s="3188"/>
      <c r="E777" s="3188"/>
      <c r="F777" s="3188"/>
      <c r="G777" s="3188"/>
      <c r="H777" s="3188"/>
      <c r="I777" s="3188"/>
      <c r="J777" s="3188"/>
      <c r="K777" s="3188"/>
      <c r="L777" s="3188"/>
      <c r="M777" s="3188"/>
      <c r="N777" s="3188"/>
      <c r="O777" s="3188"/>
      <c r="P777" s="3188"/>
      <c r="Q777" s="3188"/>
      <c r="R777" s="3188"/>
      <c r="S777" s="3188"/>
      <c r="T777" s="3188"/>
      <c r="U777" s="3188"/>
      <c r="V777" s="3188"/>
      <c r="W777" s="3188"/>
      <c r="X777" s="3188"/>
      <c r="Y777" s="3188"/>
      <c r="Z777" s="3188"/>
      <c r="AA777" s="3188"/>
      <c r="AB777" s="3188"/>
      <c r="AC777" s="3188"/>
      <c r="AD777" s="3188"/>
      <c r="AE777" s="3188"/>
      <c r="AF777" s="3188"/>
      <c r="AG777" s="3188"/>
      <c r="AH777" s="3188"/>
      <c r="AI777" s="3188"/>
      <c r="AJ777" s="3188"/>
      <c r="AK777" s="3188"/>
      <c r="AL777" s="3188"/>
      <c r="AM777" s="3188"/>
    </row>
    <row r="778" spans="1:44">
      <c r="A778" s="3189"/>
      <c r="B778" s="3189"/>
      <c r="C778" s="3189"/>
      <c r="D778" s="3189"/>
      <c r="E778" s="3189"/>
      <c r="F778" s="3189"/>
      <c r="G778" s="3189"/>
      <c r="H778" s="3189"/>
      <c r="I778" s="3189"/>
      <c r="J778" s="3189"/>
      <c r="K778" s="3189"/>
      <c r="L778" s="3189"/>
      <c r="M778" s="3189"/>
      <c r="N778" s="3189"/>
      <c r="O778" s="3189"/>
      <c r="P778" s="3189"/>
      <c r="Q778" s="3189"/>
      <c r="R778" s="3189"/>
      <c r="S778" s="3189"/>
      <c r="T778" s="3189"/>
      <c r="U778" s="3189"/>
      <c r="V778" s="3189"/>
      <c r="W778" s="3189"/>
      <c r="X778" s="3189"/>
      <c r="Y778" s="3189"/>
      <c r="Z778" s="3189"/>
      <c r="AA778" s="3189"/>
      <c r="AB778" s="3189"/>
      <c r="AC778" s="3189"/>
      <c r="AD778" s="3189"/>
      <c r="AE778" s="3189"/>
      <c r="AF778" s="3189"/>
      <c r="AG778" s="3189"/>
      <c r="AH778" s="3189"/>
      <c r="AI778" s="3189"/>
      <c r="AJ778" s="3189"/>
      <c r="AK778" s="3189"/>
      <c r="AL778" s="3189"/>
      <c r="AM778" s="3189"/>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90"/>
      <c r="B780" s="3190"/>
      <c r="C780" s="3190"/>
      <c r="D780" s="3190"/>
      <c r="E780" s="3190"/>
      <c r="F780" s="3190"/>
      <c r="G780" s="3190"/>
      <c r="H780" s="3190"/>
      <c r="I780" s="3190"/>
      <c r="J780" s="3190"/>
      <c r="K780" s="3190"/>
      <c r="L780" s="3190"/>
      <c r="M780" s="3190"/>
      <c r="N780" s="3190"/>
      <c r="O780" s="3190"/>
      <c r="P780" s="3190"/>
      <c r="Q780" s="3190"/>
      <c r="R780" s="3190"/>
      <c r="S780" s="3190"/>
      <c r="T780" s="3190"/>
      <c r="U780" s="3190"/>
      <c r="V780" s="3190"/>
      <c r="W780" s="3190"/>
      <c r="X780" s="3190"/>
      <c r="Y780" s="3190"/>
      <c r="Z780" s="3190"/>
      <c r="AA780" s="3190"/>
      <c r="AB780" s="3190"/>
      <c r="AC780" s="3190"/>
      <c r="AD780" s="3190"/>
      <c r="AE780" s="3190"/>
      <c r="AF780" s="3190"/>
      <c r="AG780" s="3190"/>
      <c r="AH780" s="3190"/>
      <c r="AI780" s="3190"/>
      <c r="AJ780" s="3190"/>
      <c r="AK780" s="3190"/>
      <c r="AL780" s="3190"/>
      <c r="AM780" s="3190"/>
      <c r="AO780" s="1227"/>
      <c r="AP780" s="1320"/>
      <c r="AQ780" s="1319"/>
    </row>
    <row r="781" spans="1:44">
      <c r="A781" s="3190"/>
      <c r="B781" s="3190"/>
      <c r="C781" s="3190"/>
      <c r="D781" s="3190"/>
      <c r="E781" s="3190"/>
      <c r="F781" s="3190"/>
      <c r="G781" s="3190"/>
      <c r="H781" s="3190"/>
      <c r="I781" s="3190"/>
      <c r="J781" s="3190"/>
      <c r="K781" s="3190"/>
      <c r="L781" s="3190"/>
      <c r="M781" s="3190"/>
      <c r="N781" s="3190"/>
      <c r="O781" s="3190"/>
      <c r="P781" s="3190"/>
      <c r="Q781" s="3190"/>
      <c r="R781" s="3190"/>
      <c r="S781" s="3190"/>
      <c r="T781" s="3190"/>
      <c r="U781" s="3190"/>
      <c r="V781" s="3190"/>
      <c r="W781" s="3190"/>
      <c r="X781" s="3190"/>
      <c r="Y781" s="3190"/>
      <c r="Z781" s="3190"/>
      <c r="AA781" s="3190"/>
      <c r="AB781" s="3190"/>
      <c r="AC781" s="3190"/>
      <c r="AD781" s="3190"/>
      <c r="AE781" s="3190"/>
      <c r="AF781" s="3190"/>
      <c r="AG781" s="3190"/>
      <c r="AH781" s="3190"/>
      <c r="AI781" s="3190"/>
      <c r="AJ781" s="3190"/>
      <c r="AK781" s="3190"/>
      <c r="AL781" s="3190"/>
      <c r="AM781" s="3190"/>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1" t="s">
        <v>1863</v>
      </c>
      <c r="U782" s="3192"/>
      <c r="V782" s="3192"/>
      <c r="W782" s="3192"/>
      <c r="X782" s="3192"/>
      <c r="Y782" s="3193"/>
      <c r="Z782" s="3191" t="s">
        <v>1864</v>
      </c>
      <c r="AA782" s="3192"/>
      <c r="AB782" s="3192"/>
      <c r="AC782" s="3192"/>
      <c r="AD782" s="3192"/>
      <c r="AE782" s="3193"/>
      <c r="AF782" s="3191" t="s">
        <v>1865</v>
      </c>
      <c r="AG782" s="3192"/>
      <c r="AH782" s="3192"/>
      <c r="AI782" s="3192"/>
      <c r="AJ782" s="3192"/>
      <c r="AK782" s="3193"/>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4"/>
      <c r="U783" s="3195"/>
      <c r="V783" s="3195"/>
      <c r="W783" s="3195"/>
      <c r="X783" s="3195"/>
      <c r="Y783" s="3196"/>
      <c r="Z783" s="3194"/>
      <c r="AA783" s="3195"/>
      <c r="AB783" s="3195"/>
      <c r="AC783" s="3195"/>
      <c r="AD783" s="3195"/>
      <c r="AE783" s="3196"/>
      <c r="AF783" s="3194"/>
      <c r="AG783" s="3195"/>
      <c r="AH783" s="3195"/>
      <c r="AI783" s="3195"/>
      <c r="AJ783" s="3195"/>
      <c r="AK783" s="3196"/>
      <c r="AL783" s="1322"/>
      <c r="AM783" s="1216"/>
      <c r="AO783" s="1320"/>
      <c r="AP783" s="1319"/>
      <c r="AQ783" s="1319"/>
    </row>
    <row r="784" spans="1:44">
      <c r="A784" s="1323" t="s">
        <v>798</v>
      </c>
      <c r="B784" s="3169" t="s">
        <v>1563</v>
      </c>
      <c r="C784" s="3169"/>
      <c r="D784" s="3169"/>
      <c r="E784" s="3169"/>
      <c r="F784" s="3169"/>
      <c r="G784" s="3169"/>
      <c r="H784" s="3169"/>
      <c r="I784" s="3169"/>
      <c r="J784" s="3169"/>
      <c r="K784" s="3169"/>
      <c r="L784" s="3169"/>
      <c r="M784" s="3169"/>
      <c r="N784" s="3169"/>
      <c r="O784" s="3169"/>
      <c r="P784" s="3169"/>
      <c r="Q784" s="3169"/>
      <c r="R784" s="3169"/>
      <c r="S784" s="3170"/>
      <c r="T784" s="3171">
        <f>AK51</f>
        <v>0</v>
      </c>
      <c r="U784" s="3172"/>
      <c r="V784" s="3172"/>
      <c r="W784" s="3172"/>
      <c r="X784" s="3172"/>
      <c r="Y784" s="3173"/>
      <c r="Z784" s="3174">
        <v>20</v>
      </c>
      <c r="AA784" s="3172"/>
      <c r="AB784" s="3172"/>
      <c r="AC784" s="3172"/>
      <c r="AD784" s="3172"/>
      <c r="AE784" s="3173"/>
      <c r="AF784" s="3175">
        <f>IF(T784&gt;Z784,Z784,T784)</f>
        <v>0</v>
      </c>
      <c r="AG784" s="3175"/>
      <c r="AH784" s="3175"/>
      <c r="AI784" s="3175"/>
      <c r="AJ784" s="3175"/>
      <c r="AK784" s="3175"/>
      <c r="AL784" s="1322"/>
      <c r="AM784" s="1216"/>
      <c r="AO784" s="1319"/>
      <c r="AP784" s="1319"/>
      <c r="AQ784" s="1319"/>
    </row>
    <row r="785" spans="1:81">
      <c r="A785" s="1323" t="s">
        <v>1831</v>
      </c>
      <c r="B785" s="3169" t="s">
        <v>1584</v>
      </c>
      <c r="C785" s="3169"/>
      <c r="D785" s="3169"/>
      <c r="E785" s="3169"/>
      <c r="F785" s="3169"/>
      <c r="G785" s="3169"/>
      <c r="H785" s="3169"/>
      <c r="I785" s="3169"/>
      <c r="J785" s="3169"/>
      <c r="K785" s="3169"/>
      <c r="L785" s="3169"/>
      <c r="M785" s="3169"/>
      <c r="N785" s="3169"/>
      <c r="O785" s="3169"/>
      <c r="P785" s="3169"/>
      <c r="Q785" s="3169"/>
      <c r="R785" s="3169"/>
      <c r="S785" s="3170"/>
      <c r="T785" s="3171">
        <f>AK72</f>
        <v>10</v>
      </c>
      <c r="U785" s="3172"/>
      <c r="V785" s="3172"/>
      <c r="W785" s="3172"/>
      <c r="X785" s="3172"/>
      <c r="Y785" s="3173"/>
      <c r="Z785" s="3174">
        <v>10</v>
      </c>
      <c r="AA785" s="3172"/>
      <c r="AB785" s="3172"/>
      <c r="AC785" s="3172"/>
      <c r="AD785" s="3172"/>
      <c r="AE785" s="3173"/>
      <c r="AF785" s="3175">
        <f>IF(T785&gt;Z785,Z785,T785)</f>
        <v>10</v>
      </c>
      <c r="AG785" s="3175"/>
      <c r="AH785" s="3175"/>
      <c r="AI785" s="3175"/>
      <c r="AJ785" s="3175"/>
      <c r="AK785" s="3175"/>
      <c r="AL785" s="1322"/>
      <c r="AM785" s="1216"/>
      <c r="AO785" s="1319"/>
      <c r="AP785" s="1319"/>
      <c r="AQ785" s="1319"/>
    </row>
    <row r="786" spans="1:81">
      <c r="A786" s="1323" t="s">
        <v>1840</v>
      </c>
      <c r="B786" s="3169" t="s">
        <v>1594</v>
      </c>
      <c r="C786" s="3169"/>
      <c r="D786" s="3169"/>
      <c r="E786" s="3169"/>
      <c r="F786" s="3169"/>
      <c r="G786" s="3169"/>
      <c r="H786" s="3169"/>
      <c r="I786" s="3169"/>
      <c r="J786" s="3169"/>
      <c r="K786" s="3169"/>
      <c r="L786" s="3169"/>
      <c r="M786" s="3169"/>
      <c r="N786" s="3169"/>
      <c r="O786" s="3169"/>
      <c r="P786" s="3169"/>
      <c r="Q786" s="3169"/>
      <c r="R786" s="3169"/>
      <c r="S786" s="3170"/>
      <c r="T786" s="3171">
        <f ca="1">AK97</f>
        <v>20</v>
      </c>
      <c r="U786" s="3172"/>
      <c r="V786" s="3172"/>
      <c r="W786" s="3172"/>
      <c r="X786" s="3172"/>
      <c r="Y786" s="3173"/>
      <c r="Z786" s="3174">
        <v>20</v>
      </c>
      <c r="AA786" s="3172"/>
      <c r="AB786" s="3172"/>
      <c r="AC786" s="3172"/>
      <c r="AD786" s="3172"/>
      <c r="AE786" s="3173"/>
      <c r="AF786" s="3175">
        <f ca="1">IF(T786&gt;Z786,Z786,T786)</f>
        <v>20</v>
      </c>
      <c r="AG786" s="3175"/>
      <c r="AH786" s="3175"/>
      <c r="AI786" s="3175"/>
      <c r="AJ786" s="3175"/>
      <c r="AK786" s="3175"/>
      <c r="AL786" s="1322"/>
      <c r="AM786" s="1216"/>
      <c r="AO786" s="1319"/>
      <c r="AP786" s="1319"/>
      <c r="AQ786" s="1319"/>
    </row>
    <row r="787" spans="1:81">
      <c r="A787" s="1323" t="s">
        <v>1866</v>
      </c>
      <c r="B787" s="3169" t="s">
        <v>1604</v>
      </c>
      <c r="C787" s="3169"/>
      <c r="D787" s="3169"/>
      <c r="E787" s="3169"/>
      <c r="F787" s="3169"/>
      <c r="G787" s="3169"/>
      <c r="H787" s="3169"/>
      <c r="I787" s="3169"/>
      <c r="J787" s="3169"/>
      <c r="K787" s="3169"/>
      <c r="L787" s="3169"/>
      <c r="M787" s="3169"/>
      <c r="N787" s="3169"/>
      <c r="O787" s="3169"/>
      <c r="P787" s="3169"/>
      <c r="Q787" s="3169"/>
      <c r="R787" s="3169"/>
      <c r="S787" s="3170"/>
      <c r="T787" s="3171">
        <f>AK131</f>
        <v>10</v>
      </c>
      <c r="U787" s="3172"/>
      <c r="V787" s="3172"/>
      <c r="W787" s="3172"/>
      <c r="X787" s="3172"/>
      <c r="Y787" s="3173"/>
      <c r="Z787" s="3174">
        <v>10</v>
      </c>
      <c r="AA787" s="3172"/>
      <c r="AB787" s="3172"/>
      <c r="AC787" s="3172"/>
      <c r="AD787" s="3172"/>
      <c r="AE787" s="3173"/>
      <c r="AF787" s="3175">
        <f>IF(T787&gt;Z787,Z787,T787)</f>
        <v>10</v>
      </c>
      <c r="AG787" s="3175"/>
      <c r="AH787" s="3175"/>
      <c r="AI787" s="3175"/>
      <c r="AJ787" s="3175"/>
      <c r="AK787" s="3175"/>
      <c r="AL787" s="1322"/>
      <c r="AM787" s="1216"/>
      <c r="AO787" s="1319"/>
      <c r="AP787" s="1319"/>
      <c r="AQ787" s="1319"/>
    </row>
    <row r="788" spans="1:81">
      <c r="A788" s="1325" t="s">
        <v>1867</v>
      </c>
      <c r="B788" s="3169" t="s">
        <v>1868</v>
      </c>
      <c r="C788" s="3169"/>
      <c r="D788" s="3169"/>
      <c r="E788" s="3169"/>
      <c r="F788" s="3169"/>
      <c r="G788" s="3169"/>
      <c r="H788" s="3169"/>
      <c r="I788" s="3169"/>
      <c r="J788" s="3169"/>
      <c r="K788" s="3169"/>
      <c r="L788" s="3169"/>
      <c r="M788" s="3169"/>
      <c r="N788" s="3169"/>
      <c r="O788" s="3169"/>
      <c r="P788" s="3169"/>
      <c r="Q788" s="3169"/>
      <c r="R788" s="3169"/>
      <c r="S788" s="3170"/>
      <c r="T788" s="3197">
        <f>SUM(T789:Y790)</f>
        <v>10</v>
      </c>
      <c r="U788" s="3197"/>
      <c r="V788" s="3197"/>
      <c r="W788" s="3197"/>
      <c r="X788" s="3197"/>
      <c r="Y788" s="3197"/>
      <c r="Z788" s="3175">
        <v>10</v>
      </c>
      <c r="AA788" s="3175"/>
      <c r="AB788" s="3175"/>
      <c r="AC788" s="3175"/>
      <c r="AD788" s="3175"/>
      <c r="AE788" s="3175"/>
      <c r="AF788" s="3175">
        <f>IF(T788&gt;Z788,Z788,T788)</f>
        <v>10</v>
      </c>
      <c r="AG788" s="3175"/>
      <c r="AH788" s="3175"/>
      <c r="AI788" s="3175"/>
      <c r="AJ788" s="3175"/>
      <c r="AK788" s="3175"/>
      <c r="AL788" s="1322"/>
      <c r="AM788" s="1216"/>
    </row>
    <row r="789" spans="1:81">
      <c r="A789" s="926"/>
      <c r="B789" s="1009"/>
      <c r="C789" s="3198" t="s">
        <v>1869</v>
      </c>
      <c r="D789" s="3198"/>
      <c r="E789" s="3198"/>
      <c r="F789" s="3198"/>
      <c r="G789" s="3198"/>
      <c r="H789" s="3198"/>
      <c r="I789" s="3198"/>
      <c r="J789" s="3198"/>
      <c r="K789" s="3198"/>
      <c r="L789" s="3198"/>
      <c r="M789" s="3198"/>
      <c r="N789" s="3198"/>
      <c r="O789" s="3198"/>
      <c r="P789" s="3198"/>
      <c r="Q789" s="3198"/>
      <c r="R789" s="3198"/>
      <c r="S789" s="3199"/>
      <c r="T789" s="3070">
        <f>AJ149</f>
        <v>7</v>
      </c>
      <c r="U789" s="3070"/>
      <c r="V789" s="3070"/>
      <c r="W789" s="3070"/>
      <c r="X789" s="3070"/>
      <c r="Y789" s="3070"/>
      <c r="Z789" s="3200">
        <v>7</v>
      </c>
      <c r="AA789" s="3200"/>
      <c r="AB789" s="3200"/>
      <c r="AC789" s="3200"/>
      <c r="AD789" s="3200"/>
      <c r="AE789" s="3200"/>
      <c r="AF789" s="3201"/>
      <c r="AG789" s="3201"/>
      <c r="AH789" s="3201"/>
      <c r="AI789" s="3201"/>
      <c r="AJ789" s="3201"/>
      <c r="AK789" s="3201"/>
      <c r="AL789" s="1322"/>
      <c r="AM789" s="1216"/>
    </row>
    <row r="790" spans="1:81">
      <c r="A790" s="1326"/>
      <c r="B790" s="1009"/>
      <c r="C790" s="3198" t="s">
        <v>1870</v>
      </c>
      <c r="D790" s="3198"/>
      <c r="E790" s="3198"/>
      <c r="F790" s="3198"/>
      <c r="G790" s="3198"/>
      <c r="H790" s="3198"/>
      <c r="I790" s="3198"/>
      <c r="J790" s="3198"/>
      <c r="K790" s="3198"/>
      <c r="L790" s="3198"/>
      <c r="M790" s="3198"/>
      <c r="N790" s="3198"/>
      <c r="O790" s="3198"/>
      <c r="P790" s="3198"/>
      <c r="Q790" s="3198"/>
      <c r="R790" s="3198"/>
      <c r="S790" s="3199"/>
      <c r="T790" s="3070">
        <f>AJ163</f>
        <v>3</v>
      </c>
      <c r="U790" s="3070"/>
      <c r="V790" s="3070"/>
      <c r="W790" s="3070"/>
      <c r="X790" s="3070"/>
      <c r="Y790" s="3070"/>
      <c r="Z790" s="3200">
        <v>3</v>
      </c>
      <c r="AA790" s="3200"/>
      <c r="AB790" s="3200"/>
      <c r="AC790" s="3200"/>
      <c r="AD790" s="3200"/>
      <c r="AE790" s="3200"/>
      <c r="AF790" s="3201"/>
      <c r="AG790" s="3201"/>
      <c r="AH790" s="3201"/>
      <c r="AI790" s="3201"/>
      <c r="AJ790" s="3201"/>
      <c r="AK790" s="3201"/>
      <c r="AL790" s="1322"/>
      <c r="AM790" s="1216"/>
      <c r="AO790" s="943"/>
    </row>
    <row r="791" spans="1:81">
      <c r="A791" s="1325" t="s">
        <v>1632</v>
      </c>
      <c r="B791" s="3169" t="s">
        <v>1871</v>
      </c>
      <c r="C791" s="3169"/>
      <c r="D791" s="3169"/>
      <c r="E791" s="3169"/>
      <c r="F791" s="3169"/>
      <c r="G791" s="3169"/>
      <c r="H791" s="3169"/>
      <c r="I791" s="3169"/>
      <c r="J791" s="3169"/>
      <c r="K791" s="3169"/>
      <c r="L791" s="3169"/>
      <c r="M791" s="3169"/>
      <c r="N791" s="3169"/>
      <c r="O791" s="3169"/>
      <c r="P791" s="3169"/>
      <c r="Q791" s="3169"/>
      <c r="R791" s="3169"/>
      <c r="S791" s="3170"/>
      <c r="T791" s="3197">
        <f>AK174</f>
        <v>10</v>
      </c>
      <c r="U791" s="3197"/>
      <c r="V791" s="3197"/>
      <c r="W791" s="3197"/>
      <c r="X791" s="3197"/>
      <c r="Y791" s="3197"/>
      <c r="Z791" s="3175">
        <v>10</v>
      </c>
      <c r="AA791" s="3175"/>
      <c r="AB791" s="3175"/>
      <c r="AC791" s="3175"/>
      <c r="AD791" s="3175"/>
      <c r="AE791" s="3175"/>
      <c r="AF791" s="3175">
        <f>IF(T791&gt;Z791,Z791,T791)</f>
        <v>10</v>
      </c>
      <c r="AG791" s="3175"/>
      <c r="AH791" s="3175"/>
      <c r="AI791" s="3175"/>
      <c r="AJ791" s="3175"/>
      <c r="AK791" s="3175"/>
      <c r="AL791" s="1322"/>
      <c r="AM791" s="1216"/>
    </row>
    <row r="792" spans="1:81">
      <c r="A792" s="1323" t="s">
        <v>1641</v>
      </c>
      <c r="B792" s="3169" t="s">
        <v>1642</v>
      </c>
      <c r="C792" s="3169"/>
      <c r="D792" s="3169"/>
      <c r="E792" s="3169"/>
      <c r="F792" s="3169"/>
      <c r="G792" s="3169"/>
      <c r="H792" s="3169"/>
      <c r="I792" s="3169"/>
      <c r="J792" s="3169"/>
      <c r="K792" s="3169"/>
      <c r="L792" s="3169"/>
      <c r="M792" s="3169"/>
      <c r="N792" s="3169"/>
      <c r="O792" s="3169"/>
      <c r="P792" s="3169"/>
      <c r="Q792" s="3169"/>
      <c r="R792" s="3169"/>
      <c r="S792" s="3170"/>
      <c r="T792" s="3197">
        <f>AK256</f>
        <v>8</v>
      </c>
      <c r="U792" s="3197"/>
      <c r="V792" s="3197"/>
      <c r="W792" s="3197"/>
      <c r="X792" s="3197"/>
      <c r="Y792" s="3197"/>
      <c r="Z792" s="3174">
        <v>8</v>
      </c>
      <c r="AA792" s="3172"/>
      <c r="AB792" s="3172"/>
      <c r="AC792" s="3172"/>
      <c r="AD792" s="3172"/>
      <c r="AE792" s="3173"/>
      <c r="AF792" s="3175">
        <f>IF(T792&gt;Z792,Z792,T792)</f>
        <v>8</v>
      </c>
      <c r="AG792" s="3175"/>
      <c r="AH792" s="3175"/>
      <c r="AI792" s="3175"/>
      <c r="AJ792" s="3175"/>
      <c r="AK792" s="3175"/>
      <c r="AL792" s="1322"/>
      <c r="AM792" s="1216"/>
    </row>
    <row r="793" spans="1:81" s="925" customFormat="1" hidden="1">
      <c r="A793" s="1325" t="s">
        <v>624</v>
      </c>
      <c r="B793" s="3169" t="s">
        <v>1872</v>
      </c>
      <c r="C793" s="3169"/>
      <c r="D793" s="3169"/>
      <c r="E793" s="3169"/>
      <c r="F793" s="3169"/>
      <c r="G793" s="3169"/>
      <c r="H793" s="3169"/>
      <c r="I793" s="3169"/>
      <c r="J793" s="3169"/>
      <c r="K793" s="3169"/>
      <c r="L793" s="3169"/>
      <c r="M793" s="3169"/>
      <c r="N793" s="3169"/>
      <c r="O793" s="3169"/>
      <c r="P793" s="3169"/>
      <c r="Q793" s="3169"/>
      <c r="R793" s="3169"/>
      <c r="S793" s="3170"/>
      <c r="T793" s="3197">
        <f>IF(AK750&gt;5,5,AK750)</f>
        <v>0</v>
      </c>
      <c r="U793" s="3197"/>
      <c r="V793" s="3197"/>
      <c r="W793" s="3197"/>
      <c r="X793" s="3197"/>
      <c r="Y793" s="3197"/>
      <c r="Z793" s="3175">
        <v>5</v>
      </c>
      <c r="AA793" s="3175"/>
      <c r="AB793" s="3175"/>
      <c r="AC793" s="3175"/>
      <c r="AD793" s="3175"/>
      <c r="AE793" s="3175"/>
      <c r="AF793" s="3175">
        <f>IF(T793&gt;Z793,5,T793)</f>
        <v>0</v>
      </c>
      <c r="AG793" s="3175"/>
      <c r="AH793" s="3175"/>
      <c r="AI793" s="3175"/>
      <c r="AJ793" s="3175"/>
      <c r="AK793" s="3175"/>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169" t="s">
        <v>1873</v>
      </c>
      <c r="C794" s="3169"/>
      <c r="D794" s="3169"/>
      <c r="E794" s="3169"/>
      <c r="F794" s="3169"/>
      <c r="G794" s="3169"/>
      <c r="H794" s="3169"/>
      <c r="I794" s="3169"/>
      <c r="J794" s="3169"/>
      <c r="K794" s="3169"/>
      <c r="L794" s="3169"/>
      <c r="M794" s="3169"/>
      <c r="N794" s="3169"/>
      <c r="O794" s="3169"/>
      <c r="P794" s="3169"/>
      <c r="Q794" s="3169"/>
      <c r="R794" s="3169"/>
      <c r="S794" s="3170"/>
      <c r="T794" s="3197">
        <f>AK267</f>
        <v>10</v>
      </c>
      <c r="U794" s="3197"/>
      <c r="V794" s="3197"/>
      <c r="W794" s="3197"/>
      <c r="X794" s="3197"/>
      <c r="Y794" s="3197"/>
      <c r="Z794" s="3175">
        <v>10</v>
      </c>
      <c r="AA794" s="3175"/>
      <c r="AB794" s="3175"/>
      <c r="AC794" s="3175"/>
      <c r="AD794" s="3175"/>
      <c r="AE794" s="3175"/>
      <c r="AF794" s="3204">
        <f>IF(T794&gt;Z794,Z794,T794)</f>
        <v>10</v>
      </c>
      <c r="AG794" s="3205"/>
      <c r="AH794" s="3205"/>
      <c r="AI794" s="3205"/>
      <c r="AJ794" s="3205"/>
      <c r="AK794" s="3206"/>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169" t="s">
        <v>1652</v>
      </c>
      <c r="C795" s="3169"/>
      <c r="D795" s="3169"/>
      <c r="E795" s="3169"/>
      <c r="F795" s="3169"/>
      <c r="G795" s="3169"/>
      <c r="H795" s="3169"/>
      <c r="I795" s="3169"/>
      <c r="J795" s="3169"/>
      <c r="K795" s="3169"/>
      <c r="L795" s="3169"/>
      <c r="M795" s="3169"/>
      <c r="N795" s="3169"/>
      <c r="O795" s="3169"/>
      <c r="P795" s="3169"/>
      <c r="Q795" s="3169"/>
      <c r="R795" s="3169"/>
      <c r="S795" s="3170"/>
      <c r="T795" s="3197">
        <f>AK553</f>
        <v>19</v>
      </c>
      <c r="U795" s="3197"/>
      <c r="V795" s="3197"/>
      <c r="W795" s="3197"/>
      <c r="X795" s="3197"/>
      <c r="Y795" s="3197"/>
      <c r="Z795" s="3204">
        <v>20</v>
      </c>
      <c r="AA795" s="3205"/>
      <c r="AB795" s="3205"/>
      <c r="AC795" s="3205"/>
      <c r="AD795" s="3205"/>
      <c r="AE795" s="3206"/>
      <c r="AF795" s="3204">
        <f>IF(T795&gt;Z795,Z795,T795)</f>
        <v>19</v>
      </c>
      <c r="AG795" s="3219"/>
      <c r="AH795" s="3219"/>
      <c r="AI795" s="3219"/>
      <c r="AJ795" s="3219"/>
      <c r="AK795" s="3220"/>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70">
        <f>AK320</f>
        <v>9</v>
      </c>
      <c r="U796" s="3070"/>
      <c r="V796" s="3070"/>
      <c r="W796" s="3070"/>
      <c r="X796" s="3070"/>
      <c r="Y796" s="3070"/>
      <c r="Z796" s="3074">
        <v>20</v>
      </c>
      <c r="AA796" s="3075"/>
      <c r="AB796" s="3075"/>
      <c r="AC796" s="3075"/>
      <c r="AD796" s="3075"/>
      <c r="AE796" s="3076"/>
      <c r="AF796" s="3201"/>
      <c r="AG796" s="3201"/>
      <c r="AH796" s="3201"/>
      <c r="AI796" s="3201"/>
      <c r="AJ796" s="3201"/>
      <c r="AK796" s="3201"/>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70">
        <f>AK551</f>
        <v>10</v>
      </c>
      <c r="U797" s="3070"/>
      <c r="V797" s="3070"/>
      <c r="W797" s="3070"/>
      <c r="X797" s="3070"/>
      <c r="Y797" s="3070"/>
      <c r="Z797" s="3074">
        <v>10</v>
      </c>
      <c r="AA797" s="3075"/>
      <c r="AB797" s="3075"/>
      <c r="AC797" s="3075"/>
      <c r="AD797" s="3075"/>
      <c r="AE797" s="3076"/>
      <c r="AF797" s="3201"/>
      <c r="AG797" s="3201"/>
      <c r="AH797" s="3201"/>
      <c r="AI797" s="3201"/>
      <c r="AJ797" s="3201"/>
      <c r="AK797" s="3201"/>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169" t="s">
        <v>908</v>
      </c>
      <c r="C798" s="3169"/>
      <c r="D798" s="3169"/>
      <c r="E798" s="3169"/>
      <c r="F798" s="3169"/>
      <c r="G798" s="3169"/>
      <c r="H798" s="3169"/>
      <c r="I798" s="3169"/>
      <c r="J798" s="3169"/>
      <c r="K798" s="3169"/>
      <c r="L798" s="3169"/>
      <c r="M798" s="3169"/>
      <c r="N798" s="3169"/>
      <c r="O798" s="3169"/>
      <c r="P798" s="3169"/>
      <c r="Q798" s="3169"/>
      <c r="R798" s="3169"/>
      <c r="S798" s="3170"/>
      <c r="T798" s="3197">
        <f>AK684</f>
        <v>10</v>
      </c>
      <c r="U798" s="3197"/>
      <c r="V798" s="3197"/>
      <c r="W798" s="3197"/>
      <c r="X798" s="3197"/>
      <c r="Y798" s="3197"/>
      <c r="Z798" s="3204">
        <v>10</v>
      </c>
      <c r="AA798" s="3205"/>
      <c r="AB798" s="3205"/>
      <c r="AC798" s="3205"/>
      <c r="AD798" s="3205"/>
      <c r="AE798" s="3206"/>
      <c r="AF798" s="3175">
        <f>IF(T798&gt;Z798,Z798,T798)</f>
        <v>10</v>
      </c>
      <c r="AG798" s="3175"/>
      <c r="AH798" s="3175"/>
      <c r="AI798" s="3175"/>
      <c r="AJ798" s="3175"/>
      <c r="AK798" s="3175"/>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169" t="s">
        <v>1851</v>
      </c>
      <c r="C799" s="3169"/>
      <c r="D799" s="3169"/>
      <c r="E799" s="3169"/>
      <c r="F799" s="3169"/>
      <c r="G799" s="3169"/>
      <c r="H799" s="3169"/>
      <c r="I799" s="3169"/>
      <c r="J799" s="3169"/>
      <c r="K799" s="3169"/>
      <c r="L799" s="3169"/>
      <c r="M799" s="3169"/>
      <c r="N799" s="3169"/>
      <c r="O799" s="3169"/>
      <c r="P799" s="3169"/>
      <c r="Q799" s="3169"/>
      <c r="R799" s="3169"/>
      <c r="S799" s="3170"/>
      <c r="T799" s="3197">
        <f>AK774</f>
        <v>12</v>
      </c>
      <c r="U799" s="3197"/>
      <c r="V799" s="3197"/>
      <c r="W799" s="3197"/>
      <c r="X799" s="3197"/>
      <c r="Y799" s="3197"/>
      <c r="Z799" s="3204">
        <v>12</v>
      </c>
      <c r="AA799" s="3205"/>
      <c r="AB799" s="3205"/>
      <c r="AC799" s="3205"/>
      <c r="AD799" s="3205"/>
      <c r="AE799" s="3206"/>
      <c r="AF799" s="3175">
        <f>IF(T799&gt;Z799,Z799,T799)</f>
        <v>12</v>
      </c>
      <c r="AG799" s="3175"/>
      <c r="AH799" s="3175"/>
      <c r="AI799" s="3175"/>
      <c r="AJ799" s="3175"/>
      <c r="AK799" s="3175"/>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2" t="s">
        <v>1876</v>
      </c>
      <c r="B800" s="3169"/>
      <c r="C800" s="3169"/>
      <c r="D800" s="3169"/>
      <c r="E800" s="3169"/>
      <c r="F800" s="3169"/>
      <c r="G800" s="3169"/>
      <c r="H800" s="3169"/>
      <c r="I800" s="3169"/>
      <c r="J800" s="3169"/>
      <c r="K800" s="3169"/>
      <c r="L800" s="3169"/>
      <c r="M800" s="3169"/>
      <c r="N800" s="3169"/>
      <c r="O800" s="3169"/>
      <c r="P800" s="3169"/>
      <c r="Q800" s="3169"/>
      <c r="R800" s="3169"/>
      <c r="S800" s="3170"/>
      <c r="T800" s="3203"/>
      <c r="U800" s="3203"/>
      <c r="V800" s="3203"/>
      <c r="W800" s="3203"/>
      <c r="X800" s="3203"/>
      <c r="Y800" s="3203"/>
      <c r="Z800" s="3200" t="s">
        <v>1877</v>
      </c>
      <c r="AA800" s="3200"/>
      <c r="AB800" s="3200"/>
      <c r="AC800" s="3200"/>
      <c r="AD800" s="3200"/>
      <c r="AE800" s="3200"/>
      <c r="AF800" s="3204">
        <f>IF(T800&gt;0,T800,0)</f>
        <v>0</v>
      </c>
      <c r="AG800" s="3205"/>
      <c r="AH800" s="3205"/>
      <c r="AI800" s="3205"/>
      <c r="AJ800" s="3205"/>
      <c r="AK800" s="3206"/>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07" t="s">
        <v>1878</v>
      </c>
      <c r="B801" s="3208"/>
      <c r="C801" s="3208"/>
      <c r="D801" s="3208"/>
      <c r="E801" s="3208"/>
      <c r="F801" s="3208"/>
      <c r="G801" s="3208"/>
      <c r="H801" s="3208"/>
      <c r="I801" s="3208"/>
      <c r="J801" s="3208"/>
      <c r="K801" s="3208"/>
      <c r="L801" s="3208"/>
      <c r="M801" s="3208"/>
      <c r="N801" s="3208"/>
      <c r="O801" s="3208"/>
      <c r="P801" s="3208"/>
      <c r="Q801" s="3208"/>
      <c r="R801" s="3208"/>
      <c r="S801" s="3208"/>
      <c r="T801" s="3208"/>
      <c r="U801" s="3208"/>
      <c r="V801" s="3208"/>
      <c r="W801" s="3208"/>
      <c r="X801" s="3208"/>
      <c r="Y801" s="3208"/>
      <c r="Z801" s="3208"/>
      <c r="AA801" s="3208"/>
      <c r="AB801" s="3208"/>
      <c r="AC801" s="3208"/>
      <c r="AD801" s="3208"/>
      <c r="AE801" s="3209"/>
      <c r="AF801" s="3213">
        <f ca="1">SUM(AF784:AK799)-AF800</f>
        <v>119</v>
      </c>
      <c r="AG801" s="3214"/>
      <c r="AH801" s="3214"/>
      <c r="AI801" s="3214"/>
      <c r="AJ801" s="3214"/>
      <c r="AK801" s="3215"/>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10"/>
      <c r="B802" s="3211"/>
      <c r="C802" s="3211"/>
      <c r="D802" s="3211"/>
      <c r="E802" s="3211"/>
      <c r="F802" s="3211"/>
      <c r="G802" s="3211"/>
      <c r="H802" s="3211"/>
      <c r="I802" s="3211"/>
      <c r="J802" s="3211"/>
      <c r="K802" s="3211"/>
      <c r="L802" s="3211"/>
      <c r="M802" s="3211"/>
      <c r="N802" s="3211"/>
      <c r="O802" s="3211"/>
      <c r="P802" s="3211"/>
      <c r="Q802" s="3211"/>
      <c r="R802" s="3211"/>
      <c r="S802" s="3211"/>
      <c r="T802" s="3211"/>
      <c r="U802" s="3211"/>
      <c r="V802" s="3211"/>
      <c r="W802" s="3211"/>
      <c r="X802" s="3211"/>
      <c r="Y802" s="3211"/>
      <c r="Z802" s="3211"/>
      <c r="AA802" s="3211"/>
      <c r="AB802" s="3211"/>
      <c r="AC802" s="3211"/>
      <c r="AD802" s="3211"/>
      <c r="AE802" s="3212"/>
      <c r="AF802" s="3216"/>
      <c r="AG802" s="3217"/>
      <c r="AH802" s="3217"/>
      <c r="AI802" s="3217"/>
      <c r="AJ802" s="3217"/>
      <c r="AK802" s="3218"/>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AB206:AG206"/>
    <mergeCell ref="I209:K209"/>
    <mergeCell ref="I210:K210"/>
    <mergeCell ref="N213:R213"/>
    <mergeCell ref="I211:K211"/>
    <mergeCell ref="I212:K212"/>
    <mergeCell ref="I213:K213"/>
    <mergeCell ref="AB205:AG205"/>
    <mergeCell ref="AB207:AG207"/>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AK553:AM553"/>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K166:AM166"/>
    <mergeCell ref="AE169:AK169"/>
    <mergeCell ref="B171:AC171"/>
    <mergeCell ref="AF171:AL171"/>
    <mergeCell ref="B172:S172"/>
    <mergeCell ref="T172:AC172"/>
    <mergeCell ref="C153:AI153"/>
    <mergeCell ref="AC155:AD155"/>
    <mergeCell ref="C157:AD157"/>
    <mergeCell ref="C161:AD161"/>
    <mergeCell ref="AJ163:AK163"/>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30:AG230"/>
    <mergeCell ref="AB208:AG208"/>
    <mergeCell ref="I214:K214"/>
    <mergeCell ref="B193:AB193"/>
    <mergeCell ref="T207:Y207"/>
    <mergeCell ref="T206:Y206"/>
    <mergeCell ref="I215:K215"/>
    <mergeCell ref="I216:K216"/>
    <mergeCell ref="N206:R206"/>
    <mergeCell ref="N207:R207"/>
    <mergeCell ref="E93:H93"/>
    <mergeCell ref="J112:M112"/>
    <mergeCell ref="O112:R112"/>
    <mergeCell ref="T112:W112"/>
    <mergeCell ref="Y112:AB112"/>
    <mergeCell ref="B188:AB188"/>
    <mergeCell ref="B189:AB189"/>
    <mergeCell ref="B190:AB190"/>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103:AJ110"/>
    <mergeCell ref="B103:C103"/>
    <mergeCell ref="AE100:AK100"/>
    <mergeCell ref="B69:C69"/>
    <mergeCell ref="E69:AJ70"/>
    <mergeCell ref="E67:F67"/>
    <mergeCell ref="E83:H83"/>
    <mergeCell ref="B86:C86"/>
    <mergeCell ref="E86:AJ89"/>
    <mergeCell ref="E91:H91"/>
    <mergeCell ref="E92:H92"/>
    <mergeCell ref="AD112:AG11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19:AJ19"/>
    <mergeCell ref="B21:C21"/>
    <mergeCell ref="E21:AJ22"/>
    <mergeCell ref="B24:C24"/>
    <mergeCell ref="E24:AJ25"/>
    <mergeCell ref="B29:C29"/>
    <mergeCell ref="E29:AJ31"/>
    <mergeCell ref="AE54:AK54"/>
    <mergeCell ref="B57:C57"/>
    <mergeCell ref="E57:AJ60"/>
    <mergeCell ref="B62:C62"/>
    <mergeCell ref="E63:F63"/>
    <mergeCell ref="B182:AB182"/>
    <mergeCell ref="E124:H124"/>
    <mergeCell ref="J124:M124"/>
    <mergeCell ref="O124:R124"/>
    <mergeCell ref="T124:W124"/>
    <mergeCell ref="Y124:AB124"/>
    <mergeCell ref="AD124:AG124"/>
    <mergeCell ref="T118:W118"/>
    <mergeCell ref="Y118:AB118"/>
    <mergeCell ref="AD118:AG118"/>
    <mergeCell ref="E127:H127"/>
    <mergeCell ref="B141:AI141"/>
    <mergeCell ref="AB143:AC143"/>
    <mergeCell ref="B146:AJ146"/>
    <mergeCell ref="AJ149:AK149"/>
    <mergeCell ref="AK72:AM72"/>
    <mergeCell ref="AE75:AK75"/>
    <mergeCell ref="B78:C78"/>
    <mergeCell ref="E78:AJ79"/>
    <mergeCell ref="E81:H81"/>
    <mergeCell ref="E82:H82"/>
    <mergeCell ref="E64:F64"/>
    <mergeCell ref="E65:F65"/>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Jonathan Emami</cp:lastModifiedBy>
  <cp:lastPrinted>2021-09-09T19:55:35Z</cp:lastPrinted>
  <dcterms:created xsi:type="dcterms:W3CDTF">2007-12-27T18:26:28Z</dcterms:created>
  <dcterms:modified xsi:type="dcterms:W3CDTF">2021-09-09T20:29:40Z</dcterms:modified>
</cp:coreProperties>
</file>