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Development\Projects\Juniper Valley Townhomes (Palmdale)\TCAC Application\"/>
    </mc:Choice>
  </mc:AlternateContent>
  <bookViews>
    <workbookView xWindow="-120" yWindow="-120" windowWidth="29040" windowHeight="1584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F84" i="4" l="1"/>
  <c r="AM567" i="3" l="1"/>
  <c r="F61" i="4" l="1"/>
  <c r="F95" i="4"/>
  <c r="F94" i="4"/>
  <c r="F93" i="4"/>
  <c r="F92" i="4"/>
  <c r="F91" i="4"/>
  <c r="F90" i="4"/>
  <c r="F89" i="4"/>
  <c r="F88" i="4"/>
  <c r="F86" i="4"/>
  <c r="F85" i="4"/>
  <c r="F80" i="4"/>
  <c r="F79" i="4"/>
  <c r="F75" i="4"/>
  <c r="F69" i="4"/>
  <c r="F65" i="4"/>
  <c r="F58" i="4"/>
  <c r="F56" i="4"/>
  <c r="F53" i="4"/>
  <c r="F52" i="4"/>
  <c r="F51" i="4"/>
  <c r="F50" i="4"/>
  <c r="F49" i="4"/>
  <c r="F48" i="4"/>
  <c r="F46" i="4"/>
  <c r="F45" i="4"/>
  <c r="F35" i="4"/>
  <c r="F33" i="4"/>
  <c r="F32" i="4"/>
  <c r="F31" i="4"/>
  <c r="F29" i="4"/>
  <c r="F10" i="4"/>
  <c r="F6" i="4"/>
  <c r="F4" i="4"/>
  <c r="E99" i="4"/>
  <c r="C94" i="4"/>
  <c r="E30" i="4" l="1"/>
  <c r="F30" i="4" s="1"/>
  <c r="AJ1004" i="3"/>
  <c r="AA933" i="3"/>
  <c r="AA915" i="3"/>
  <c r="AF637" i="3"/>
  <c r="R637" i="3"/>
  <c r="O637" i="3"/>
  <c r="Q500" i="3"/>
  <c r="AG447" i="3"/>
  <c r="AG445" i="3"/>
  <c r="AG442" i="3"/>
  <c r="AG441" i="3"/>
  <c r="C43" i="4" l="1"/>
  <c r="F43" i="4" s="1"/>
  <c r="C40" i="4"/>
  <c r="F40" i="4" s="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A28" i="7" l="1"/>
  <c r="O28" i="7"/>
  <c r="Y28" i="7"/>
  <c r="M28" i="7"/>
  <c r="W28" i="7"/>
  <c r="K28" i="7"/>
  <c r="AG28" i="7"/>
  <c r="U28" i="7"/>
  <c r="I28" i="7"/>
  <c r="AE28" i="7"/>
  <c r="S28" i="7"/>
  <c r="G28" i="7"/>
  <c r="AC28" i="7"/>
  <c r="Q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S84" i="4" s="1"/>
  <c r="E84" i="13" s="1"/>
  <c r="F84" i="13" s="1"/>
  <c r="T25" i="15"/>
  <c r="AI7" i="15" s="1"/>
  <c r="AG440" i="3"/>
  <c r="AG443" i="3"/>
  <c r="B59" i="4"/>
  <c r="C80" i="11"/>
  <c r="C81" i="11"/>
  <c r="B80" i="11"/>
  <c r="B81" i="11"/>
  <c r="I96" i="13"/>
  <c r="J96" i="13"/>
  <c r="J81" i="13"/>
  <c r="I81" i="13"/>
  <c r="G81" i="13"/>
  <c r="D81" i="13"/>
  <c r="H80" i="13"/>
  <c r="B80" i="13"/>
  <c r="C80" i="13" s="1"/>
  <c r="R80" i="4"/>
  <c r="R79" i="4"/>
  <c r="S79" i="4"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2" i="13"/>
  <c r="F92" i="13" s="1"/>
  <c r="E91" i="13"/>
  <c r="E87" i="13"/>
  <c r="E85" i="13"/>
  <c r="F85" i="13" s="1"/>
  <c r="E79" i="13"/>
  <c r="F79" i="13" s="1"/>
  <c r="E50" i="13"/>
  <c r="F50" i="13" s="1"/>
  <c r="E49" i="13"/>
  <c r="E47" i="13"/>
  <c r="E45" i="13"/>
  <c r="F45" i="13" s="1"/>
  <c r="E43" i="13"/>
  <c r="F43" i="13" s="1"/>
  <c r="E41" i="13"/>
  <c r="E37" i="13"/>
  <c r="E34" i="13"/>
  <c r="E33" i="13"/>
  <c r="F33"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C96" i="13" s="1"/>
  <c r="B83" i="13"/>
  <c r="B79" i="13"/>
  <c r="C79" i="13" s="1"/>
  <c r="C81" i="13" s="1"/>
  <c r="B76" i="13"/>
  <c r="B75" i="13"/>
  <c r="C75" i="13" s="1"/>
  <c r="B74" i="13"/>
  <c r="B73" i="13"/>
  <c r="B72" i="13"/>
  <c r="B70" i="13"/>
  <c r="B65" i="13"/>
  <c r="C65" i="13" s="1"/>
  <c r="B61" i="13"/>
  <c r="C61" i="13" s="1"/>
  <c r="B60" i="13"/>
  <c r="B59" i="13"/>
  <c r="B58" i="13"/>
  <c r="C58" i="13" s="1"/>
  <c r="C62" i="13" s="1"/>
  <c r="B57" i="13"/>
  <c r="B56" i="13"/>
  <c r="C56" i="13" s="1"/>
  <c r="B53" i="13"/>
  <c r="C53" i="13" s="1"/>
  <c r="B52" i="13"/>
  <c r="C52" i="13" s="1"/>
  <c r="B51" i="13"/>
  <c r="C51" i="13" s="1"/>
  <c r="B50" i="13"/>
  <c r="C50" i="13" s="1"/>
  <c r="B49" i="13"/>
  <c r="C49" i="13" s="1"/>
  <c r="B48" i="13"/>
  <c r="C48" i="13" s="1"/>
  <c r="B47" i="13"/>
  <c r="B46" i="13"/>
  <c r="C46" i="13" s="1"/>
  <c r="B45" i="13"/>
  <c r="C45" i="13" s="1"/>
  <c r="C54" i="13" s="1"/>
  <c r="B43" i="13"/>
  <c r="C43" i="13" s="1"/>
  <c r="C42" i="4"/>
  <c r="B42" i="13" s="1"/>
  <c r="B41" i="13"/>
  <c r="B40" i="13"/>
  <c r="C40" i="13" s="1"/>
  <c r="B37" i="13"/>
  <c r="B35" i="13"/>
  <c r="C35" i="13" s="1"/>
  <c r="B34" i="13"/>
  <c r="B33" i="13"/>
  <c r="C33" i="13" s="1"/>
  <c r="B32" i="13"/>
  <c r="C32" i="13" s="1"/>
  <c r="B31" i="13"/>
  <c r="C31" i="13" s="1"/>
  <c r="B30" i="13"/>
  <c r="C30" i="13" s="1"/>
  <c r="B29" i="13"/>
  <c r="C29" i="13" s="1"/>
  <c r="C38" i="13" s="1"/>
  <c r="B27" i="13"/>
  <c r="B25" i="13"/>
  <c r="B23" i="13"/>
  <c r="B22" i="13"/>
  <c r="B21" i="13"/>
  <c r="B20" i="13"/>
  <c r="B19" i="13"/>
  <c r="B18" i="13"/>
  <c r="B17" i="13"/>
  <c r="B5" i="13"/>
  <c r="B6" i="13"/>
  <c r="C6" i="13" s="1"/>
  <c r="B7" i="13"/>
  <c r="C8" i="4"/>
  <c r="B8" i="13" s="1"/>
  <c r="B9" i="13"/>
  <c r="B10" i="13"/>
  <c r="C10" i="13" s="1"/>
  <c r="B13" i="13"/>
  <c r="B14" i="13"/>
  <c r="B15" i="13"/>
  <c r="B4" i="13"/>
  <c r="C4" i="13" s="1"/>
  <c r="C8" i="13" s="1"/>
  <c r="J104" i="13"/>
  <c r="I104" i="13"/>
  <c r="G104" i="13"/>
  <c r="D104" i="13"/>
  <c r="C104" i="13"/>
  <c r="G96" i="13"/>
  <c r="D96" i="13"/>
  <c r="D77" i="13"/>
  <c r="C77" i="13"/>
  <c r="J70" i="13"/>
  <c r="I70" i="13"/>
  <c r="G70" i="13"/>
  <c r="D70" i="13"/>
  <c r="C70" i="13"/>
  <c r="D62" i="13"/>
  <c r="J54" i="13"/>
  <c r="I54" i="13"/>
  <c r="G54" i="13"/>
  <c r="D54" i="13"/>
  <c r="J42" i="13"/>
  <c r="I42" i="13"/>
  <c r="G42" i="13"/>
  <c r="F26" i="13"/>
  <c r="D42" i="13"/>
  <c r="C42" i="13"/>
  <c r="J38" i="13"/>
  <c r="I38" i="13"/>
  <c r="G38" i="13"/>
  <c r="D38" i="13"/>
  <c r="J26" i="13"/>
  <c r="I26" i="13"/>
  <c r="I11" i="13"/>
  <c r="G26" i="13"/>
  <c r="D26" i="13"/>
  <c r="C26" i="13"/>
  <c r="J11" i="13"/>
  <c r="D11" i="13"/>
  <c r="C11" i="13"/>
  <c r="D8" i="13"/>
  <c r="T104" i="4"/>
  <c r="H104" i="13" s="1"/>
  <c r="R103" i="4"/>
  <c r="R102" i="4"/>
  <c r="R101" i="4"/>
  <c r="R99" i="4"/>
  <c r="S99" i="4" s="1"/>
  <c r="S104" i="4" s="1"/>
  <c r="E104" i="13" s="1"/>
  <c r="R95" i="4"/>
  <c r="S95" i="4" s="1"/>
  <c r="E95" i="13" s="1"/>
  <c r="F95" i="13" s="1"/>
  <c r="R94" i="4"/>
  <c r="R93" i="4"/>
  <c r="S93" i="4" s="1"/>
  <c r="E93" i="13" s="1"/>
  <c r="F93" i="13" s="1"/>
  <c r="R92" i="4"/>
  <c r="S92" i="4" s="1"/>
  <c r="R90" i="4"/>
  <c r="S90" i="4" s="1"/>
  <c r="E90" i="13" s="1"/>
  <c r="F90" i="13" s="1"/>
  <c r="R89" i="4"/>
  <c r="S89" i="4" s="1"/>
  <c r="E89" i="13" s="1"/>
  <c r="F89" i="13" s="1"/>
  <c r="R88" i="4"/>
  <c r="R87" i="4"/>
  <c r="R86" i="4"/>
  <c r="S86" i="4" s="1"/>
  <c r="E86" i="13" s="1"/>
  <c r="F86" i="13" s="1"/>
  <c r="R85" i="4"/>
  <c r="S85" i="4" s="1"/>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S51" i="4" s="1"/>
  <c r="E51" i="13" s="1"/>
  <c r="F51" i="13" s="1"/>
  <c r="R50" i="4"/>
  <c r="S50" i="4" s="1"/>
  <c r="R49" i="4"/>
  <c r="R48" i="4"/>
  <c r="S48" i="4" s="1"/>
  <c r="E48" i="13" s="1"/>
  <c r="F48" i="13" s="1"/>
  <c r="R47" i="4"/>
  <c r="R46" i="4"/>
  <c r="S46" i="4" s="1"/>
  <c r="E46" i="13" s="1"/>
  <c r="F46" i="13" s="1"/>
  <c r="F54" i="13" s="1"/>
  <c r="R45" i="4"/>
  <c r="R43" i="4"/>
  <c r="S43" i="4" s="1"/>
  <c r="R41" i="4"/>
  <c r="R40" i="4"/>
  <c r="S40" i="4" s="1"/>
  <c r="E40" i="13" s="1"/>
  <c r="F40" i="13" s="1"/>
  <c r="F42" i="13" s="1"/>
  <c r="R37" i="4"/>
  <c r="R35" i="4"/>
  <c r="S35" i="4" s="1"/>
  <c r="E35" i="13" s="1"/>
  <c r="F35" i="13" s="1"/>
  <c r="R34" i="4"/>
  <c r="R33" i="4"/>
  <c r="S33" i="4" s="1"/>
  <c r="R32" i="4"/>
  <c r="S32" i="4" s="1"/>
  <c r="E32" i="13" s="1"/>
  <c r="F32" i="13" s="1"/>
  <c r="R31" i="4"/>
  <c r="S31" i="4" s="1"/>
  <c r="E31" i="13" s="1"/>
  <c r="F31" i="13" s="1"/>
  <c r="R30" i="4"/>
  <c r="S30" i="4" s="1"/>
  <c r="E30" i="13" s="1"/>
  <c r="F30" i="13" s="1"/>
  <c r="R29" i="4"/>
  <c r="S29" i="4" s="1"/>
  <c r="E29" i="13" s="1"/>
  <c r="F29" i="13" s="1"/>
  <c r="F38"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96" i="13" l="1"/>
  <c r="S38" i="4"/>
  <c r="E38" i="13" s="1"/>
  <c r="E65" i="13"/>
  <c r="F65" i="13" s="1"/>
  <c r="F70" i="13" s="1"/>
  <c r="R81" i="4"/>
  <c r="S80" i="4"/>
  <c r="S96" i="4"/>
  <c r="E96" i="13" s="1"/>
  <c r="E99" i="13"/>
  <c r="F99" i="13" s="1"/>
  <c r="F104" i="13" s="1"/>
  <c r="B54" i="4"/>
  <c r="E6" i="21"/>
  <c r="E92" i="20"/>
  <c r="D30" i="11"/>
  <c r="N153" i="23"/>
  <c r="D51" i="11"/>
  <c r="B77" i="4"/>
  <c r="B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80" i="13" l="1"/>
  <c r="F80" i="13" s="1"/>
  <c r="F81" i="13" s="1"/>
  <c r="F97" i="13" s="1"/>
  <c r="F105" i="13" s="1"/>
  <c r="F107" i="13" s="1"/>
  <c r="S81" i="4"/>
  <c r="E81" i="13" s="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5" i="3"/>
  <c r="T11" i="15"/>
  <c r="T23" i="15" s="1"/>
  <c r="Y64" i="15" s="1"/>
  <c r="AC453" i="3"/>
  <c r="AB47" i="15"/>
  <c r="AB49" i="15" s="1"/>
  <c r="AD11" i="15" l="1"/>
  <c r="AD23" i="15" s="1"/>
  <c r="AD26" i="15" s="1"/>
  <c r="AD28" i="15" s="1"/>
  <c r="AI11" i="15"/>
  <c r="AI23" i="15" s="1"/>
  <c r="AI26" i="15" s="1"/>
  <c r="AI28" i="15" s="1"/>
  <c r="AJ1028" i="3"/>
  <c r="AJ1024" i="3"/>
  <c r="C106" i="11"/>
  <c r="D106" i="11"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Y68" i="15"/>
  <c r="T26" i="15"/>
  <c r="T28" i="15" s="1"/>
  <c r="T29" i="15" s="1"/>
  <c r="AB54" i="15"/>
  <c r="AB55" i="15" s="1"/>
  <c r="AZ846" i="3" l="1"/>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AB57" i="15" l="1"/>
  <c r="AB59" i="15" s="1"/>
  <c r="AB76" i="15" s="1"/>
  <c r="AB77" i="15" s="1"/>
  <c r="E3" i="21" s="1"/>
  <c r="E7" i="21" s="1"/>
  <c r="E18" i="21" s="1"/>
  <c r="Q5" i="7"/>
  <c r="O44" i="7"/>
  <c r="O48" i="7"/>
  <c r="W21" i="7"/>
  <c r="W34" i="7" s="1"/>
  <c r="Y14" i="7"/>
  <c r="W8" i="7"/>
  <c r="U9" i="7"/>
  <c r="M47" i="7"/>
  <c r="M46" i="7"/>
  <c r="U4" i="7"/>
  <c r="S5" i="7"/>
  <c r="Q7" i="7"/>
  <c r="S6" i="7"/>
  <c r="AB78" i="15" l="1"/>
  <c r="AB80" i="15" s="1"/>
  <c r="J81" i="15" s="1"/>
  <c r="M27" i="3"/>
  <c r="P204" i="3" s="1"/>
  <c r="P203" i="3" s="1"/>
  <c r="Q10" i="7"/>
  <c r="Q36" i="7" s="1"/>
  <c r="Q48" i="7" s="1"/>
  <c r="W4" i="7"/>
  <c r="U5" i="7"/>
  <c r="Y8" i="7"/>
  <c r="W9" i="7"/>
  <c r="Y21" i="7"/>
  <c r="Y34" i="7" s="1"/>
  <c r="AA14" i="7"/>
  <c r="S7" i="7"/>
  <c r="S10" i="7" s="1"/>
  <c r="S36" i="7" s="1"/>
  <c r="U6" i="7"/>
  <c r="O46" i="7"/>
  <c r="O47" i="7"/>
  <c r="Q44" i="7" l="1"/>
  <c r="Q46" i="7" s="1"/>
  <c r="S44" i="7"/>
  <c r="S48" i="7"/>
  <c r="W6" i="7"/>
  <c r="U7" i="7"/>
  <c r="U10" i="7" s="1"/>
  <c r="U36" i="7" s="1"/>
  <c r="Y4" i="7"/>
  <c r="W5" i="7"/>
  <c r="AA21" i="7"/>
  <c r="AA34" i="7" s="1"/>
  <c r="AC14" i="7"/>
  <c r="Y9" i="7"/>
  <c r="AA8" i="7"/>
  <c r="Q47" i="7" l="1"/>
  <c r="U44" i="7"/>
  <c r="U48" i="7"/>
  <c r="AE14" i="7"/>
  <c r="AC21" i="7"/>
  <c r="AC34" i="7" s="1"/>
  <c r="W7" i="7"/>
  <c r="W10" i="7" s="1"/>
  <c r="W36" i="7" s="1"/>
  <c r="Y6" i="7"/>
  <c r="AA4" i="7"/>
  <c r="Y5" i="7"/>
  <c r="AA9" i="7"/>
  <c r="AC8" i="7"/>
  <c r="S47" i="7"/>
  <c r="S46" i="7"/>
  <c r="AA6" i="7" l="1"/>
  <c r="Y7" i="7"/>
  <c r="Y10" i="7" s="1"/>
  <c r="Y36" i="7" s="1"/>
  <c r="AE8" i="7"/>
  <c r="AC9" i="7"/>
  <c r="AC4" i="7"/>
  <c r="AA5" i="7"/>
  <c r="W48" i="7"/>
  <c r="W44" i="7"/>
  <c r="AG14" i="7"/>
  <c r="AG21" i="7" s="1"/>
  <c r="AG34" i="7" s="1"/>
  <c r="AE21" i="7"/>
  <c r="AE34" i="7" s="1"/>
  <c r="U47" i="7"/>
  <c r="U46" i="7"/>
  <c r="W46" i="7" l="1"/>
  <c r="W47" i="7"/>
  <c r="Y44" i="7"/>
  <c r="Y48" i="7"/>
  <c r="AE4" i="7"/>
  <c r="AC5" i="7"/>
  <c r="AE9" i="7"/>
  <c r="AG8" i="7"/>
  <c r="AG9" i="7" s="1"/>
  <c r="AA7" i="7"/>
  <c r="AA10" i="7" s="1"/>
  <c r="AA36" i="7" s="1"/>
  <c r="AC6" i="7"/>
  <c r="AA48" i="7" l="1"/>
  <c r="AA44" i="7"/>
  <c r="AE5" i="7"/>
  <c r="AG4" i="7"/>
  <c r="Y47" i="7"/>
  <c r="Y46" i="7"/>
  <c r="AC7" i="7"/>
  <c r="AC10" i="7" s="1"/>
  <c r="AC36" i="7" s="1"/>
  <c r="AE6" i="7"/>
  <c r="AE7" i="7" l="1"/>
  <c r="AE10" i="7" s="1"/>
  <c r="AE36" i="7" s="1"/>
  <c r="AG6" i="7"/>
  <c r="AG7" i="7" s="1"/>
  <c r="AC44" i="7"/>
  <c r="AC48" i="7"/>
  <c r="AG5" i="7"/>
  <c r="AA46" i="7"/>
  <c r="AA47" i="7"/>
  <c r="AG10" i="7" l="1"/>
  <c r="AG36" i="7" s="1"/>
  <c r="AG48" i="7" s="1"/>
  <c r="AE48" i="7"/>
  <c r="AE44" i="7"/>
  <c r="AC46" i="7"/>
  <c r="AC47" i="7"/>
  <c r="AG44" i="7" l="1"/>
  <c r="AG46" i="7" s="1"/>
  <c r="AE46" i="7"/>
  <c r="AE47" i="7"/>
  <c r="AG47" i="7" l="1"/>
  <c r="AS153" i="23" l="1"/>
  <c r="AK131" i="20" l="1"/>
  <c r="T787" i="20" s="1"/>
  <c r="AF787" i="20" s="1"/>
  <c r="AF801" i="20" s="1"/>
  <c r="E57" i="7"/>
  <c r="E59" i="7" s="1"/>
  <c r="E61" i="7" s="1"/>
  <c r="G57" i="7"/>
  <c r="G59" i="7" s="1"/>
  <c r="G66" i="7" l="1"/>
  <c r="G65" i="7"/>
  <c r="E65" i="7"/>
  <c r="E66" i="7"/>
  <c r="G69" i="7" l="1"/>
  <c r="I57" i="7"/>
  <c r="I59" i="7" s="1"/>
  <c r="E69" i="7"/>
  <c r="I65" i="7" l="1"/>
  <c r="I66" i="7"/>
  <c r="K57" i="7"/>
  <c r="K59" i="7" s="1"/>
  <c r="M57" i="7" l="1"/>
  <c r="M59" i="7" s="1"/>
  <c r="I69" i="7"/>
  <c r="K66" i="7"/>
  <c r="K65" i="7"/>
  <c r="K69" i="7" l="1"/>
  <c r="M66" i="7"/>
  <c r="M65" i="7"/>
  <c r="O57" i="7"/>
  <c r="O59" i="7" s="1"/>
  <c r="O66" i="7" l="1"/>
  <c r="O65" i="7"/>
  <c r="Q57" i="7"/>
  <c r="Q59" i="7" s="1"/>
  <c r="M69" i="7"/>
  <c r="O69" i="7" l="1"/>
  <c r="S57" i="7"/>
  <c r="S59" i="7" s="1"/>
  <c r="Q66" i="7"/>
  <c r="Q65" i="7"/>
  <c r="Q69" i="7" l="1"/>
  <c r="U57" i="7"/>
  <c r="U59" i="7" s="1"/>
  <c r="S66" i="7"/>
  <c r="S65" i="7"/>
  <c r="U66" i="7" l="1"/>
  <c r="U65" i="7"/>
  <c r="S69" i="7"/>
  <c r="W57" i="7"/>
  <c r="W59" i="7" s="1"/>
  <c r="U69" i="7" l="1"/>
  <c r="Y57" i="7"/>
  <c r="Y59" i="7" s="1"/>
  <c r="W66" i="7"/>
  <c r="W65" i="7"/>
  <c r="Y65" i="7" l="1"/>
  <c r="Y66" i="7"/>
  <c r="W69" i="7"/>
  <c r="AA57" i="7"/>
  <c r="AA59" i="7" s="1"/>
  <c r="Y69" i="7" l="1"/>
  <c r="AC57" i="7"/>
  <c r="AC59" i="7" s="1"/>
  <c r="AA65" i="7"/>
  <c r="AA66" i="7"/>
  <c r="AA69" i="7" l="1"/>
  <c r="AC66" i="7"/>
  <c r="AC65" i="7"/>
  <c r="AE57" i="7"/>
  <c r="AE59" i="7" s="1"/>
  <c r="AG57" i="7"/>
  <c r="AG59" i="7" s="1"/>
  <c r="AC69" i="7" l="1"/>
  <c r="AG66" i="7"/>
  <c r="AG65" i="7"/>
  <c r="AE66" i="7"/>
  <c r="AE65" i="7"/>
  <c r="AG69" i="7" l="1"/>
  <c r="AE69" i="7"/>
  <c r="E71" i="7"/>
  <c r="G61" i="7"/>
  <c r="G71" i="7" l="1"/>
  <c r="I61" i="7"/>
  <c r="I71" i="7" s="1"/>
  <c r="K61" i="7" l="1"/>
  <c r="K71" i="7" l="1"/>
  <c r="O61" i="7"/>
  <c r="O71" i="7" s="1"/>
  <c r="M61" i="7"/>
  <c r="M71" i="7" s="1"/>
  <c r="Q61" i="7" l="1"/>
  <c r="Q71" i="7" l="1"/>
  <c r="S61" i="7"/>
  <c r="S71" i="7" l="1"/>
  <c r="U61" i="7"/>
  <c r="U71" i="7" l="1"/>
  <c r="W61" i="7"/>
  <c r="W71" i="7" l="1"/>
  <c r="Y61" i="7"/>
  <c r="Y71" i="7" l="1"/>
  <c r="AA61" i="7"/>
  <c r="AA71" i="7" l="1"/>
  <c r="AC61" i="7"/>
  <c r="AC71" i="7" l="1"/>
  <c r="AE61" i="7"/>
  <c r="AE71" i="7" l="1"/>
  <c r="AG61" i="7"/>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<sst xmlns="http://schemas.openxmlformats.org/spreadsheetml/2006/main" count="5040" uniqueCount="2646">
  <si>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</si>
  <si>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</si>
  <si>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</si>
  <si>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</si>
  <si>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</si>
  <si>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</si>
  <si>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</si>
  <si>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</si>
  <si>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</si>
  <si>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</si>
  <si>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</si>
  <si>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</si>
  <si>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</si>
  <si>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</si>
  <si>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</si>
  <si>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</si>
  <si>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</si>
  <si>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</si>
  <si>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</si>
  <si>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</si>
  <si>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</si>
  <si>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</si>
  <si>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</si>
  <si>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</si>
  <si>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</si>
  <si>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</si>
  <si>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</si>
  <si>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</si>
  <si>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</si>
  <si>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</si>
  <si>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</si>
  <si>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</si>
  <si>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</si>
  <si>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</si>
  <si>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</si>
  <si>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</si>
  <si>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</si>
  <si>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</si>
  <si>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</si>
  <si>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</si>
  <si>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</si>
  <si>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</si>
  <si>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</si>
  <si>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</si>
  <si>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</si>
  <si>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</si>
  <si>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</si>
  <si>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</si>
  <si>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</si>
  <si>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</si>
  <si>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</si>
  <si>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</si>
  <si>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</si>
  <si>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</si>
  <si>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</si>
  <si>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</si>
  <si>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</si>
  <si>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</si>
  <si>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</si>
  <si>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</si>
  <si>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</si>
  <si>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</si>
  <si>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</si>
  <si>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</si>
  <si>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</si>
  <si>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</si>
  <si>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</si>
  <si>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</si>
  <si>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</si>
  <si>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</si>
  <si>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</si>
  <si>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</si>
  <si>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</si>
  <si>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</si>
  <si>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</si>
  <si>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</si>
  <si>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</si>
  <si>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</si>
  <si>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</si>
  <si>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</si>
  <si>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</si>
  <si>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</si>
  <si>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</si>
  <si>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</si>
  <si>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</si>
  <si>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</si>
  <si>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</si>
  <si>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</si>
  <si>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</si>
  <si>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</si>
  <si>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</si>
  <si>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</si>
  <si>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</si>
  <si>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</si>
  <si>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</si>
  <si>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</si>
  <si>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</si>
  <si>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</si>
  <si>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</si>
  <si>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</si>
  <si>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</si>
  <si>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</si>
  <si>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</si>
  <si>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</si>
  <si>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</si>
  <si>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</si>
  <si>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</si>
  <si>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</si>
  <si>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</si>
  <si>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</si>
  <si>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</si>
  <si>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</si>
  <si>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</si>
  <si>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</si>
  <si>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</si>
  <si>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</si>
  <si>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</si>
  <si>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</si>
  <si>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</si>
  <si>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</si>
  <si>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</si>
  <si>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</si>
  <si>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</si>
  <si>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</si>
  <si>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</si>
  <si>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</si>
  <si>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</si>
  <si>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</si>
  <si>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</si>
  <si>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</si>
  <si>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</si>
  <si>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</si>
  <si>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</si>
  <si>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</si>
  <si>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</si>
  <si>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</si>
  <si>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</si>
  <si>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</si>
  <si>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</si>
  <si>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</si>
  <si>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</si>
  <si>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</si>
  <si>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</si>
  <si>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</si>
  <si>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</si>
  <si>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</si>
  <si>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</si>
  <si>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</si>
  <si>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</si>
  <si>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</si>
  <si>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</si>
  <si>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</si>
  <si>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</si>
  <si>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</si>
  <si>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</si>
  <si>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</si>
  <si>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</si>
  <si>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</si>
  <si>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</si>
  <si>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</si>
  <si>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</si>
  <si>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</si>
  <si>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</si>
  <si>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</si>
  <si>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</si>
  <si>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</si>
  <si>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</si>
  <si>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</si>
  <si>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</si>
  <si>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</si>
  <si>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</si>
  <si>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</si>
  <si>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</si>
  <si>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</si>
  <si>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</si>
  <si>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</si>
  <si>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</si>
  <si>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</si>
  <si>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</si>
  <si>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</si>
  <si>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</si>
  <si>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</si>
  <si>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</si>
  <si>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</si>
  <si>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</si>
  <si>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</si>
  <si>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</si>
  <si>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</si>
  <si>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</si>
  <si>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</si>
  <si>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</si>
  <si>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</si>
  <si>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</si>
  <si>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</si>
  <si>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</si>
  <si>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</si>
  <si>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</si>
  <si>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</si>
  <si>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</si>
  <si>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</si>
  <si>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</si>
  <si>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</si>
  <si>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</si>
  <si>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</si>
  <si>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</si>
  <si>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</si>
  <si>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</si>
  <si>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</si>
  <si>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</si>
  <si>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</si>
  <si>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</si>
  <si>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</si>
  <si>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</si>
  <si>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</si>
  <si>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</si>
  <si>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</si>
  <si>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</si>
  <si>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</si>
  <si>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</si>
  <si>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</si>
  <si>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</si>
  <si>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</si>
  <si>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</si>
  <si>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</si>
  <si>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</si>
  <si>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</si>
  <si>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</si>
  <si>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</si>
  <si>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</si>
  <si>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</si>
  <si>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</si>
  <si>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</si>
  <si>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</si>
  <si>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</si>
  <si>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</si>
  <si>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</si>
  <si>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</si>
  <si>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</si>
  <si>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</si>
  <si>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</si>
  <si>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</si>
  <si>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</si>
  <si>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</si>
  <si>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</si>
  <si>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</si>
  <si>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</si>
  <si>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</si>
  <si>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</si>
  <si>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</si>
  <si>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</si>
  <si>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</si>
  <si>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</si>
  <si>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</si>
  <si>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</si>
  <si>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</si>
  <si>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</si>
  <si>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</si>
  <si>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</si>
  <si>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</si>
  <si>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</si>
  <si>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</si>
  <si>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</si>
  <si>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</si>
  <si>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</si>
  <si>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</si>
  <si>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</si>
  <si>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</si>
  <si>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</si>
  <si>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</si>
  <si>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</si>
  <si>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</si>
  <si>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</si>
  <si>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</si>
  <si>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</si>
  <si>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</si>
  <si>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</si>
  <si>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</si>
  <si>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</si>
  <si>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</si>
  <si>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</si>
  <si>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</si>
  <si>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</si>
  <si>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</si>
  <si>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</si>
  <si>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</si>
  <si>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</si>
  <si>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</si>
  <si>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</si>
  <si>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</si>
  <si>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</si>
  <si>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</si>
  <si>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</si>
  <si>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</si>
  <si>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</si>
  <si>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</si>
  <si>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</si>
  <si>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</si>
  <si>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</si>
  <si>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</si>
  <si>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</si>
  <si>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</si>
  <si>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</si>
  <si>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</si>
  <si>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</si>
  <si>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</si>
  <si>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</si>
  <si>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</si>
  <si>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</si>
  <si>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</si>
  <si>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</si>
  <si>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</si>
  <si>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</si>
  <si>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</si>
  <si>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</si>
  <si>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</si>
  <si>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</si>
  <si>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</si>
  <si>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</si>
  <si>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</si>
  <si>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</si>
  <si>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</si>
  <si>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</si>
  <si>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</si>
  <si>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</si>
  <si>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</si>
  <si>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</si>
  <si>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</si>
  <si>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</si>
  <si>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</si>
  <si>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</si>
  <si>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</si>
  <si>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</si>
  <si>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</si>
  <si>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</si>
  <si>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</si>
  <si>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</si>
  <si>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</si>
  <si>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</si>
  <si>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</si>
  <si>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</si>
  <si>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</si>
  <si>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</si>
  <si>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</si>
  <si>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</si>
  <si>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</si>
  <si>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</si>
  <si>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</si>
  <si>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</si>
  <si>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</si>
  <si>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</si>
  <si>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</si>
  <si>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</si>
  <si>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</si>
  <si>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</si>
  <si>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</si>
  <si>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</si>
  <si>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</si>
  <si>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</si>
  <si>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</si>
  <si>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</si>
  <si>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</si>
  <si>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</si>
  <si>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</si>
  <si>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</si>
  <si>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</si>
  <si>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</si>
  <si>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</si>
  <si>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</si>
  <si>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</si>
  <si>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</si>
  <si>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</si>
  <si>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</si>
  <si>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</si>
  <si>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</si>
  <si>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</si>
  <si>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</si>
  <si>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</si>
  <si>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</si>
  <si>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</si>
  <si>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</si>
  <si>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</si>
  <si>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</si>
  <si>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</si>
  <si>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</si>
  <si>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</si>
  <si>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</si>
  <si>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</si>
  <si>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</si>
  <si>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</si>
  <si>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</si>
  <si>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</si>
  <si>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</si>
  <si>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</si>
  <si>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</si>
  <si>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</si>
  <si>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</si>
  <si>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</si>
  <si>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</si>
  <si>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</si>
  <si>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</si>
  <si>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</si>
  <si>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</si>
  <si>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</si>
  <si>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</si>
  <si>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</si>
  <si>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</si>
  <si>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</si>
  <si>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</si>
  <si>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</si>
  <si>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</si>
  <si>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</si>
  <si>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</si>
  <si>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</si>
  <si>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</si>
  <si>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</si>
  <si>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</si>
  <si>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</si>
  <si>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</si>
  <si>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</si>
  <si>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</si>
  <si>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</si>
  <si>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</si>
  <si>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</si>
  <si>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</si>
  <si>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</si>
  <si>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</si>
  <si>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</si>
  <si>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</si>
  <si>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</si>
  <si>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</si>
  <si>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</si>
  <si>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</si>
  <si>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</si>
  <si>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</si>
  <si>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</si>
  <si>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</si>
  <si>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</si>
  <si>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</si>
  <si>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</si>
  <si>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</si>
  <si>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</si>
  <si>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</si>
  <si>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</si>
  <si>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</si>
  <si>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</si>
  <si>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</si>
  <si>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</si>
  <si>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</si>
  <si>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</si>
  <si>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</si>
  <si>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</si>
  <si>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</si>
  <si>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</si>
  <si>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</si>
  <si>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</si>
  <si>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</si>
  <si>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</si>
  <si>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</si>
  <si>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</si>
  <si>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</si>
  <si>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</si>
  <si>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</si>
  <si>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</si>
  <si>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</si>
  <si>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</si>
  <si>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</si>
  <si>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</si>
  <si>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</si>
  <si>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</si>
  <si>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</si>
  <si>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</si>
  <si>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</si>
  <si>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</si>
  <si>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</si>
  <si>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</si>
  <si>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</si>
  <si>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</si>
  <si>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</si>
  <si>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</si>
  <si>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</si>
  <si>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</si>
  <si>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</si>
  <si>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</si>
  <si>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</si>
  <si>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</si>
  <si>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</si>
  <si>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</si>
  <si>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</si>
  <si>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</si>
  <si>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</si>
  <si>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</si>
  <si>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</si>
  <si>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</si>
  <si>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</si>
  <si>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</si>
  <si>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</si>
  <si>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</si>
  <si>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</si>
  <si>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</si>
  <si>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</si>
  <si>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</si>
  <si>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</si>
  <si>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</si>
  <si>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</si>
  <si>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</si>
  <si>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</si>
  <si>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</si>
  <si>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</si>
  <si>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</si>
  <si>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</si>
  <si>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</si>
  <si>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</si>
  <si>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</si>
  <si>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</si>
  <si>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</si>
  <si>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</si>
  <si>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</si>
  <si>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</si>
  <si>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</si>
  <si>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</si>
  <si>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</si>
  <si>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</si>
  <si>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</si>
  <si>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</si>
  <si>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</si>
  <si>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</si>
  <si>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</si>
  <si>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</si>
  <si>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</si>
  <si>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</si>
  <si>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</si>
  <si>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</si>
  <si>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</si>
  <si>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</si>
  <si>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</si>
  <si>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</si>
  <si>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</si>
  <si>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</si>
  <si>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</si>
  <si>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</si>
  <si>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</si>
  <si>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</si>
  <si>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</si>
  <si>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</si>
  <si>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</si>
  <si>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</si>
  <si>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</si>
  <si>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</si>
  <si>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</si>
  <si>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</si>
  <si>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</si>
  <si>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</si>
  <si>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</si>
  <si>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</si>
  <si>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</si>
  <si>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</si>
  <si>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</si>
  <si>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</si>
  <si>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</si>
  <si>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</si>
  <si>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</si>
  <si>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</si>
  <si>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</si>
  <si>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</si>
  <si>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</si>
  <si>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</si>
  <si>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</si>
  <si>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</si>
  <si>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</si>
  <si>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</si>
  <si>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</si>
  <si>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</si>
  <si>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</si>
  <si>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</si>
  <si>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</si>
  <si>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</si>
  <si>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</si>
  <si>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</si>
  <si>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</si>
  <si>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</si>
  <si>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</si>
  <si>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</si>
  <si>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</si>
  <si>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</si>
  <si>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</si>
  <si>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</si>
  <si>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</si>
  <si>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</si>
  <si>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</si>
  <si>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</si>
  <si>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</si>
  <si>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</si>
  <si>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</si>
  <si>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</si>
  <si>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</si>
  <si>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</si>
  <si>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</si>
  <si>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</si>
  <si>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</si>
  <si>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</si>
  <si>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</si>
  <si>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</si>
  <si>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</si>
  <si>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</si>
  <si>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</si>
  <si>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</si>
  <si>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</si>
  <si>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</si>
  <si>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</si>
  <si>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</si>
  <si>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</si>
  <si>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</si>
  <si>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</si>
  <si>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</si>
  <si>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</si>
  <si>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</si>
  <si>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</si>
  <si>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</si>
  <si>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</si>
  <si>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</si>
  <si>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</si>
  <si>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</si>
  <si>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</si>
  <si>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</si>
  <si>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</si>
  <si>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</si>
  <si>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</si>
  <si>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</si>
  <si>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</si>
  <si>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</si>
  <si>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</si>
  <si>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</si>
  <si>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</si>
  <si>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</si>
  <si>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</si>
  <si>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</si>
  <si>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</si>
  <si>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</si>
  <si>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</si>
  <si>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</si>
  <si>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</si>
  <si>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</si>
  <si>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</si>
  <si>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</si>
  <si>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</si>
  <si>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</si>
  <si>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</si>
  <si>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</si>
  <si>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</si>
  <si>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</si>
  <si>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</si>
  <si>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</si>
  <si>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</si>
  <si>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</si>
  <si>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</si>
  <si>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</si>
  <si>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</si>
  <si>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</si>
  <si>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</si>
  <si>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</si>
  <si>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</si>
  <si>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</si>
  <si>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</si>
  <si>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</si>
  <si>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</si>
  <si>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</si>
  <si>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</si>
  <si>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</si>
  <si>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</si>
  <si>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</si>
  <si>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</si>
  <si>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</si>
  <si>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</si>
  <si>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</si>
  <si>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</si>
  <si>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</si>
  <si>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</si>
  <si>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</si>
  <si>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</si>
  <si>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</si>
  <si>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</si>
  <si>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</si>
  <si>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</si>
  <si>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</si>
  <si>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</si>
  <si>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</si>
  <si>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</si>
  <si>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</si>
  <si>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</si>
  <si>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</si>
  <si>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</si>
  <si>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</si>
  <si>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</si>
  <si>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</si>
  <si>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</si>
  <si>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</si>
  <si>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</si>
  <si>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</si>
  <si>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</si>
  <si>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</si>
  <si>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</si>
  <si>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</si>
  <si>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</si>
  <si>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</si>
  <si>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</si>
  <si>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</si>
  <si>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</si>
  <si>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</si>
  <si>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</si>
  <si>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</si>
  <si>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</si>
  <si>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</si>
  <si>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</si>
  <si>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</si>
  <si>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</si>
  <si>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</si>
  <si>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</si>
  <si>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</si>
  <si>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</si>
  <si>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</si>
  <si>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</si>
  <si>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</si>
  <si>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</si>
  <si>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</si>
  <si>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</si>
  <si>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</si>
  <si>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</si>
  <si>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</si>
  <si>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</si>
  <si>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</si>
  <si>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</si>
  <si>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</si>
  <si>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</si>
  <si>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</si>
  <si>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</si>
  <si>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</si>
  <si>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</si>
  <si>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</si>
  <si>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</si>
  <si>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</si>
  <si>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</si>
  <si>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</si>
  <si>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</si>
  <si>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</si>
  <si>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</si>
  <si>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</si>
  <si>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</si>
  <si>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</si>
  <si>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</si>
  <si>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</si>
  <si>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</si>
  <si>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</si>
  <si>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</si>
  <si>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</si>
  <si>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</si>
  <si>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</si>
  <si>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</si>
  <si>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</si>
  <si>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</si>
  <si>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</si>
  <si>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</si>
  <si>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</si>
  <si>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</si>
  <si>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</si>
  <si>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</si>
  <si>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</si>
  <si>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</si>
  <si>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</si>
  <si>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</si>
  <si>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</si>
  <si>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</si>
  <si>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</si>
  <si>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</si>
  <si>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</si>
  <si>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</si>
  <si>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</si>
  <si>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</si>
  <si>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</si>
  <si>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</si>
  <si>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</si>
  <si>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</si>
  <si>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</si>
  <si>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</si>
  <si>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</si>
  <si>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</si>
  <si>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</si>
  <si>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</si>
  <si>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</si>
  <si>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</si>
  <si>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</si>
  <si>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</si>
  <si>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</si>
  <si>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</si>
  <si>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</si>
  <si>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</si>
  <si>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</si>
  <si>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</si>
  <si>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</si>
  <si>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</si>
  <si>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</si>
  <si>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</si>
  <si>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</si>
  <si>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</si>
  <si>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</si>
  <si>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</si>
  <si>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</si>
  <si>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</si>
  <si>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</si>
  <si>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</si>
  <si>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</si>
  <si>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</si>
  <si>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</si>
  <si>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</si>
  <si>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</si>
  <si>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</si>
  <si>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</si>
  <si>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</si>
  <si>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</si>
  <si>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</si>
  <si>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</si>
  <si>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</si>
  <si>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</si>
  <si>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</si>
  <si>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</si>
  <si>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</si>
  <si>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</si>
  <si>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</si>
  <si>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</si>
  <si>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</si>
  <si>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</si>
  <si>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</si>
  <si>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</si>
  <si>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</si>
  <si>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</si>
  <si>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</si>
  <si>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</si>
  <si>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</si>
  <si>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</si>
  <si>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</si>
  <si>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</si>
  <si>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</si>
  <si>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</si>
  <si>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</si>
  <si>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</si>
  <si>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</si>
  <si>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</si>
  <si>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</si>
  <si>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</si>
  <si>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</si>
  <si>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</si>
  <si>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</si>
  <si>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</si>
  <si>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</si>
  <si>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</si>
  <si>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</si>
  <si>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</si>
  <si>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</si>
  <si>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</si>
  <si>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</si>
  <si>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</si>
  <si>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</si>
  <si>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</si>
  <si>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</si>
  <si>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</si>
  <si>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</si>
  <si>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</si>
  <si>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</si>
  <si>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</si>
  <si>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</si>
  <si>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</si>
  <si>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</si>
  <si>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</si>
  <si>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</si>
  <si>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</si>
  <si>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</si>
  <si>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</si>
  <si>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</si>
  <si>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</si>
  <si>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</si>
  <si>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</si>
  <si>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</si>
  <si>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</si>
  <si>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</si>
  <si>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</si>
  <si>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</si>
  <si>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</si>
  <si>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</si>
  <si>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</si>
  <si>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</si>
  <si>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</si>
  <si>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</si>
  <si>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</si>
  <si>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</si>
  <si>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</si>
  <si>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</si>
  <si>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</si>
  <si>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</si>
  <si>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</si>
  <si>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</si>
  <si>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</si>
  <si>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</si>
  <si>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</si>
  <si>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</si>
  <si>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</si>
  <si>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</si>
  <si>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</si>
  <si>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</si>
  <si>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</si>
  <si>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</si>
  <si>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</si>
  <si>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</si>
  <si>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</si>
  <si>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</si>
  <si>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</si>
  <si>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</si>
  <si>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</si>
  <si>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</si>
  <si>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</si>
  <si>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</si>
  <si>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</si>
  <si>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</si>
  <si>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</si>
  <si>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</si>
  <si>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</si>
  <si>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</si>
  <si>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</si>
  <si>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</si>
  <si>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</si>
  <si>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</si>
  <si>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</si>
  <si>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</si>
  <si>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</si>
  <si>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</si>
  <si>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</si>
  <si>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</si>
  <si>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</si>
  <si>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</si>
  <si>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</si>
  <si>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</si>
  <si>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</si>
  <si>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</si>
  <si>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</si>
  <si>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</si>
  <si>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</si>
  <si>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</si>
  <si>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</si>
  <si>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</si>
  <si>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</si>
  <si>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</si>
  <si>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</si>
  <si>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</si>
  <si>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</si>
  <si>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</si>
  <si>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</si>
  <si>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</si>
  <si>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</si>
  <si>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</si>
  <si>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</si>
  <si>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</si>
  <si>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</si>
  <si>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</si>
  <si>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</si>
  <si>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</si>
  <si>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</si>
  <si>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</si>
  <si>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</si>
  <si>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</si>
  <si>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</si>
  <si>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</si>
  <si>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</si>
  <si>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</si>
  <si>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</si>
  <si>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</si>
  <si>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</si>
  <si>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</si>
  <si>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</si>
  <si>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</si>
  <si>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</si>
  <si>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</si>
  <si>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</si>
  <si>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</si>
  <si>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</si>
  <si>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</si>
  <si>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</si>
  <si>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</si>
  <si>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</si>
  <si>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</si>
  <si>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</si>
  <si>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</si>
  <si>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</si>
  <si>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</si>
  <si>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</si>
  <si>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</si>
  <si>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</si>
  <si>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</si>
  <si>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</si>
  <si>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</si>
  <si>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</si>
  <si>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</si>
  <si>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</si>
  <si>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</si>
  <si>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</si>
  <si>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</si>
  <si>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</si>
  <si>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</si>
  <si>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</si>
  <si>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</si>
  <si>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</si>
  <si>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</si>
  <si>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</si>
  <si>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</si>
  <si>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</si>
  <si>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</si>
  <si>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</si>
  <si>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</si>
  <si>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</si>
  <si>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</si>
  <si>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</si>
  <si>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</si>
  <si>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</si>
  <si>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</si>
  <si>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</si>
  <si>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</si>
  <si>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</si>
  <si>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</si>
  <si>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</si>
  <si>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</si>
  <si>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</si>
  <si>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</si>
  <si>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</si>
  <si>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</si>
  <si>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</si>
  <si>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</si>
  <si>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</si>
  <si>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</si>
  <si>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</si>
  <si>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</si>
  <si>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</si>
  <si>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</si>
  <si>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</si>
  <si>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</si>
  <si>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</si>
  <si>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</si>
  <si>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</si>
  <si>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</si>
  <si>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</si>
  <si>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</si>
  <si>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</si>
  <si>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</si>
  <si>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</si>
  <si>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</si>
  <si>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</si>
  <si>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</si>
  <si>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</si>
  <si>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</si>
  <si>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</si>
  <si>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</si>
  <si>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</si>
  <si>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</si>
  <si>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</si>
  <si>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</si>
  <si>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</si>
  <si>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</si>
  <si>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</si>
  <si>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</si>
  <si>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</si>
  <si>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</si>
  <si>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</si>
  <si>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</si>
  <si>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</si>
  <si>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</si>
  <si>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</si>
  <si>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</si>
  <si>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</si>
  <si>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</si>
  <si>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</si>
  <si>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</si>
  <si>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</si>
  <si>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</si>
  <si>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</si>
  <si>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</si>
  <si>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</si>
  <si>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</si>
  <si>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</si>
  <si>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</si>
  <si>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</si>
  <si>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</si>
  <si>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</si>
  <si>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</si>
  <si>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</si>
  <si>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</si>
  <si>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</si>
  <si>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</si>
  <si>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</si>
  <si>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</si>
  <si>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</si>
  <si>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</si>
  <si>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</si>
  <si>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</si>
  <si>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</si>
  <si>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</si>
  <si>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</si>
  <si>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</si>
  <si>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</si>
  <si>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</si>
  <si>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</si>
  <si>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</si>
  <si>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</si>
  <si>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</si>
  <si>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</si>
  <si>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</si>
  <si>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</si>
  <si>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</si>
  <si>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</si>
  <si>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</si>
  <si>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</si>
  <si>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</si>
  <si>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</si>
  <si>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</si>
  <si>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</si>
  <si>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</si>
  <si>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</si>
  <si>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</si>
  <si>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</si>
  <si>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</si>
  <si>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</si>
  <si>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</si>
  <si>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</si>
  <si>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</si>
  <si>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</si>
  <si>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</si>
  <si>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</si>
  <si>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</si>
  <si>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</si>
  <si>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</si>
  <si>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</si>
  <si>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</si>
  <si>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</si>
  <si>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</si>
  <si>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</si>
  <si>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</si>
  <si>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</si>
  <si>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</si>
  <si>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</si>
  <si>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</si>
  <si>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</si>
  <si>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</si>
  <si>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</si>
  <si>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</si>
  <si>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</si>
  <si>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</si>
  <si>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</si>
  <si>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</si>
  <si>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</si>
  <si>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</si>
  <si>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</si>
  <si>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</si>
  <si>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</si>
  <si>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</si>
  <si>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</si>
  <si>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</si>
  <si>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</si>
  <si>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</si>
  <si>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</si>
  <si>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</si>
  <si>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</si>
  <si>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</si>
  <si>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</si>
  <si>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</si>
  <si>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</si>
  <si>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</si>
  <si>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</si>
  <si>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</si>
  <si>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</si>
  <si>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</si>
  <si>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</si>
  <si>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</si>
  <si>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</si>
  <si>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</si>
  <si>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</si>
  <si>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</si>
  <si>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</si>
  <si>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</si>
  <si>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</si>
  <si>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</si>
  <si>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</si>
  <si>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</si>
  <si>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</si>
  <si>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</si>
  <si>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</si>
  <si>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</si>
  <si>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</si>
  <si>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</si>
  <si>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</si>
  <si>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</si>
  <si>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</si>
  <si>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</si>
  <si>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</si>
  <si>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</si>
  <si>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</si>
  <si>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</si>
  <si>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</si>
  <si>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</si>
  <si>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</si>
  <si>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</si>
  <si>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</si>
  <si>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</si>
  <si>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</si>
  <si>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</si>
  <si>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</si>
  <si>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</si>
  <si>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</si>
  <si>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</si>
  <si>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</si>
  <si>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</si>
  <si>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</si>
  <si>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</si>
  <si>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</si>
  <si>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</si>
  <si>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</si>
  <si>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</si>
  <si>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</si>
  <si>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</si>
  <si>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</si>
  <si>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</si>
  <si>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</si>
  <si>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</si>
  <si>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</si>
  <si>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</si>
  <si>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</si>
  <si>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</si>
  <si>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</si>
  <si>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</si>
  <si>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</si>
  <si>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</si>
  <si>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</si>
  <si>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</si>
  <si>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</si>
  <si>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</si>
  <si>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</si>
  <si>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</si>
  <si>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</si>
  <si>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</si>
  <si>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</si>
  <si>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</si>
  <si>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</si>
  <si>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</si>
  <si>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</si>
  <si>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</si>
  <si>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</si>
  <si>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</si>
  <si>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</si>
  <si>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</si>
  <si>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</si>
  <si>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</si>
  <si>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</si>
  <si>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</si>
  <si>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</si>
  <si>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</si>
  <si>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</si>
  <si>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</si>
  <si>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</si>
  <si>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</si>
  <si>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</si>
  <si>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</si>
  <si>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</si>
  <si>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</si>
  <si>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</si>
  <si>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</si>
  <si>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</si>
  <si>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</si>
  <si>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</si>
  <si>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</si>
  <si>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</si>
  <si>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</si>
  <si>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</si>
  <si>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</si>
  <si>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</si>
  <si>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</si>
  <si>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</si>
  <si>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</si>
  <si>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</si>
  <si>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</si>
  <si>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</si>
  <si>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</si>
  <si>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</si>
  <si>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</si>
  <si>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</si>
  <si>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</si>
  <si>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</si>
  <si>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</si>
  <si>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</si>
  <si>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</si>
  <si>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</si>
  <si>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</si>
  <si>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</si>
  <si>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</si>
  <si>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</si>
  <si>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</si>
  <si>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</si>
  <si>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</si>
  <si>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</si>
  <si>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</si>
  <si>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</si>
  <si>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</si>
  <si>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</si>
  <si>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</si>
  <si>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</si>
  <si>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</si>
  <si>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</si>
  <si>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</si>
  <si>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</si>
  <si>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</si>
  <si>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</si>
  <si>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</si>
  <si>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</si>
  <si>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</si>
  <si>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</si>
  <si>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</si>
  <si>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</si>
  <si>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</si>
  <si>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</si>
  <si>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</si>
  <si>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</si>
  <si>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</si>
  <si>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</si>
  <si>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</si>
  <si>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</si>
  <si>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</si>
  <si>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</si>
  <si>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</si>
  <si>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</si>
  <si>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</si>
  <si>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</si>
  <si>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</si>
  <si>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</si>
  <si>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</si>
  <si>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</si>
  <si>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</si>
  <si>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</si>
  <si>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</si>
  <si>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</si>
  <si>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</si>
  <si>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</si>
  <si>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</si>
  <si>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</si>
  <si>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</si>
  <si>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</si>
  <si>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</si>
  <si>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</si>
  <si>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</si>
  <si>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</si>
  <si>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</si>
  <si>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</si>
  <si>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</si>
  <si>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</si>
  <si>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</si>
  <si>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</si>
  <si>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</si>
  <si>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</si>
  <si>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</si>
  <si>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</si>
  <si>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</si>
  <si>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</si>
  <si>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</si>
  <si>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</si>
  <si>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</si>
  <si>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</si>
  <si>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</si>
  <si>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</si>
  <si>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</si>
  <si>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</si>
  <si>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</si>
  <si>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</si>
  <si>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</si>
  <si>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</si>
  <si>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</si>
  <si>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</si>
  <si>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</si>
  <si>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</si>
  <si>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</si>
  <si>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</si>
  <si>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</si>
  <si>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</si>
  <si>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</si>
  <si>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</si>
  <si>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</si>
  <si>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</si>
  <si>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</si>
  <si>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</si>
  <si>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</si>
  <si>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</si>
  <si>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</si>
  <si>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</si>
  <si>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</si>
  <si>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</si>
  <si>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</si>
  <si>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</si>
  <si>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</si>
  <si>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</si>
  <si>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</si>
  <si>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</si>
  <si>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</si>
  <si>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</si>
  <si>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</si>
  <si>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</si>
  <si>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</si>
  <si>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</si>
  <si>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</si>
  <si>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</si>
  <si>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</si>
  <si>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</si>
  <si>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</si>
  <si>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</si>
  <si>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</si>
  <si>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</si>
  <si>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</si>
  <si>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</si>
  <si>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</si>
  <si>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</si>
  <si>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</si>
  <si>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</si>
  <si>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</si>
  <si>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</si>
  <si>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</si>
  <si>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</si>
  <si>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</si>
  <si>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</si>
  <si>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</si>
  <si>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</si>
  <si>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</si>
  <si>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</si>
  <si>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</si>
  <si>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</si>
  <si>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</si>
  <si>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</si>
  <si>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</si>
  <si>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</si>
  <si>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</si>
  <si>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</si>
  <si>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</si>
  <si>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</si>
  <si>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</si>
  <si>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</si>
  <si>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</si>
  <si>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</si>
  <si>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</si>
  <si>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</si>
  <si>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</si>
  <si>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</si>
  <si>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</si>
  <si>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</si>
  <si>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</si>
  <si>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</si>
  <si>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</si>
  <si>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</si>
  <si>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</si>
  <si>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</si>
  <si>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</si>
  <si>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</si>
  <si>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</si>
  <si>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</si>
  <si>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</si>
  <si>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</si>
  <si>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</si>
  <si>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</si>
  <si>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</si>
  <si>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</si>
  <si>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</si>
  <si>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</si>
  <si>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</si>
  <si>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</si>
  <si>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</si>
  <si>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</si>
  <si>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</si>
  <si>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</si>
  <si>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</si>
  <si>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</si>
  <si>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</si>
  <si>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</si>
  <si>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</si>
  <si>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</si>
  <si>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</si>
  <si>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</si>
  <si>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</si>
  <si>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</si>
  <si>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</si>
  <si>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</si>
  <si>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</si>
  <si>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</si>
  <si>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</si>
  <si>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</si>
  <si>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</si>
  <si>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</si>
  <si>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</si>
  <si>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</si>
  <si>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</si>
  <si>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</si>
  <si>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</si>
  <si>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</si>
  <si>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</si>
  <si>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</si>
  <si>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</si>
  <si>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</si>
  <si>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</si>
  <si>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</si>
  <si>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</si>
  <si>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</si>
  <si>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</si>
  <si>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</si>
  <si>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</si>
  <si>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</si>
  <si>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</si>
  <si>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</si>
  <si>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</si>
  <si>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</si>
  <si>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</si>
  <si>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</si>
  <si>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</si>
  <si>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</si>
  <si>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</si>
  <si>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</si>
  <si>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</si>
  <si>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</si>
  <si>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</si>
  <si>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</si>
  <si>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</si>
  <si>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</si>
  <si>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</si>
  <si>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</si>
  <si>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</si>
  <si>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</si>
  <si>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</si>
  <si>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</si>
  <si>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</si>
  <si>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</si>
  <si>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</si>
  <si>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</si>
  <si>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</si>
  <si>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</si>
  <si>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</si>
  <si>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</si>
  <si>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</si>
  <si>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</si>
  <si>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</si>
  <si>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</si>
  <si>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</si>
  <si>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</si>
  <si>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</si>
  <si>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</si>
  <si>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</si>
  <si>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</si>
  <si>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</si>
  <si>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</si>
  <si>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</si>
  <si>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</si>
  <si>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</si>
  <si>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</si>
  <si>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</si>
  <si>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</si>
  <si>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</si>
  <si>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</si>
  <si>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</si>
  <si>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</si>
  <si>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</si>
  <si>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</si>
  <si>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</si>
  <si>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</si>
  <si>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</si>
  <si>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</si>
  <si>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</si>
  <si>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</si>
  <si>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</si>
  <si>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</si>
  <si>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</si>
  <si>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</si>
  <si>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</si>
  <si>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</si>
  <si>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</si>
  <si>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</si>
  <si>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</si>
  <si>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</si>
  <si>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</si>
  <si>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</si>
  <si>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</si>
  <si>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</si>
  <si>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</si>
  <si>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</si>
  <si>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</si>
  <si>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</si>
  <si>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</si>
  <si>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</si>
  <si>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</si>
  <si>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</si>
  <si>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</si>
  <si>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</si>
  <si>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</si>
  <si>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</si>
  <si>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</si>
  <si>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</si>
  <si>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</si>
  <si>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</si>
  <si>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</si>
  <si>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</si>
  <si>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</si>
  <si>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</si>
  <si>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</si>
  <si>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</si>
  <si>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</si>
  <si>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</si>
  <si>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</si>
  <si>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</si>
  <si>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</si>
  <si>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</si>
  <si>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</si>
  <si>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</si>
  <si>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</si>
  <si>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</si>
  <si>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</si>
  <si>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</si>
  <si>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</si>
  <si>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</si>
  <si>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</si>
  <si>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</si>
  <si>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</si>
  <si>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</si>
  <si>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</si>
  <si>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</si>
  <si>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</si>
  <si>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</si>
  <si>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</si>
  <si>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</si>
  <si>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</si>
  <si>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</si>
  <si>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</si>
  <si>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</si>
  <si>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</si>
  <si>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</si>
  <si>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</si>
  <si>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</si>
  <si>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</si>
  <si>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</si>
  <si>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</si>
  <si>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</si>
  <si>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</si>
  <si>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</si>
  <si>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</si>
  <si>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</si>
  <si>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</si>
  <si>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</si>
  <si>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</si>
  <si>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</si>
  <si>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</si>
  <si>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</si>
  <si>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</si>
  <si>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</si>
  <si>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</si>
  <si>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</si>
  <si>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</si>
  <si>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</si>
  <si>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</si>
  <si>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</si>
  <si>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</si>
  <si>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</si>
  <si>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</si>
  <si>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</si>
  <si>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</si>
  <si>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</si>
  <si>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</si>
  <si>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</si>
  <si>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</si>
  <si>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</si>
  <si>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</si>
  <si>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</si>
  <si>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</si>
  <si>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</si>
  <si>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</si>
  <si>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</si>
  <si>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</si>
  <si>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</si>
  <si>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</si>
  <si>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</si>
  <si>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</si>
  <si>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</si>
  <si>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</si>
  <si>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</si>
  <si>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</si>
  <si>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</si>
  <si>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</si>
  <si>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</si>
  <si>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</si>
  <si>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</si>
  <si>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</si>
  <si>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</si>
  <si>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</si>
  <si>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</si>
  <si>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</si>
  <si>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</si>
  <si>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</si>
  <si>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</si>
  <si>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</si>
  <si>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</si>
  <si>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</si>
  <si>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</si>
  <si>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</si>
  <si>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</si>
  <si>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</si>
  <si>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</si>
  <si>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</si>
  <si>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</si>
  <si>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</si>
  <si>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</si>
  <si>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</si>
  <si>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</si>
  <si>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</si>
  <si>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</si>
  <si>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</si>
  <si>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</si>
  <si>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</si>
  <si>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</si>
  <si>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</si>
  <si>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</si>
  <si>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</si>
  <si>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</si>
  <si>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</si>
  <si>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</si>
  <si>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</si>
  <si>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</si>
  <si>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</si>
  <si>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</si>
  <si>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</si>
  <si>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</si>
  <si>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</si>
  <si>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</si>
  <si>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</si>
  <si>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</si>
  <si>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</si>
  <si>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</si>
  <si>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</si>
  <si>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</si>
  <si>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</si>
  <si>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</si>
  <si>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</si>
  <si>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</si>
  <si>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</si>
  <si>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</si>
  <si>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</si>
  <si>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</si>
  <si>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</si>
  <si>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</si>
  <si>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</si>
  <si>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</si>
  <si>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</si>
  <si>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</si>
  <si>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</si>
  <si>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</si>
  <si>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</si>
  <si>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</si>
  <si>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</si>
  <si>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</si>
  <si>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</si>
  <si>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</si>
  <si>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</si>
  <si>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</si>
  <si>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</si>
  <si>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</si>
  <si>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</si>
  <si>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</si>
  <si>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</si>
  <si>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</si>
  <si>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</si>
  <si>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</si>
  <si>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</si>
  <si>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</si>
  <si>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</si>
  <si>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</si>
  <si>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</si>
  <si>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</si>
  <si>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</si>
  <si>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</si>
  <si>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</si>
  <si>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</si>
  <si>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</si>
  <si>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</si>
  <si>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</si>
  <si>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</si>
  <si>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</si>
  <si>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</si>
  <si>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</si>
  <si>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</si>
  <si>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</si>
  <si>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</si>
  <si>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</si>
  <si>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</si>
  <si>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</si>
  <si>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</si>
  <si>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</si>
  <si>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</si>
  <si>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</si>
  <si>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</si>
  <si>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</si>
  <si>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</si>
  <si>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</si>
  <si>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</si>
  <si>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</si>
  <si>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</si>
  <si>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</si>
  <si>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</si>
  <si>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</si>
  <si>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</si>
  <si>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</si>
  <si>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</si>
  <si>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</si>
  <si>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</si>
  <si>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</si>
  <si>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</si>
  <si>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</si>
  <si>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</si>
  <si>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</si>
  <si>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</si>
  <si>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</si>
  <si>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</si>
  <si>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</si>
  <si>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</si>
  <si>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</si>
  <si>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</si>
  <si>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</si>
  <si>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</si>
  <si>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</si>
  <si>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</si>
  <si>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</si>
  <si>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</si>
  <si>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</si>
  <si>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</si>
  <si>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</si>
  <si>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</si>
  <si>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</si>
  <si>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</si>
  <si>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</si>
  <si>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</si>
  <si>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</si>
  <si>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</si>
  <si>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</si>
  <si>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</si>
  <si>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</si>
  <si>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</si>
  <si>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</si>
  <si>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</si>
  <si>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</si>
  <si>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</si>
  <si>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</si>
  <si>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</si>
  <si>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</si>
  <si>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</si>
  <si>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</si>
  <si>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</si>
  <si>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</si>
  <si>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</si>
  <si>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</si>
  <si>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</si>
  <si>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</si>
  <si>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</si>
  <si>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</si>
  <si>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</si>
  <si>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</si>
  <si>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</si>
  <si>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</si>
  <si>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</si>
  <si>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</si>
  <si>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</si>
  <si>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</si>
  <si>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</si>
  <si>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</si>
  <si>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</si>
  <si>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</si>
  <si>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</si>
  <si>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</si>
  <si>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</si>
  <si>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</si>
  <si>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</si>
  <si>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</si>
  <si>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</si>
  <si>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</si>
  <si>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</si>
  <si>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</si>
  <si>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</si>
  <si>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</si>
  <si>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</si>
  <si>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</si>
  <si>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</si>
  <si>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</si>
  <si>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</si>
  <si>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</si>
  <si>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</si>
  <si>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</si>
  <si>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</si>
  <si>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</si>
  <si>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</si>
  <si>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</si>
  <si>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</si>
  <si>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</si>
  <si>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</si>
  <si>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</si>
  <si>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</si>
  <si>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</si>
  <si>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</si>
  <si>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</si>
  <si>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</si>
  <si>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</si>
  <si>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</si>
  <si>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</si>
  <si>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</si>
  <si>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</si>
  <si>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</si>
  <si>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</si>
  <si>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</si>
  <si>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</si>
  <si>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</si>
  <si>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</si>
  <si>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</si>
  <si>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</si>
  <si>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</si>
  <si>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</si>
  <si>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</si>
  <si>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</si>
  <si>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</si>
  <si>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</si>
  <si>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</si>
  <si>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</si>
  <si>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</si>
  <si>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</si>
  <si>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</si>
  <si>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</si>
  <si>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</si>
  <si>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</si>
  <si>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</si>
  <si>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</si>
  <si>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</si>
  <si>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</si>
  <si>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</si>
  <si>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</si>
  <si>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</si>
  <si>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</si>
  <si>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</si>
  <si>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</si>
  <si>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</si>
  <si>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</si>
  <si>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</si>
  <si>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</si>
  <si>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</si>
  <si>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</si>
  <si>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</si>
  <si>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</si>
  <si>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</si>
  <si>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</si>
  <si>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</si>
  <si>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</si>
  <si>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</si>
  <si>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</si>
  <si>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</si>
  <si>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</si>
  <si>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</si>
  <si>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</si>
  <si>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</si>
  <si>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</si>
  <si>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</si>
  <si>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</si>
  <si>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</si>
  <si>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</si>
  <si>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</si>
  <si>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</si>
  <si>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</si>
  <si>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</si>
  <si>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</si>
  <si>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</si>
  <si>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</si>
  <si>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</si>
  <si>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</si>
  <si>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</si>
  <si>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</si>
  <si>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</si>
  <si>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</si>
  <si>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</si>
  <si>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</si>
  <si>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</si>
  <si>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</si>
  <si>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</si>
  <si>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</si>
  <si>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</si>
  <si>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</si>
  <si>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</si>
  <si>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</si>
  <si>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</si>
  <si>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</si>
  <si>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</si>
  <si>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</si>
  <si>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</si>
  <si>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</si>
  <si>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</si>
  <si>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</si>
  <si>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</si>
  <si>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</si>
  <si>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</si>
  <si>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</si>
  <si>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</si>
  <si>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</si>
  <si>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</si>
  <si>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</si>
  <si>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</si>
  <si>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</si>
  <si>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</si>
  <si>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</si>
  <si>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</si>
  <si>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</si>
  <si>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</si>
  <si>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</si>
  <si>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</si>
  <si>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</si>
  <si>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</si>
  <si>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</si>
  <si>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</si>
  <si>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</si>
  <si>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</si>
  <si>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</si>
  <si>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</si>
  <si>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</si>
  <si>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</si>
  <si>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</si>
  <si>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</si>
  <si>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</si>
  <si>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</si>
  <si>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</si>
  <si>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</si>
  <si>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</si>
  <si>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</si>
  <si>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</si>
  <si>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</si>
  <si>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</si>
  <si>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</si>
  <si>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</si>
  <si>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</si>
  <si>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</si>
  <si>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</si>
  <si>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</si>
  <si>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</si>
  <si>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</si>
  <si>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</si>
  <si>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</si>
  <si>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</si>
  <si>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</si>
  <si>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</si>
  <si>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</si>
  <si>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</si>
  <si>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</si>
  <si>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</si>
  <si>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</si>
  <si>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</si>
  <si>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</si>
  <si>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</si>
  <si>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</si>
  <si>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</si>
  <si>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</si>
  <si>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</si>
  <si>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</si>
  <si>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</si>
  <si>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</si>
  <si>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</si>
  <si>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</si>
  <si>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</si>
  <si>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</si>
  <si>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</si>
  <si>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</si>
  <si>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</si>
  <si>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</si>
  <si>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</si>
  <si>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</si>
  <si>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</si>
  <si>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</si>
  <si>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</si>
  <si>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</si>
  <si>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</si>
  <si>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</si>
  <si>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</si>
  <si>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</si>
  <si>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</si>
  <si>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</si>
  <si>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</si>
  <si>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</si>
  <si>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</si>
  <si>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</si>
  <si>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</si>
  <si>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</si>
  <si>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</si>
  <si>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</si>
  <si>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</si>
  <si>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</si>
  <si>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</si>
  <si>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</si>
  <si>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</si>
  <si>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</si>
  <si>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</si>
  <si>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</si>
  <si>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</si>
  <si>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</si>
  <si>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</si>
  <si>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</si>
  <si>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</si>
  <si>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</si>
  <si>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</si>
  <si>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</si>
  <si>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</si>
  <si>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</si>
  <si>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</si>
  <si>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</si>
  <si>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</si>
  <si>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</si>
  <si>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</si>
  <si>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</si>
  <si>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</si>
  <si>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</si>
  <si>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</si>
  <si>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</si>
  <si>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</si>
  <si>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</si>
  <si>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</si>
  <si>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</si>
  <si>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</si>
  <si>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</si>
  <si>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</si>
  <si>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</si>
  <si>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</si>
  <si>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</si>
  <si>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</si>
  <si>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</si>
  <si>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</si>
  <si>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</si>
  <si>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</si>
  <si>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</si>
  <si>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</si>
  <si>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</si>
  <si>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</si>
  <si>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</si>
  <si>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</si>
  <si>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</si>
  <si>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</si>
  <si>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</si>
  <si>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</si>
  <si>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</si>
  <si>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</si>
  <si>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</si>
  <si>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</si>
  <si>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</si>
  <si>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</si>
  <si>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</si>
  <si>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</si>
  <si>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</si>
  <si>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</si>
  <si>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</si>
  <si>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</si>
  <si>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</si>
  <si>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</si>
  <si>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</si>
  <si>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</si>
  <si>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</si>
  <si>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</si>
  <si>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</si>
  <si>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</si>
  <si>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</si>
  <si>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</si>
  <si>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</si>
  <si>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</si>
  <si>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</si>
  <si>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</si>
  <si>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</si>
  <si>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</si>
  <si>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</si>
  <si>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</si>
  <si>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</si>
  <si>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</si>
  <si>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</si>
  <si>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</si>
  <si>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</si>
  <si>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</si>
  <si>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</si>
  <si>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</si>
  <si>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</si>
  <si>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</si>
  <si>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</si>
  <si>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</si>
  <si>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</si>
  <si>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</si>
  <si>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</si>
  <si>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</si>
  <si>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</si>
  <si>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</si>
  <si>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</si>
  <si>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</si>
  <si>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</si>
  <si>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</si>
  <si>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</si>
  <si>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</si>
  <si>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</si>
  <si>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</si>
  <si>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</si>
  <si>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</si>
  <si>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</si>
  <si>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</si>
  <si>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</si>
  <si>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</si>
  <si>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</si>
  <si>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</si>
  <si>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</si>
  <si>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</si>
  <si>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</si>
  <si>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</si>
  <si>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</si>
  <si>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</si>
  <si>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</si>
  <si>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</si>
  <si>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</si>
  <si>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</si>
  <si>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</si>
  <si>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</si>
  <si>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</si>
  <si>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</si>
  <si>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</si>
  <si>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</si>
  <si>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</si>
  <si>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</si>
  <si>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</si>
  <si>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</si>
  <si>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</si>
  <si>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</si>
  <si>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</si>
  <si>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</si>
  <si>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</si>
  <si>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</si>
  <si>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</si>
  <si>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</si>
  <si>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</si>
  <si>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</si>
  <si>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</si>
  <si>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</si>
  <si>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</si>
  <si>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</si>
  <si>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</si>
  <si>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</si>
  <si>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</si>
  <si>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</si>
  <si>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</si>
  <si>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</si>
  <si>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</si>
  <si>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</si>
  <si>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</si>
  <si>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</si>
  <si>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</si>
  <si>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</si>
  <si>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</si>
  <si>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</si>
  <si>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</si>
  <si>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</si>
  <si>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</si>
  <si>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</si>
  <si>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</si>
  <si>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</si>
  <si>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</si>
  <si>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</si>
  <si>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</si>
  <si>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</si>
  <si>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</si>
  <si>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</si>
  <si>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</si>
  <si>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</si>
  <si>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</si>
  <si>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</si>
  <si>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</si>
  <si>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</si>
  <si>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</si>
  <si>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</si>
  <si>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</si>
  <si>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</si>
  <si>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</si>
  <si>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</si>
  <si>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</si>
  <si>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</si>
  <si>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</si>
  <si>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</si>
  <si>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</si>
  <si>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</si>
  <si>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</si>
  <si>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</si>
  <si>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</si>
  <si>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</si>
  <si>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</si>
  <si>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</si>
  <si>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</si>
  <si>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</si>
  <si>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</si>
  <si>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</si>
  <si>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</si>
  <si>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</si>
  <si>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</si>
  <si>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</si>
  <si>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</si>
  <si>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</si>
  <si>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</si>
  <si>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</si>
  <si>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</si>
  <si>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</si>
  <si>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</si>
  <si>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</si>
  <si>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</si>
  <si>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</si>
  <si>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</si>
  <si>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</si>
  <si>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</si>
  <si>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</si>
  <si>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</si>
  <si>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</si>
  <si>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</si>
  <si>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</si>
  <si>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</si>
  <si>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</si>
  <si>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</si>
  <si>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</si>
  <si>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</si>
  <si>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</si>
  <si>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</si>
  <si>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</si>
  <si>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</si>
  <si>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</si>
  <si>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</si>
  <si>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</si>
  <si>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</si>
  <si>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</si>
  <si>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</si>
  <si>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</si>
  <si>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</si>
  <si>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</si>
  <si>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</si>
  <si>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</si>
  <si>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</si>
  <si>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</si>
  <si>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</si>
  <si>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</si>
  <si>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</si>
  <si>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</si>
  <si>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</si>
  <si>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</si>
  <si>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</si>
  <si>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</si>
  <si>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</si>
  <si>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</si>
  <si>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</si>
  <si>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</si>
  <si>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</si>
  <si>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</si>
  <si>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</si>
  <si>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</si>
  <si>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</si>
  <si>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</si>
  <si>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</si>
  <si>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</si>
  <si>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</si>
  <si>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</si>
  <si>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</si>
  <si>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</si>
  <si>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</si>
  <si>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</si>
  <si>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</si>
  <si>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</si>
  <si>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</si>
  <si>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</si>
  <si>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</si>
  <si>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</si>
  <si>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</si>
  <si>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</si>
  <si>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</si>
  <si>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</si>
  <si>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</si>
  <si>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</si>
  <si>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</si>
  <si>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</si>
  <si>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</si>
  <si>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</si>
  <si>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</si>
  <si>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</si>
  <si>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</si>
  <si>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</si>
  <si>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</si>
  <si>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</si>
  <si>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</si>
  <si>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</si>
  <si>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</si>
  <si>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</si>
  <si>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</si>
  <si>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</si>
  <si>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</si>
  <si>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</si>
  <si>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</si>
  <si>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</si>
  <si>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</si>
  <si>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</si>
  <si>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</si>
  <si>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</si>
  <si>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</si>
  <si>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</si>
  <si>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</si>
  <si>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</si>
  <si>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</si>
  <si>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</si>
  <si>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</si>
  <si>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</si>
  <si>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</si>
  <si>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</si>
  <si>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</si>
  <si>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</si>
  <si>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</si>
  <si>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</si>
  <si>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</si>
  <si>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</si>
  <si>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</si>
  <si>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</si>
  <si>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</si>
  <si>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</si>
  <si>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</si>
  <si>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</si>
  <si>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</si>
  <si>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</si>
  <si>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</si>
  <si>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</si>
  <si>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</si>
  <si>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</si>
  <si>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</si>
  <si>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</si>
  <si>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</si>
  <si>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</si>
  <si>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</si>
  <si>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</si>
  <si>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</si>
  <si>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</si>
  <si>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</si>
  <si>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</si>
  <si>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</si>
  <si>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</si>
  <si>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</si>
  <si>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</si>
  <si>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</si>
  <si>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</si>
  <si>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</si>
  <si>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</si>
  <si>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</si>
  <si>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</si>
  <si>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</si>
  <si>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</si>
  <si>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</si>
  <si>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</si>
  <si>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</si>
  <si>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</si>
  <si>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</si>
  <si>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</si>
  <si>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</si>
  <si>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</si>
  <si>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</si>
  <si>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</si>
  <si>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</si>
  <si>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</si>
  <si>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</si>
  <si>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</si>
  <si>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</si>
  <si>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</si>
  <si>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</si>
  <si>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</si>
  <si>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</si>
  <si>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</si>
  <si>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</si>
  <si>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</si>
  <si>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</si>
  <si>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</si>
  <si>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</si>
  <si>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</si>
  <si>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</si>
  <si>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</si>
  <si>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</si>
  <si>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</si>
  <si>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</si>
  <si>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</si>
  <si>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</si>
  <si>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</si>
  <si>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</si>
  <si>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</si>
  <si>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</si>
  <si>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</si>
  <si>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</si>
  <si>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</si>
  <si>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</si>
  <si>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</si>
  <si>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</si>
  <si>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</si>
  <si>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</si>
  <si>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</si>
  <si>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</si>
  <si>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</si>
  <si>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</si>
  <si>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</si>
  <si>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</si>
  <si>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</si>
  <si>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</si>
  <si>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</si>
  <si>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</si>
  <si>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</si>
  <si>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</si>
  <si>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</si>
  <si>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</si>
  <si>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</si>
  <si>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</si>
  <si>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</si>
  <si>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</si>
  <si>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</si>
  <si>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</si>
  <si>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Other: Inspections</t>
  </si>
  <si>
    <t>Other: Utility Connections</t>
  </si>
  <si>
    <t>Juniper Valley Townhomes</t>
  </si>
  <si>
    <t>Michael Limb</t>
  </si>
  <si>
    <t>Authorized Signatory</t>
  </si>
  <si>
    <t>Irvine</t>
  </si>
  <si>
    <t>Ms. Laurie Lile</t>
  </si>
  <si>
    <t>City of Palmdale</t>
  </si>
  <si>
    <t>Planning Director</t>
  </si>
  <si>
    <t xml:space="preserve">38250 Sierra Highway </t>
  </si>
  <si>
    <t>Palmdale</t>
  </si>
  <si>
    <t>661-267-5233</t>
  </si>
  <si>
    <t>661-267-5200</t>
  </si>
  <si>
    <t>llile@cityofpalmdale.org</t>
  </si>
  <si>
    <t>CDLAC-TCAC Joint Application (submitting concurrently)</t>
  </si>
  <si>
    <t>3018-014-074</t>
  </si>
  <si>
    <t>9 Cushing, Suite 200</t>
  </si>
  <si>
    <t>CA</t>
  </si>
  <si>
    <t>949-923-7800</t>
  </si>
  <si>
    <t>mlimb@newportpartners.com</t>
  </si>
  <si>
    <t>JCL GP LLC</t>
  </si>
  <si>
    <t>Administrative GP</t>
  </si>
  <si>
    <t>Spectrum GP LLC</t>
  </si>
  <si>
    <t>Managing GP</t>
  </si>
  <si>
    <t>78 Bunsen</t>
  </si>
  <si>
    <t>Tony Palaigos</t>
  </si>
  <si>
    <t>818-522-5580</t>
  </si>
  <si>
    <t>tony.palaigos@outlook.com</t>
  </si>
  <si>
    <t>JCL Development, LLC</t>
  </si>
  <si>
    <t>Developer</t>
  </si>
  <si>
    <t>Irvine, CA 92618</t>
  </si>
  <si>
    <t>Bocarsly Emden Cowan Esmail &amp; Arndt</t>
  </si>
  <si>
    <t>633 West 5th Street, 64th Floor</t>
  </si>
  <si>
    <t>Los Angeles, CA 90071</t>
  </si>
  <si>
    <t>Kyle Arndt</t>
  </si>
  <si>
    <t>213-239-8048</t>
  </si>
  <si>
    <t>karndt@bocarsly.com</t>
  </si>
  <si>
    <t>Bowman &amp; Company</t>
  </si>
  <si>
    <t>10100 Trinity Parkway, Suite 310</t>
  </si>
  <si>
    <t>Stockton, CA 95219</t>
  </si>
  <si>
    <t>Tara Eastwood</t>
  </si>
  <si>
    <t>209-473-1040</t>
  </si>
  <si>
    <t>teastwood@cpabowman.com</t>
  </si>
  <si>
    <t>NP Construction Company</t>
  </si>
  <si>
    <t>David Foell</t>
  </si>
  <si>
    <t>949-923-7803</t>
  </si>
  <si>
    <t>dfoell@newportpartners.com</t>
  </si>
  <si>
    <t xml:space="preserve">Alliant Capital </t>
  </si>
  <si>
    <t>21600 Oxnard St, Suite 1200</t>
  </si>
  <si>
    <t>Woodland Hills, CA 91367</t>
  </si>
  <si>
    <t>Jen Erixon</t>
  </si>
  <si>
    <t>818-449-5800</t>
  </si>
  <si>
    <t>jen.erixon@alliantcapital.com</t>
  </si>
  <si>
    <t>Domus Management Company</t>
  </si>
  <si>
    <t>1610 W. Kettleman Lane, Suite A</t>
  </si>
  <si>
    <t>Lodi, CA 95242</t>
  </si>
  <si>
    <t>Cathy Metcalf</t>
  </si>
  <si>
    <t>Cathym@domusmc.com</t>
  </si>
  <si>
    <t xml:space="preserve">3573 Harden Ave. </t>
  </si>
  <si>
    <t>Culver City, CA 90232</t>
  </si>
  <si>
    <t>310-399-7975</t>
  </si>
  <si>
    <t>Novogradac</t>
  </si>
  <si>
    <t>211 E Ocean Blvd. 6th Floor</t>
  </si>
  <si>
    <t>Long Beach, CA 90802</t>
  </si>
  <si>
    <t>Rebecca Arthur</t>
  </si>
  <si>
    <t>816-213-2959</t>
  </si>
  <si>
    <t>rebecca.arthur@novoco.com</t>
  </si>
  <si>
    <t>Townhouse or Row House</t>
  </si>
  <si>
    <t>One Sansome Street, 27th Floor</t>
  </si>
  <si>
    <t xml:space="preserve">San Francisco </t>
  </si>
  <si>
    <t>Bryan Barker</t>
  </si>
  <si>
    <t>415-627-6484</t>
  </si>
  <si>
    <t>Construction Loan</t>
  </si>
  <si>
    <t>21600 Oxnard Street, Suite 1200</t>
  </si>
  <si>
    <t>Woodland Hills</t>
  </si>
  <si>
    <t>Deferred Costs</t>
  </si>
  <si>
    <t>Citibank - Perm Loan</t>
  </si>
  <si>
    <t>Permanent Loan</t>
  </si>
  <si>
    <t>Southwest corner of 25th St. East and East Ave. Q-4</t>
  </si>
  <si>
    <t>Limited Liability Company</t>
  </si>
  <si>
    <t>KFA</t>
  </si>
  <si>
    <t>John Arnold</t>
  </si>
  <si>
    <t>joh@kfalosangeles.com</t>
  </si>
  <si>
    <t>California Municipal Finance Authority</t>
  </si>
  <si>
    <t>2111 Palomar Airport Blvd., Suite 320</t>
  </si>
  <si>
    <t>Carlsbad, CA 92011</t>
  </si>
  <si>
    <t>Anthony Stubbs</t>
  </si>
  <si>
    <t>760-930-1323</t>
  </si>
  <si>
    <t>astubbs@cmfa-ca.com</t>
  </si>
  <si>
    <t>209-365-9010</t>
  </si>
  <si>
    <t>Sam Samzadeh, Changize Sadr</t>
  </si>
  <si>
    <t>Multiple Residential R-3</t>
  </si>
  <si>
    <t xml:space="preserve">45 ft. </t>
  </si>
  <si>
    <t>1.5 stalls per unit</t>
  </si>
  <si>
    <t xml:space="preserve">Taxable Tail Construction Loan </t>
  </si>
  <si>
    <t>Citibank - Recycled Bonds</t>
  </si>
  <si>
    <t>Citibank - Tax Exempt Bonds</t>
  </si>
  <si>
    <t>Variable</t>
  </si>
  <si>
    <t>Interest Only</t>
  </si>
  <si>
    <t>Tax Credit Equity</t>
  </si>
  <si>
    <t>Deferred Developer Fee/Deferred Costs</t>
  </si>
  <si>
    <t xml:space="preserve">Libor </t>
  </si>
  <si>
    <t>Libor</t>
  </si>
  <si>
    <t>LACDA</t>
  </si>
  <si>
    <t>AC</t>
  </si>
  <si>
    <t>Recycled Bonds</t>
  </si>
  <si>
    <t>Other: Lender 3rd Party Costs</t>
  </si>
  <si>
    <t>Other: Legal</t>
  </si>
  <si>
    <t>Other: Org, Syndication, Transaction</t>
  </si>
  <si>
    <t>Other: Other Consultants, Lease-up</t>
  </si>
  <si>
    <t>TBD</t>
  </si>
  <si>
    <t>Low Resource</t>
  </si>
  <si>
    <t>40%/60% Average Income</t>
  </si>
  <si>
    <t>$500M</t>
  </si>
  <si>
    <t>Dec 2021</t>
  </si>
  <si>
    <t>Supplies, Phone/Internet, Other</t>
  </si>
  <si>
    <t>Supplies, Other Maintenance</t>
  </si>
  <si>
    <t>Payroll taxes / benefits</t>
  </si>
  <si>
    <t>84 hours/yr</t>
  </si>
  <si>
    <t>123 hours/yr</t>
  </si>
  <si>
    <t>Cash Flow from Operations</t>
  </si>
  <si>
    <t>LifeSTEPS / MOU</t>
  </si>
  <si>
    <t>Supplies - Petty Cash</t>
  </si>
  <si>
    <t>R-3, 16 units per acre (before density bonus)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</si>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</sst>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75"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4" fontId="0" fillId="5" borderId="11" xfId="0" quotePrefix="1"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 fontId="19" fillId="5" borderId="6" xfId="0" applyNumberFormat="1" applyFont="1" applyFill="1" applyBorder="1" applyAlignment="1" applyProtection="1">
      <alignment horizontal="righ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 customHeight="1">
      <c r="A14" s="327"/>
      <c r="B14" s="325"/>
      <c r="C14" s="326"/>
      <c r="E14" s="1860" t="s">
        <v>2169</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 customHeight="1">
      <c r="A28" s="327"/>
      <c r="B28" s="325"/>
      <c r="C28" s="326"/>
      <c r="E28" s="1860" t="s">
        <v>2170</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2409</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2410</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689</v>
      </c>
      <c r="F42" s="1860" t="s">
        <v>1359</v>
      </c>
    </row>
    <row r="43" spans="1:38" s="1860"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7" t="s">
        <v>1473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1474</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66" t="s">
        <v>1475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1361</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541</v>
      </c>
      <c r="G69" s="1860" t="s">
        <v>1362</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1363</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1364</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1365</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1366</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1367</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1368</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1369</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1370</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0" t="s">
        <v>1371</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1346</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1451</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1450</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1489</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7" t="s">
        <v>1878</v>
      </c>
      <c r="B1" s="3257"/>
      <c r="C1" s="3257"/>
      <c r="D1" s="3257"/>
      <c r="E1" s="3257"/>
      <c r="F1" s="3257"/>
      <c r="G1" s="3257"/>
      <c r="H1" s="3257"/>
      <c r="I1" s="3257"/>
    </row>
    <row r="2" spans="1:11">
      <c r="A2" s="1336"/>
      <c r="B2" s="1336"/>
      <c r="E2" s="1337"/>
      <c r="I2" s="1339"/>
      <c r="K2" s="1340"/>
    </row>
    <row r="3" spans="1:11">
      <c r="A3" s="1341" t="s">
        <v>1585</v>
      </c>
      <c r="B3" s="1341"/>
      <c r="C3" s="1334" t="s">
        <v>2181</v>
      </c>
      <c r="E3" s="1826">
        <f>ROUND(Application!AM564+'Basis &amp; Credits'!AB77,0)</f>
        <v>16514428</v>
      </c>
      <c r="F3" s="1342"/>
      <c r="K3" s="1413"/>
    </row>
    <row r="4" spans="1:11" s="1343" customFormat="1" ht="15" customHeight="1">
      <c r="C4" s="1343" t="s">
        <v>1879</v>
      </c>
      <c r="E4" s="1419">
        <f>Application!AD1037</f>
        <v>0.24780701754385964</v>
      </c>
      <c r="F4" s="1344"/>
      <c r="H4" s="1345"/>
      <c r="K4" s="1632"/>
    </row>
    <row r="5" spans="1:11" s="1346" customFormat="1" ht="15" customHeight="1">
      <c r="A5" s="3258"/>
      <c r="B5" s="3258"/>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12422036.850877194</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0</v>
      </c>
      <c r="G12" s="1361">
        <v>1</v>
      </c>
      <c r="H12" s="1362"/>
      <c r="I12" s="1363">
        <f>E12*G12</f>
        <v>0</v>
      </c>
      <c r="J12" s="1354"/>
    </row>
    <row r="13" spans="1:11">
      <c r="A13" s="1336"/>
      <c r="B13" s="1336"/>
      <c r="C13" s="1354" t="s">
        <v>1888</v>
      </c>
      <c r="D13" s="1354"/>
      <c r="E13" s="1414">
        <f>Application!BX635+Application!BX644+Application!DC658</f>
        <v>6</v>
      </c>
      <c r="G13" s="1361">
        <v>1.25</v>
      </c>
      <c r="H13" s="1362"/>
      <c r="I13" s="1363">
        <f>E13*G13</f>
        <v>7.5</v>
      </c>
      <c r="J13" s="1354"/>
    </row>
    <row r="14" spans="1:11">
      <c r="A14" s="1336"/>
      <c r="B14" s="1336"/>
      <c r="C14" s="1354" t="s">
        <v>1889</v>
      </c>
      <c r="D14" s="1354"/>
      <c r="E14" s="1414">
        <f>Application!CC635+Application!CC644+Application!DH658</f>
        <v>64</v>
      </c>
      <c r="G14" s="1361">
        <f>1.5+0.25*0</f>
        <v>1.5</v>
      </c>
      <c r="H14" s="1362"/>
      <c r="I14" s="1363">
        <f>IF(E14/E16&lt;=30%,E14*G14,TRUNC(0.3*E16)*G14+(E14-TRUNC(0.3*E16))*G13)</f>
        <v>85.25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70</v>
      </c>
      <c r="G16" s="1337"/>
      <c r="I16" s="1418">
        <f>SUM(I11:I15)</f>
        <v>92.75</v>
      </c>
    </row>
    <row r="17" spans="1:9">
      <c r="A17" s="1336"/>
      <c r="B17" s="1336"/>
      <c r="E17" s="1337"/>
      <c r="I17" s="1365"/>
    </row>
    <row r="18" spans="1:9">
      <c r="A18" s="1341" t="s">
        <v>1590</v>
      </c>
      <c r="B18" s="1341"/>
      <c r="C18" s="1366" t="s">
        <v>1891</v>
      </c>
      <c r="D18" s="1338"/>
      <c r="E18" s="1367">
        <f>E7/I16</f>
        <v>133930.31645150614</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55" zoomScaleNormal="100" zoomScaleSheetLayoutView="100" workbookViewId="0">
      <selection activeCell="AB72" sqref="AB7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2" t="s">
        <v>1522</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2" t="s">
        <v>393</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26337774.668028526</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7" t="s">
        <v>529</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0" t="s">
        <v>530</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0" t="s">
        <v>531</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0" t="s">
        <v>532</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0" t="s">
        <v>863</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0" t="s">
        <v>533</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5" t="s">
        <v>1038</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5" t="s">
        <v>1038</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2" t="s">
        <v>534</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2" t="s">
        <v>1494</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2" t="s">
        <v>535</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5" t="s">
        <v>536</v>
      </c>
      <c r="C23" s="3276"/>
      <c r="D23" s="3276"/>
      <c r="E23" s="3276"/>
      <c r="F23" s="3276"/>
      <c r="G23" s="3276"/>
      <c r="H23" s="3276"/>
      <c r="I23" s="3276"/>
      <c r="J23" s="3276"/>
      <c r="K23" s="3276"/>
      <c r="L23" s="3276"/>
      <c r="M23" s="3276"/>
      <c r="N23" s="3276"/>
      <c r="O23" s="3276"/>
      <c r="P23" s="3276"/>
      <c r="Q23" s="3276"/>
      <c r="R23" s="3276"/>
      <c r="S23" s="3277"/>
      <c r="T23" s="3265">
        <f>T11+T22</f>
        <v>26337774.668028526</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2" t="s">
        <v>1039</v>
      </c>
      <c r="C24" s="3273"/>
      <c r="D24" s="3273"/>
      <c r="E24" s="3273"/>
      <c r="F24" s="3273"/>
      <c r="G24" s="3273"/>
      <c r="H24" s="3273"/>
      <c r="I24" s="3273"/>
      <c r="J24" s="3273"/>
      <c r="K24" s="3273"/>
      <c r="L24" s="3273"/>
      <c r="M24" s="3273"/>
      <c r="N24" s="3273"/>
      <c r="O24" s="3273"/>
      <c r="P24" s="3273"/>
      <c r="Q24" s="3273"/>
      <c r="R24" s="3273"/>
      <c r="S24" s="3274"/>
      <c r="T24" s="3267">
        <f>Application!AJ1032</f>
        <v>52754214.200000003</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79" t="s">
        <v>1495</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2" t="s">
        <v>537</v>
      </c>
      <c r="C26" s="3273"/>
      <c r="D26" s="3273"/>
      <c r="E26" s="3273"/>
      <c r="F26" s="3273"/>
      <c r="G26" s="3273"/>
      <c r="H26" s="3273"/>
      <c r="I26" s="3273"/>
      <c r="J26" s="3273"/>
      <c r="K26" s="3273"/>
      <c r="L26" s="3273"/>
      <c r="M26" s="3273"/>
      <c r="N26" s="3273"/>
      <c r="O26" s="3273"/>
      <c r="P26" s="3273"/>
      <c r="Q26" s="3273"/>
      <c r="R26" s="3273"/>
      <c r="S26" s="3274"/>
      <c r="T26" s="3316">
        <f>T23*T25</f>
        <v>34239107.068437085</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2" t="s">
        <v>447</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2" t="s">
        <v>538</v>
      </c>
      <c r="C28" s="3273"/>
      <c r="D28" s="3273"/>
      <c r="E28" s="3273"/>
      <c r="F28" s="3273"/>
      <c r="G28" s="3273"/>
      <c r="H28" s="3273"/>
      <c r="I28" s="3273"/>
      <c r="J28" s="3273"/>
      <c r="K28" s="3273"/>
      <c r="L28" s="3273"/>
      <c r="M28" s="3273"/>
      <c r="N28" s="3273"/>
      <c r="O28" s="3273"/>
      <c r="P28" s="3273"/>
      <c r="Q28" s="3273"/>
      <c r="R28" s="3273"/>
      <c r="S28" s="3274"/>
      <c r="T28" s="3285">
        <f>IF(ISERROR((T26*T27)),0,(T26*T27))</f>
        <v>34239107.068437085</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2" t="s">
        <v>555</v>
      </c>
      <c r="C29" s="3273"/>
      <c r="D29" s="3273"/>
      <c r="E29" s="3273"/>
      <c r="F29" s="3273"/>
      <c r="G29" s="3273"/>
      <c r="H29" s="3273"/>
      <c r="I29" s="3273"/>
      <c r="J29" s="3273"/>
      <c r="K29" s="3273"/>
      <c r="L29" s="3273"/>
      <c r="M29" s="3273"/>
      <c r="N29" s="3273"/>
      <c r="O29" s="3273"/>
      <c r="P29" s="3273"/>
      <c r="Q29" s="3273"/>
      <c r="R29" s="3273"/>
      <c r="S29" s="3274"/>
      <c r="T29" s="3267">
        <f>T28+Y28+AD28+AI28</f>
        <v>34239107.068437085</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8" t="s">
        <v>1497</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8" t="s">
        <v>1496</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1345</v>
      </c>
      <c r="Z35" s="3304"/>
      <c r="AA35" s="3304"/>
      <c r="AB35" s="3304"/>
      <c r="AC35" s="3304"/>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2" t="s">
        <v>538</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34239107.068437085</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2" t="s">
        <v>2179</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2" t="s">
        <v>676</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1369564</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2" t="s">
        <v>677</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1369564</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70" t="s">
        <v>1511</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28308071.719608217</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15575896.546938701</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12732175.172669517</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v>0.85</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6" t="s">
        <v>2375</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14979030</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1497903</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1369564</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11641294</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1090881.1726695169</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9" t="s">
        <v>1067</v>
      </c>
      <c r="Z63" s="3319"/>
      <c r="AA63" s="3319"/>
      <c r="AB63" s="3319"/>
      <c r="AC63" s="3319"/>
      <c r="AD63" s="3319" t="s">
        <v>380</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26337774.668028526</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8">
        <f>ROUND(Y64*Y67,0)</f>
        <v>7901332</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v>0.7</v>
      </c>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0" t="s">
        <v>1482</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1558402</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1558402</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1090881.3999999999</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-0.22733048349618912</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8" thickTop="1"/>
    <row r="85" spans="1:98" ht="13.2">
      <c r="A85" s="794"/>
      <c r="C85" s="334"/>
      <c r="Z85" s="619"/>
      <c r="AA85" s="619"/>
      <c r="AB85" s="619"/>
      <c r="AC85" s="619"/>
      <c r="AD85" s="619"/>
      <c r="AE85" s="619"/>
      <c r="AF85" s="619"/>
      <c r="AG85" s="619"/>
      <c r="AH85" s="619"/>
    </row>
    <row r="86" spans="1:98" ht="13.2">
      <c r="D86" s="334"/>
      <c r="Z86" s="619"/>
      <c r="AA86" s="619"/>
      <c r="AB86" s="3271"/>
      <c r="AC86" s="3271"/>
      <c r="AD86" s="3271"/>
      <c r="AE86" s="3271"/>
      <c r="AF86" s="3271"/>
      <c r="AG86" s="619"/>
      <c r="AH86" s="619"/>
    </row>
    <row r="87" spans="1:98" ht="13.8"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85" zoomScaleNormal="85" zoomScaleSheetLayoutView="80" workbookViewId="0">
      <selection sqref="A1:K2"/>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JCL GP LLC</v>
      </c>
      <c r="F7" s="3345"/>
      <c r="G7" s="3345"/>
      <c r="H7" s="1426"/>
      <c r="I7" s="1427" t="s">
        <v>1938</v>
      </c>
      <c r="J7" s="1428">
        <f>Application!AG437+Application!AG439</f>
        <v>69</v>
      </c>
    </row>
    <row r="8" spans="1:33">
      <c r="C8" s="1427" t="s">
        <v>1939</v>
      </c>
      <c r="D8" s="1426"/>
      <c r="E8" s="3345" t="str">
        <f>Application!H18</f>
        <v>Juniper Valley Townhomes</v>
      </c>
      <c r="F8" s="3345"/>
      <c r="G8" s="3345"/>
      <c r="H8" s="1426"/>
      <c r="I8" s="1427" t="s">
        <v>1940</v>
      </c>
      <c r="J8" s="1429">
        <f>Application!CS663</f>
        <v>202</v>
      </c>
    </row>
    <row r="9" spans="1:33" ht="14.25" customHeight="1">
      <c r="C9" s="1427" t="s">
        <v>1941</v>
      </c>
      <c r="D9" s="1426"/>
      <c r="E9" s="3346" t="str">
        <f>Application!D210</f>
        <v>Large Family</v>
      </c>
      <c r="F9" s="3346"/>
      <c r="G9" s="3346"/>
      <c r="H9" s="1426"/>
      <c r="I9" s="1427" t="s">
        <v>1942</v>
      </c>
      <c r="J9" s="1430">
        <v>0</v>
      </c>
      <c r="N9" s="1431"/>
    </row>
    <row r="10" spans="1:33" ht="26.85" customHeight="1">
      <c r="C10" s="3344" t="s">
        <v>1943</v>
      </c>
      <c r="D10" s="3344"/>
      <c r="E10" s="3347" t="str">
        <f>Application!D213</f>
        <v>N/A</v>
      </c>
      <c r="F10" s="3347"/>
      <c r="G10" s="3347"/>
      <c r="H10" s="1426"/>
      <c r="I10" s="1432" t="s">
        <v>1944</v>
      </c>
      <c r="J10" s="1433">
        <f>IF(J9&gt;0,J8-J9,J8)</f>
        <v>202</v>
      </c>
      <c r="N10" s="1431"/>
    </row>
    <row r="11" spans="1:33">
      <c r="C11" s="1434"/>
      <c r="N11" s="1431"/>
    </row>
    <row r="12" spans="1:33" ht="1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2638</v>
      </c>
      <c r="G17" s="1443">
        <v>7304</v>
      </c>
      <c r="H17" s="1442" t="s">
        <v>2221</v>
      </c>
      <c r="I17" s="1442" t="s">
        <v>2640</v>
      </c>
      <c r="J17" s="1442" t="s">
        <v>2641</v>
      </c>
    </row>
    <row r="18" spans="3:10">
      <c r="C18" s="1439" t="s">
        <v>1955</v>
      </c>
      <c r="D18" s="1425" t="s">
        <v>1956</v>
      </c>
      <c r="E18" s="1425"/>
      <c r="F18" s="1440" t="s">
        <v>2639</v>
      </c>
      <c r="G18" s="1443">
        <v>10696</v>
      </c>
      <c r="H18" s="1442" t="s">
        <v>2221</v>
      </c>
      <c r="I18" s="1442" t="s">
        <v>2640</v>
      </c>
      <c r="J18" s="1442" t="s">
        <v>2641</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t="s">
        <v>2642</v>
      </c>
      <c r="E31" s="1459"/>
      <c r="F31" s="1440"/>
      <c r="G31" s="1443">
        <v>1200</v>
      </c>
      <c r="H31" s="1442" t="s">
        <v>2221</v>
      </c>
      <c r="I31" s="1442" t="s">
        <v>2640</v>
      </c>
      <c r="J31" s="1442" t="s">
        <v>2641</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19200</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70" zoomScaleNormal="70" zoomScaleSheetLayoutView="100" workbookViewId="0"/>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1431048</v>
      </c>
      <c r="G4" s="354">
        <f>E4*$C$4</f>
        <v>1466824.2</v>
      </c>
      <c r="I4" s="354">
        <f>G4*$C$4</f>
        <v>1503494.8049999999</v>
      </c>
      <c r="K4" s="354">
        <f>I4*$C$4</f>
        <v>1541082.1751249998</v>
      </c>
      <c r="M4" s="354">
        <f>K4*$C$4</f>
        <v>1579609.2295031247</v>
      </c>
      <c r="O4" s="354">
        <f>M4*$C$4</f>
        <v>1619099.4602407026</v>
      </c>
      <c r="Q4" s="354">
        <f>O4*$C$4</f>
        <v>1659576.94674672</v>
      </c>
      <c r="S4" s="354">
        <f>Q4*$C$4</f>
        <v>1701066.3704153879</v>
      </c>
      <c r="U4" s="354">
        <f>S4*$C$4</f>
        <v>1743593.0296757724</v>
      </c>
      <c r="W4" s="354">
        <f>U4*$C$4</f>
        <v>1787182.8554176665</v>
      </c>
      <c r="Y4" s="354">
        <f>W4*$C$4</f>
        <v>1831862.4268031081</v>
      </c>
      <c r="AA4" s="354">
        <f>Y4*$C$4</f>
        <v>1877658.9874731856</v>
      </c>
      <c r="AC4" s="354">
        <f>AA4*$C$4</f>
        <v>1924600.462160015</v>
      </c>
      <c r="AE4" s="354">
        <f>AC4*$C$4</f>
        <v>1972715.4737140152</v>
      </c>
      <c r="AG4" s="354">
        <f>AE4*$C$4</f>
        <v>2022033.3605568653</v>
      </c>
    </row>
    <row r="5" spans="1:34" s="339" customFormat="1" ht="13.8">
      <c r="B5" s="339" t="s">
        <v>900</v>
      </c>
      <c r="C5" s="375">
        <f>IF(Application!$D$210="Special Needs",0.1,0.05)</f>
        <v>0.05</v>
      </c>
      <c r="E5" s="356">
        <f>-E4*$C$5</f>
        <v>-71552.400000000009</v>
      </c>
      <c r="F5" s="356"/>
      <c r="G5" s="356">
        <f>-G4*$C$5</f>
        <v>-73341.210000000006</v>
      </c>
      <c r="H5" s="356"/>
      <c r="I5" s="356">
        <f>-I4*$C$5</f>
        <v>-75174.740250000003</v>
      </c>
      <c r="J5" s="356"/>
      <c r="K5" s="356">
        <f>-K4*$C$5</f>
        <v>-77054.108756249989</v>
      </c>
      <c r="L5" s="356"/>
      <c r="M5" s="356">
        <f>-M4*$C$5</f>
        <v>-78980.461475156248</v>
      </c>
      <c r="N5" s="356"/>
      <c r="O5" s="356">
        <f>-O4*$C$5</f>
        <v>-80954.973012035131</v>
      </c>
      <c r="P5" s="356"/>
      <c r="Q5" s="356">
        <f>-Q4*$C$5</f>
        <v>-82978.847337336003</v>
      </c>
      <c r="R5" s="356"/>
      <c r="S5" s="356">
        <f>-S4*$C$5</f>
        <v>-85053.318520769404</v>
      </c>
      <c r="T5" s="356"/>
      <c r="U5" s="356">
        <f>-U4*$C$5</f>
        <v>-87179.651483788621</v>
      </c>
      <c r="V5" s="356"/>
      <c r="W5" s="356">
        <f>-W4*$C$5</f>
        <v>-89359.142770883336</v>
      </c>
      <c r="X5" s="356"/>
      <c r="Y5" s="356">
        <f>-Y4*$C$5</f>
        <v>-91593.121340155412</v>
      </c>
      <c r="Z5" s="356"/>
      <c r="AA5" s="356">
        <f>-AA4*$C$5</f>
        <v>-93882.949373659285</v>
      </c>
      <c r="AB5" s="356"/>
      <c r="AC5" s="356">
        <f>-AC4*$C$5</f>
        <v>-96230.023108000751</v>
      </c>
      <c r="AD5" s="356"/>
      <c r="AE5" s="356">
        <f>-AE4*$C$5</f>
        <v>-98635.773685700769</v>
      </c>
      <c r="AF5" s="356"/>
      <c r="AG5" s="356">
        <f>-AG4*$C$5</f>
        <v>-101101.66802784328</v>
      </c>
    </row>
    <row r="6" spans="1:34" s="339" customFormat="1" ht="13.8">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15000</v>
      </c>
      <c r="F8" s="357"/>
      <c r="G8" s="357">
        <f>E8*$C$8</f>
        <v>15374.999999999998</v>
      </c>
      <c r="H8" s="357"/>
      <c r="I8" s="357">
        <f>G8*$C$8</f>
        <v>15759.374999999996</v>
      </c>
      <c r="J8" s="357"/>
      <c r="K8" s="357">
        <f>I8*$C$8</f>
        <v>16153.359374999995</v>
      </c>
      <c r="L8" s="357"/>
      <c r="M8" s="357">
        <f>K8*$C$8</f>
        <v>16557.193359374993</v>
      </c>
      <c r="N8" s="357"/>
      <c r="O8" s="357">
        <f>M8*$C$8</f>
        <v>16971.123193359366</v>
      </c>
      <c r="P8" s="357"/>
      <c r="Q8" s="357">
        <f>O8*$C$8</f>
        <v>17395.401273193347</v>
      </c>
      <c r="R8" s="357"/>
      <c r="S8" s="357">
        <f>Q8*$C$8</f>
        <v>17830.286305023179</v>
      </c>
      <c r="T8" s="357"/>
      <c r="U8" s="357">
        <f>S8*$C$8</f>
        <v>18276.043462648759</v>
      </c>
      <c r="V8" s="357"/>
      <c r="W8" s="357">
        <f>U8*$C$8</f>
        <v>18732.944549214975</v>
      </c>
      <c r="X8" s="357"/>
      <c r="Y8" s="357">
        <f>W8*$C$8</f>
        <v>19201.268162945347</v>
      </c>
      <c r="Z8" s="357"/>
      <c r="AA8" s="357">
        <f>Y8*$C$8</f>
        <v>19681.299867018981</v>
      </c>
      <c r="AB8" s="357"/>
      <c r="AC8" s="357">
        <f>AA8*$C$8</f>
        <v>20173.332363694455</v>
      </c>
      <c r="AD8" s="357"/>
      <c r="AE8" s="357">
        <f>AC8*$C$8</f>
        <v>20677.665672786814</v>
      </c>
      <c r="AF8" s="357"/>
      <c r="AG8" s="357">
        <f>AE8*$C$8</f>
        <v>21194.607314606481</v>
      </c>
    </row>
    <row r="9" spans="1:34" s="339" customFormat="1" ht="13.8">
      <c r="B9" s="339" t="s">
        <v>900</v>
      </c>
      <c r="C9" s="375">
        <f>IF(Application!$D$210="Special Needs",0.1,0.05)</f>
        <v>0.05</v>
      </c>
      <c r="E9" s="373">
        <f>-E8*$C$9</f>
        <v>-750</v>
      </c>
      <c r="F9" s="356"/>
      <c r="G9" s="373">
        <f>-G8*$C$9</f>
        <v>-768.75</v>
      </c>
      <c r="H9" s="356"/>
      <c r="I9" s="373">
        <f>-I8*$C$9</f>
        <v>-787.96874999999989</v>
      </c>
      <c r="J9" s="356"/>
      <c r="K9" s="373">
        <f>-K8*$C$9</f>
        <v>-807.66796874999977</v>
      </c>
      <c r="L9" s="356"/>
      <c r="M9" s="373">
        <f>-M8*$C$9</f>
        <v>-827.8596679687497</v>
      </c>
      <c r="N9" s="356"/>
      <c r="O9" s="373">
        <f>-O8*$C$9</f>
        <v>-848.55615966796836</v>
      </c>
      <c r="P9" s="356"/>
      <c r="Q9" s="373">
        <f>-Q8*$C$9</f>
        <v>-869.77006365966736</v>
      </c>
      <c r="R9" s="356"/>
      <c r="S9" s="373">
        <f>-S8*$C$9</f>
        <v>-891.51431525115902</v>
      </c>
      <c r="T9" s="356"/>
      <c r="U9" s="373">
        <f>-U8*$C$9</f>
        <v>-913.80217313243793</v>
      </c>
      <c r="V9" s="356"/>
      <c r="W9" s="373">
        <f>-W8*$C$9</f>
        <v>-936.64722746074881</v>
      </c>
      <c r="X9" s="356"/>
      <c r="Y9" s="373">
        <f>-Y8*$C$9</f>
        <v>-960.06340814726741</v>
      </c>
      <c r="Z9" s="356"/>
      <c r="AA9" s="373">
        <f>-AA8*$C$9</f>
        <v>-984.06499335094907</v>
      </c>
      <c r="AB9" s="356"/>
      <c r="AC9" s="373">
        <f>-AC8*$C$9</f>
        <v>-1008.6666181847228</v>
      </c>
      <c r="AD9" s="356"/>
      <c r="AE9" s="373">
        <f>-AE8*$C$9</f>
        <v>-1033.8832836393408</v>
      </c>
      <c r="AF9" s="356"/>
      <c r="AG9" s="373">
        <f>-AG8*$C$9</f>
        <v>-1059.7303657303241</v>
      </c>
    </row>
    <row r="10" spans="1:34" s="358" customFormat="1" ht="13.8">
      <c r="A10" s="358" t="s">
        <v>921</v>
      </c>
      <c r="C10" s="349"/>
      <c r="E10" s="358">
        <f>SUM(E4:E9)</f>
        <v>1373745.6</v>
      </c>
      <c r="G10" s="358">
        <f>SUM(G4:G9)</f>
        <v>1408089.24</v>
      </c>
      <c r="I10" s="358">
        <f>SUM(I4:I9)</f>
        <v>1443291.4709999999</v>
      </c>
      <c r="K10" s="358">
        <f>SUM(K4:K9)</f>
        <v>1479373.7577749998</v>
      </c>
      <c r="M10" s="358">
        <f>SUM(M4:M9)</f>
        <v>1516358.1017193748</v>
      </c>
      <c r="O10" s="358">
        <f>SUM(O4:O9)</f>
        <v>1554267.0542623589</v>
      </c>
      <c r="Q10" s="358">
        <f>SUM(Q4:Q9)</f>
        <v>1593123.7306189176</v>
      </c>
      <c r="S10" s="358">
        <f>SUM(S4:S9)</f>
        <v>1632951.8238843903</v>
      </c>
      <c r="U10" s="358">
        <f>SUM(U4:U9)</f>
        <v>1673775.6194815</v>
      </c>
      <c r="W10" s="358">
        <f>SUM(W4:W9)</f>
        <v>1715620.0099685374</v>
      </c>
      <c r="Y10" s="358">
        <f>SUM(Y4:Y9)</f>
        <v>1758510.5102177507</v>
      </c>
      <c r="AA10" s="358">
        <f>SUM(AA4:AA9)</f>
        <v>1802473.2729731945</v>
      </c>
      <c r="AC10" s="358">
        <f>SUM(AC4:AC9)</f>
        <v>1847535.1047975239</v>
      </c>
      <c r="AE10" s="358">
        <f>SUM(AE4:AE9)</f>
        <v>1893723.4824174619</v>
      </c>
      <c r="AG10" s="358">
        <f>SUM(AG4:AG9)</f>
        <v>1941066.5694778981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37800</v>
      </c>
      <c r="G14" s="354">
        <f>E14*$C$13</f>
        <v>39123</v>
      </c>
      <c r="I14" s="354">
        <f>G14*$C$13</f>
        <v>40492.305</v>
      </c>
      <c r="K14" s="354">
        <f>I14*$C$13</f>
        <v>41909.535674999999</v>
      </c>
      <c r="M14" s="354">
        <f>K14*$C$13</f>
        <v>43376.369423624994</v>
      </c>
      <c r="O14" s="354">
        <f>M14*$C$13</f>
        <v>44894.542353451863</v>
      </c>
      <c r="Q14" s="354">
        <f>O14*$C$13</f>
        <v>46465.851335822677</v>
      </c>
      <c r="S14" s="354">
        <f>Q14*$C$13</f>
        <v>48092.156132576471</v>
      </c>
      <c r="U14" s="354">
        <f>S14*$C$13</f>
        <v>49775.381597216641</v>
      </c>
      <c r="W14" s="354">
        <f>U14*$C$13</f>
        <v>51517.519953119219</v>
      </c>
      <c r="Y14" s="354">
        <f>W14*$C$13</f>
        <v>53320.633151478389</v>
      </c>
      <c r="AA14" s="354">
        <f>Y14*$C$13</f>
        <v>55186.855311780128</v>
      </c>
      <c r="AC14" s="354">
        <f>AA14*$C$13</f>
        <v>57118.395247692424</v>
      </c>
      <c r="AE14" s="354">
        <f>AC14*$C$13</f>
        <v>59117.539081361654</v>
      </c>
      <c r="AG14" s="354">
        <f>AE14*$C$13</f>
        <v>61186.65294920931</v>
      </c>
    </row>
    <row r="15" spans="1:34" s="339" customFormat="1" ht="13.8">
      <c r="A15" s="339" t="s">
        <v>354</v>
      </c>
      <c r="C15" s="368"/>
      <c r="E15" s="357">
        <f>Application!W847</f>
        <v>50400</v>
      </c>
      <c r="F15" s="357"/>
      <c r="G15" s="357">
        <f t="shared" ref="G15:AG20" si="0">E15*$C$13</f>
        <v>52163.999999999993</v>
      </c>
      <c r="H15" s="357"/>
      <c r="I15" s="357">
        <f t="shared" si="0"/>
        <v>53989.739999999991</v>
      </c>
      <c r="J15" s="357"/>
      <c r="K15" s="357">
        <f t="shared" si="0"/>
        <v>55879.380899999989</v>
      </c>
      <c r="L15" s="357"/>
      <c r="M15" s="357">
        <f t="shared" si="0"/>
        <v>57835.159231499987</v>
      </c>
      <c r="N15" s="357"/>
      <c r="O15" s="357">
        <f t="shared" si="0"/>
        <v>59859.389804602484</v>
      </c>
      <c r="P15" s="357"/>
      <c r="Q15" s="357">
        <f t="shared" si="0"/>
        <v>61954.468447763567</v>
      </c>
      <c r="R15" s="357"/>
      <c r="S15" s="357">
        <f t="shared" si="0"/>
        <v>64122.874843435289</v>
      </c>
      <c r="T15" s="357"/>
      <c r="U15" s="357">
        <f t="shared" si="0"/>
        <v>66367.175462955522</v>
      </c>
      <c r="V15" s="357"/>
      <c r="W15" s="357">
        <f t="shared" si="0"/>
        <v>68690.026604158964</v>
      </c>
      <c r="X15" s="357"/>
      <c r="Y15" s="357">
        <f t="shared" si="0"/>
        <v>71094.177535304523</v>
      </c>
      <c r="Z15" s="357"/>
      <c r="AA15" s="357">
        <f t="shared" si="0"/>
        <v>73582.473749040175</v>
      </c>
      <c r="AB15" s="357"/>
      <c r="AC15" s="357">
        <f t="shared" si="0"/>
        <v>76157.860330256575</v>
      </c>
      <c r="AD15" s="357"/>
      <c r="AE15" s="357">
        <f t="shared" si="0"/>
        <v>78823.385441815553</v>
      </c>
      <c r="AF15" s="357"/>
      <c r="AG15" s="357">
        <f t="shared" si="0"/>
        <v>81582.203932279095</v>
      </c>
    </row>
    <row r="16" spans="1:34" s="339" customFormat="1" ht="13.8">
      <c r="A16" s="339" t="s">
        <v>593</v>
      </c>
      <c r="C16" s="368"/>
      <c r="E16" s="357">
        <f>Application!W853</f>
        <v>100800</v>
      </c>
      <c r="F16" s="357"/>
      <c r="G16" s="357">
        <f t="shared" si="0"/>
        <v>104327.99999999999</v>
      </c>
      <c r="H16" s="357"/>
      <c r="I16" s="357">
        <f t="shared" si="0"/>
        <v>107979.47999999998</v>
      </c>
      <c r="J16" s="357"/>
      <c r="K16" s="357">
        <f t="shared" si="0"/>
        <v>111758.76179999998</v>
      </c>
      <c r="L16" s="357"/>
      <c r="M16" s="357">
        <f t="shared" si="0"/>
        <v>115670.31846299997</v>
      </c>
      <c r="N16" s="357"/>
      <c r="O16" s="357">
        <f t="shared" si="0"/>
        <v>119718.77960920497</v>
      </c>
      <c r="P16" s="357"/>
      <c r="Q16" s="357">
        <f t="shared" si="0"/>
        <v>123908.93689552713</v>
      </c>
      <c r="R16" s="357"/>
      <c r="S16" s="357">
        <f t="shared" si="0"/>
        <v>128245.74968687058</v>
      </c>
      <c r="T16" s="357"/>
      <c r="U16" s="357">
        <f t="shared" si="0"/>
        <v>132734.35092591104</v>
      </c>
      <c r="V16" s="357"/>
      <c r="W16" s="357">
        <f t="shared" si="0"/>
        <v>137380.05320831793</v>
      </c>
      <c r="X16" s="357"/>
      <c r="Y16" s="357">
        <f t="shared" si="0"/>
        <v>142188.35507060905</v>
      </c>
      <c r="Z16" s="357"/>
      <c r="AA16" s="357">
        <f t="shared" si="0"/>
        <v>147164.94749808035</v>
      </c>
      <c r="AB16" s="357"/>
      <c r="AC16" s="357">
        <f t="shared" si="0"/>
        <v>152315.72066051315</v>
      </c>
      <c r="AD16" s="357"/>
      <c r="AE16" s="357">
        <f t="shared" si="0"/>
        <v>157646.77088363111</v>
      </c>
      <c r="AF16" s="357"/>
      <c r="AG16" s="357">
        <f t="shared" si="0"/>
        <v>163164.40786455819</v>
      </c>
    </row>
    <row r="17" spans="1:33" s="339" customFormat="1" ht="13.8">
      <c r="A17" s="339" t="s">
        <v>904</v>
      </c>
      <c r="C17" s="368"/>
      <c r="E17" s="357">
        <f>Application!W860</f>
        <v>101600</v>
      </c>
      <c r="F17" s="357"/>
      <c r="G17" s="357">
        <f t="shared" si="0"/>
        <v>105155.99999999999</v>
      </c>
      <c r="H17" s="357"/>
      <c r="I17" s="357">
        <f t="shared" si="0"/>
        <v>108836.45999999998</v>
      </c>
      <c r="J17" s="357"/>
      <c r="K17" s="357">
        <f t="shared" si="0"/>
        <v>112645.73609999997</v>
      </c>
      <c r="L17" s="357"/>
      <c r="M17" s="357">
        <f t="shared" si="0"/>
        <v>116588.33686349995</v>
      </c>
      <c r="N17" s="357"/>
      <c r="O17" s="357">
        <f t="shared" si="0"/>
        <v>120668.92865372244</v>
      </c>
      <c r="P17" s="357"/>
      <c r="Q17" s="357">
        <f t="shared" si="0"/>
        <v>124892.34115660272</v>
      </c>
      <c r="R17" s="357"/>
      <c r="S17" s="357">
        <f t="shared" si="0"/>
        <v>129263.5730970838</v>
      </c>
      <c r="T17" s="357"/>
      <c r="U17" s="357">
        <f t="shared" si="0"/>
        <v>133787.79815548172</v>
      </c>
      <c r="V17" s="357"/>
      <c r="W17" s="357">
        <f t="shared" si="0"/>
        <v>138470.37109092358</v>
      </c>
      <c r="X17" s="357"/>
      <c r="Y17" s="357">
        <f t="shared" si="0"/>
        <v>143316.8340791059</v>
      </c>
      <c r="Z17" s="357"/>
      <c r="AA17" s="357">
        <f t="shared" si="0"/>
        <v>148332.92327187461</v>
      </c>
      <c r="AB17" s="357"/>
      <c r="AC17" s="357">
        <f t="shared" si="0"/>
        <v>153524.57558639022</v>
      </c>
      <c r="AD17" s="357"/>
      <c r="AE17" s="357">
        <f t="shared" si="0"/>
        <v>158897.93573191387</v>
      </c>
      <c r="AF17" s="357"/>
      <c r="AG17" s="357">
        <f t="shared" si="0"/>
        <v>164459.36348253084</v>
      </c>
    </row>
    <row r="18" spans="1:33" s="339" customFormat="1" ht="13.8">
      <c r="A18" s="339" t="s">
        <v>160</v>
      </c>
      <c r="C18" s="368"/>
      <c r="E18" s="357">
        <f>Application!W861</f>
        <v>74200</v>
      </c>
      <c r="F18" s="357"/>
      <c r="G18" s="357">
        <f t="shared" si="0"/>
        <v>76797</v>
      </c>
      <c r="H18" s="357"/>
      <c r="I18" s="357">
        <f t="shared" si="0"/>
        <v>79484.89499999999</v>
      </c>
      <c r="J18" s="357"/>
      <c r="K18" s="357">
        <f t="shared" si="0"/>
        <v>82266.866324999981</v>
      </c>
      <c r="L18" s="357"/>
      <c r="M18" s="357">
        <f t="shared" si="0"/>
        <v>85146.20664637498</v>
      </c>
      <c r="N18" s="357"/>
      <c r="O18" s="357">
        <f t="shared" si="0"/>
        <v>88126.323878998097</v>
      </c>
      <c r="P18" s="357"/>
      <c r="Q18" s="357">
        <f t="shared" si="0"/>
        <v>91210.745214763025</v>
      </c>
      <c r="R18" s="357"/>
      <c r="S18" s="357">
        <f t="shared" si="0"/>
        <v>94403.121297279722</v>
      </c>
      <c r="T18" s="357"/>
      <c r="U18" s="357">
        <f t="shared" si="0"/>
        <v>97707.230542684498</v>
      </c>
      <c r="V18" s="357"/>
      <c r="W18" s="357">
        <f t="shared" si="0"/>
        <v>101126.98361167844</v>
      </c>
      <c r="X18" s="357"/>
      <c r="Y18" s="357">
        <f t="shared" si="0"/>
        <v>104666.42803808718</v>
      </c>
      <c r="Z18" s="357"/>
      <c r="AA18" s="357">
        <f t="shared" si="0"/>
        <v>108329.75301942023</v>
      </c>
      <c r="AB18" s="357"/>
      <c r="AC18" s="357">
        <f t="shared" si="0"/>
        <v>112121.29437509993</v>
      </c>
      <c r="AD18" s="357"/>
      <c r="AE18" s="357">
        <f t="shared" si="0"/>
        <v>116045.53967822841</v>
      </c>
      <c r="AF18" s="357"/>
      <c r="AG18" s="357">
        <f t="shared" si="0"/>
        <v>120107.1335669664</v>
      </c>
    </row>
    <row r="19" spans="1:33" s="339" customFormat="1" ht="13.8">
      <c r="A19" s="339" t="s">
        <v>409</v>
      </c>
      <c r="C19" s="368"/>
      <c r="E19" s="357">
        <f>Application!W870</f>
        <v>43400</v>
      </c>
      <c r="F19" s="357"/>
      <c r="G19" s="357">
        <f t="shared" si="0"/>
        <v>44919</v>
      </c>
      <c r="H19" s="357"/>
      <c r="I19" s="357">
        <f t="shared" si="0"/>
        <v>46491.164999999994</v>
      </c>
      <c r="J19" s="357"/>
      <c r="K19" s="357">
        <f t="shared" si="0"/>
        <v>48118.355774999989</v>
      </c>
      <c r="L19" s="357"/>
      <c r="M19" s="357">
        <f t="shared" si="0"/>
        <v>49802.498227124983</v>
      </c>
      <c r="N19" s="357"/>
      <c r="O19" s="357">
        <f t="shared" si="0"/>
        <v>51545.585665074352</v>
      </c>
      <c r="P19" s="357"/>
      <c r="Q19" s="357">
        <f t="shared" si="0"/>
        <v>53349.681163351946</v>
      </c>
      <c r="R19" s="357"/>
      <c r="S19" s="357">
        <f t="shared" si="0"/>
        <v>55216.920004069259</v>
      </c>
      <c r="T19" s="357"/>
      <c r="U19" s="357">
        <f t="shared" si="0"/>
        <v>57149.512204211678</v>
      </c>
      <c r="V19" s="357"/>
      <c r="W19" s="357">
        <f t="shared" si="0"/>
        <v>59149.745131359079</v>
      </c>
      <c r="X19" s="357"/>
      <c r="Y19" s="357">
        <f t="shared" si="0"/>
        <v>61219.986210956646</v>
      </c>
      <c r="Z19" s="357"/>
      <c r="AA19" s="357">
        <f t="shared" si="0"/>
        <v>63362.685728340126</v>
      </c>
      <c r="AB19" s="357"/>
      <c r="AC19" s="357">
        <f t="shared" si="0"/>
        <v>65580.37972883202</v>
      </c>
      <c r="AD19" s="357"/>
      <c r="AE19" s="357">
        <f t="shared" si="0"/>
        <v>67875.693019341139</v>
      </c>
      <c r="AF19" s="357"/>
      <c r="AG19" s="357">
        <f t="shared" si="0"/>
        <v>70251.342275018076</v>
      </c>
    </row>
    <row r="20" spans="1:33" s="339" customFormat="1" ht="13.8">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408200</v>
      </c>
      <c r="G21" s="358">
        <f>SUM(G14:G20)</f>
        <v>422487</v>
      </c>
      <c r="I21" s="358">
        <f>SUM(I14:I20)</f>
        <v>437274.04499999987</v>
      </c>
      <c r="K21" s="358">
        <f>SUM(K14:K20)</f>
        <v>452578.63657499995</v>
      </c>
      <c r="M21" s="358">
        <f>SUM(M14:M20)</f>
        <v>468418.88885512488</v>
      </c>
      <c r="O21" s="358">
        <f>SUM(O14:O20)</f>
        <v>484813.5499650542</v>
      </c>
      <c r="Q21" s="358">
        <f>SUM(Q14:Q20)</f>
        <v>501782.02421383106</v>
      </c>
      <c r="S21" s="358">
        <f>SUM(S14:S20)</f>
        <v>519344.39506131515</v>
      </c>
      <c r="U21" s="358">
        <f>SUM(U14:U20)</f>
        <v>537521.44888846111</v>
      </c>
      <c r="W21" s="358">
        <f>SUM(W14:W20)</f>
        <v>556334.69959955721</v>
      </c>
      <c r="Y21" s="358">
        <f>SUM(Y14:Y20)</f>
        <v>575806.41408554162</v>
      </c>
      <c r="AA21" s="358">
        <f>SUM(AA14:AA20)</f>
        <v>595959.63857853564</v>
      </c>
      <c r="AC21" s="358">
        <f>SUM(AC14:AC20)</f>
        <v>616818.22592878435</v>
      </c>
      <c r="AE21" s="358">
        <f>SUM(AE14:AE20)</f>
        <v>638406.86383629171</v>
      </c>
      <c r="AG21" s="358">
        <f>SUM(AG14:AG20)</f>
        <v>660751.10407056194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v>
      </c>
      <c r="E26" s="357">
        <f>Application!AC886</f>
        <v>19200</v>
      </c>
      <c r="F26" s="357"/>
      <c r="G26" s="357">
        <f>E26*$C$26</f>
        <v>19776</v>
      </c>
      <c r="H26" s="357"/>
      <c r="I26" s="357">
        <f>G26*$C$26</f>
        <v>20369.28</v>
      </c>
      <c r="J26" s="357"/>
      <c r="K26" s="357">
        <f>I26*$C$26</f>
        <v>20980.358400000001</v>
      </c>
      <c r="L26" s="357"/>
      <c r="M26" s="357">
        <f>K26*$C$26</f>
        <v>21609.769152000001</v>
      </c>
      <c r="N26" s="357"/>
      <c r="O26" s="357">
        <f>M26*$C$26</f>
        <v>22258.06222656</v>
      </c>
      <c r="P26" s="357"/>
      <c r="Q26" s="357">
        <f>O26*$C$26</f>
        <v>22925.804093356801</v>
      </c>
      <c r="R26" s="357"/>
      <c r="S26" s="357">
        <f>Q26*$C$26</f>
        <v>23613.578216157504</v>
      </c>
      <c r="T26" s="357"/>
      <c r="U26" s="357">
        <f>S26*$C$26</f>
        <v>24321.985562642229</v>
      </c>
      <c r="V26" s="357"/>
      <c r="W26" s="357">
        <f>U26*$C$26</f>
        <v>25051.645129521497</v>
      </c>
      <c r="X26" s="357"/>
      <c r="Y26" s="357">
        <f>W26*$C$26</f>
        <v>25803.194483407144</v>
      </c>
      <c r="Z26" s="357"/>
      <c r="AA26" s="357">
        <f>Y26*$C$26</f>
        <v>26577.290317909359</v>
      </c>
      <c r="AB26" s="357"/>
      <c r="AC26" s="357">
        <f>AA26*$C$26</f>
        <v>27374.609027446641</v>
      </c>
      <c r="AD26" s="357"/>
      <c r="AE26" s="357">
        <f>AC26*$C$26</f>
        <v>28195.84729827004</v>
      </c>
      <c r="AF26" s="357"/>
      <c r="AG26" s="357">
        <f>AE26*$C$26</f>
        <v>29041.722717218141</v>
      </c>
    </row>
    <row r="27" spans="1:33" s="339" customFormat="1" ht="13.8">
      <c r="A27" s="339" t="s">
        <v>908</v>
      </c>
      <c r="C27" s="376"/>
      <c r="E27" s="357">
        <f>Application!AC887</f>
        <v>17500</v>
      </c>
      <c r="F27" s="357"/>
      <c r="G27" s="357">
        <f>$E$27</f>
        <v>17500</v>
      </c>
      <c r="H27" s="357"/>
      <c r="I27" s="357">
        <f>$E$27</f>
        <v>17500</v>
      </c>
      <c r="J27" s="357"/>
      <c r="K27" s="357">
        <f>$E$27</f>
        <v>17500</v>
      </c>
      <c r="L27" s="357"/>
      <c r="M27" s="357">
        <f>$E$27</f>
        <v>17500</v>
      </c>
      <c r="N27" s="357"/>
      <c r="O27" s="357">
        <f>$E$27</f>
        <v>17500</v>
      </c>
      <c r="P27" s="357"/>
      <c r="Q27" s="357">
        <f>$E$27</f>
        <v>17500</v>
      </c>
      <c r="R27" s="357"/>
      <c r="S27" s="357">
        <f>$E$27</f>
        <v>17500</v>
      </c>
      <c r="T27" s="357"/>
      <c r="U27" s="357">
        <f>$E$27</f>
        <v>17500</v>
      </c>
      <c r="V27" s="357"/>
      <c r="W27" s="357">
        <f>$E$27</f>
        <v>17500</v>
      </c>
      <c r="X27" s="357"/>
      <c r="Y27" s="357">
        <f>$E$27</f>
        <v>17500</v>
      </c>
      <c r="Z27" s="357"/>
      <c r="AA27" s="357">
        <f>$E$27</f>
        <v>17500</v>
      </c>
      <c r="AB27" s="357"/>
      <c r="AC27" s="357">
        <f>$E$27</f>
        <v>17500</v>
      </c>
      <c r="AD27" s="357"/>
      <c r="AE27" s="357">
        <f>$E$27</f>
        <v>17500</v>
      </c>
      <c r="AF27" s="357"/>
      <c r="AG27" s="357">
        <f>$E$27</f>
        <v>17500</v>
      </c>
    </row>
    <row r="28" spans="1:33" s="339" customFormat="1" ht="13.8">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c r="B31" s="361"/>
      <c r="C31" s="492"/>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c r="B32" s="361"/>
      <c r="C32" s="492"/>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450400</v>
      </c>
      <c r="G34" s="358">
        <f>SUM(G21:G32)</f>
        <v>465373</v>
      </c>
      <c r="I34" s="358">
        <f>SUM(I21:I32)</f>
        <v>480865.52499999985</v>
      </c>
      <c r="K34" s="358">
        <f>SUM(K21:K32)</f>
        <v>496895.63897500001</v>
      </c>
      <c r="M34" s="358">
        <f>SUM(M21:M32)</f>
        <v>513482.0348871249</v>
      </c>
      <c r="O34" s="358">
        <f>SUM(O21:O32)</f>
        <v>530644.05660921428</v>
      </c>
      <c r="Q34" s="358">
        <f>SUM(Q21:Q32)</f>
        <v>548401.72161313985</v>
      </c>
      <c r="S34" s="358">
        <f>SUM(S21:S32)</f>
        <v>566775.74444954365</v>
      </c>
      <c r="U34" s="358">
        <f>SUM(U21:U32)</f>
        <v>585787.56104661583</v>
      </c>
      <c r="W34" s="358">
        <f>SUM(W21:W32)</f>
        <v>605459.3538565014</v>
      </c>
      <c r="Y34" s="358">
        <f>SUM(Y21:Y32)</f>
        <v>625814.07787892001</v>
      </c>
      <c r="AA34" s="358">
        <f>SUM(AA21:AA32)</f>
        <v>646875.48759261554</v>
      </c>
      <c r="AC34" s="358">
        <f>SUM(AC21:AC32)</f>
        <v>668668.16482632491</v>
      </c>
      <c r="AE34" s="358">
        <f>SUM(AE21:AE32)</f>
        <v>691217.54760205769</v>
      </c>
      <c r="AG34" s="358">
        <f>SUM(AG21:AG32)</f>
        <v>714549.95998462581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923345.60000000009</v>
      </c>
      <c r="G36" s="358">
        <f>G10-G34</f>
        <v>942716.24</v>
      </c>
      <c r="I36" s="358">
        <f>I10-I34</f>
        <v>962425.946</v>
      </c>
      <c r="K36" s="358">
        <f>K10-K34</f>
        <v>982478.11879999982</v>
      </c>
      <c r="M36" s="358">
        <f>M10-M34</f>
        <v>1002876.0668322499</v>
      </c>
      <c r="O36" s="358">
        <f>O10-O34</f>
        <v>1023622.9976531446</v>
      </c>
      <c r="Q36" s="358">
        <f>Q10-Q34</f>
        <v>1044722.0090057778</v>
      </c>
      <c r="S36" s="358">
        <f>S10-S34</f>
        <v>1066176.0794348465</v>
      </c>
      <c r="U36" s="358">
        <f>U10-U34</f>
        <v>1087988.0584348841</v>
      </c>
      <c r="W36" s="358">
        <f>W10-W34</f>
        <v>1110160.656112036</v>
      </c>
      <c r="Y36" s="358">
        <f>Y10-Y34</f>
        <v>1132696.4323388305</v>
      </c>
      <c r="AA36" s="358">
        <f>AA10-AA34</f>
        <v>1155597.7853805791</v>
      </c>
      <c r="AC36" s="358">
        <f>AC10-AC34</f>
        <v>1178866.939971199</v>
      </c>
      <c r="AE36" s="358">
        <f>AE10-AE34</f>
        <v>1202505.9348154042</v>
      </c>
      <c r="AG36" s="358">
        <f>AG10-AG34</f>
        <v>1226516.6094932724</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 Perm Loan</v>
      </c>
      <c r="B39" s="361"/>
      <c r="C39" s="355"/>
      <c r="E39" s="357">
        <f>Application!AF637</f>
        <v>802909.21739130397</v>
      </c>
      <c r="F39" s="357"/>
      <c r="G39" s="357">
        <f>$E$39</f>
        <v>802909.21739130397</v>
      </c>
      <c r="H39" s="357"/>
      <c r="I39" s="357">
        <f>$E$39</f>
        <v>802909.21739130397</v>
      </c>
      <c r="J39" s="357"/>
      <c r="K39" s="357">
        <f>$E$39</f>
        <v>802909.21739130397</v>
      </c>
      <c r="L39" s="357"/>
      <c r="M39" s="357">
        <f>$E$39</f>
        <v>802909.21739130397</v>
      </c>
      <c r="N39" s="357"/>
      <c r="O39" s="357">
        <f>$E$39</f>
        <v>802909.21739130397</v>
      </c>
      <c r="P39" s="357"/>
      <c r="Q39" s="357">
        <f>$E$39</f>
        <v>802909.21739130397</v>
      </c>
      <c r="R39" s="357"/>
      <c r="S39" s="357">
        <f>$E$39</f>
        <v>802909.21739130397</v>
      </c>
      <c r="T39" s="357"/>
      <c r="U39" s="357">
        <f>$E$39</f>
        <v>802909.21739130397</v>
      </c>
      <c r="V39" s="357"/>
      <c r="W39" s="357">
        <f>$E$39</f>
        <v>802909.21739130397</v>
      </c>
      <c r="X39" s="357"/>
      <c r="Y39" s="357">
        <f>$E$39</f>
        <v>802909.21739130397</v>
      </c>
      <c r="Z39" s="357"/>
      <c r="AA39" s="357">
        <f>$E$39</f>
        <v>802909.21739130397</v>
      </c>
      <c r="AB39" s="357"/>
      <c r="AC39" s="357">
        <f>$E$39</f>
        <v>802909.21739130397</v>
      </c>
      <c r="AD39" s="357"/>
      <c r="AE39" s="357">
        <f>$E$39</f>
        <v>802909.21739130397</v>
      </c>
      <c r="AF39" s="357"/>
      <c r="AG39" s="357">
        <f>$E$39</f>
        <v>802909.21739130397</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802909.21739130397</v>
      </c>
      <c r="G42" s="358">
        <f>SUM(G39:G41)</f>
        <v>802909.21739130397</v>
      </c>
      <c r="I42" s="358">
        <f>SUM(I39:I41)</f>
        <v>802909.21739130397</v>
      </c>
      <c r="K42" s="358">
        <f>SUM(K39:K41)</f>
        <v>802909.21739130397</v>
      </c>
      <c r="M42" s="358">
        <f>SUM(M39:M41)</f>
        <v>802909.21739130397</v>
      </c>
      <c r="O42" s="358">
        <f>SUM(O39:O41)</f>
        <v>802909.21739130397</v>
      </c>
      <c r="Q42" s="358">
        <f>SUM(Q39:Q41)</f>
        <v>802909.21739130397</v>
      </c>
      <c r="S42" s="358">
        <f>SUM(S39:S41)</f>
        <v>802909.21739130397</v>
      </c>
      <c r="U42" s="358">
        <f>SUM(U39:U41)</f>
        <v>802909.21739130397</v>
      </c>
      <c r="W42" s="358">
        <f>SUM(W39:W41)</f>
        <v>802909.21739130397</v>
      </c>
      <c r="Y42" s="358">
        <f>SUM(Y39:Y41)</f>
        <v>802909.21739130397</v>
      </c>
      <c r="AA42" s="358">
        <f>SUM(AA39:AA41)</f>
        <v>802909.21739130397</v>
      </c>
      <c r="AC42" s="358">
        <f>SUM(AC39:AC41)</f>
        <v>802909.21739130397</v>
      </c>
      <c r="AE42" s="358">
        <f>SUM(AE39:AE41)</f>
        <v>802909.21739130397</v>
      </c>
      <c r="AG42" s="358">
        <f>SUM(AG39:AG41)</f>
        <v>802909.21739130397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120436.38260869612</v>
      </c>
      <c r="G44" s="358">
        <f>G36-G42</f>
        <v>139807.02260869602</v>
      </c>
      <c r="I44" s="358">
        <f>I36-I42</f>
        <v>159516.72860869602</v>
      </c>
      <c r="K44" s="358">
        <f>K36-K42</f>
        <v>179568.90140869585</v>
      </c>
      <c r="M44" s="358">
        <f>M36-M42</f>
        <v>199966.84944094589</v>
      </c>
      <c r="O44" s="358">
        <f>O36-O42</f>
        <v>220713.78026184067</v>
      </c>
      <c r="Q44" s="358">
        <f>Q36-Q42</f>
        <v>241812.7916144738</v>
      </c>
      <c r="S44" s="358">
        <f>S36-S42</f>
        <v>263266.86204354255</v>
      </c>
      <c r="U44" s="358">
        <f>U36-U42</f>
        <v>285078.84104358009</v>
      </c>
      <c r="W44" s="358">
        <f>W36-W42</f>
        <v>307251.438720732</v>
      </c>
      <c r="Y44" s="358">
        <f>Y36-Y42</f>
        <v>329787.21494752658</v>
      </c>
      <c r="AA44" s="358">
        <f>AA36-AA42</f>
        <v>352688.56798927509</v>
      </c>
      <c r="AC44" s="358">
        <f>AC36-AC42</f>
        <v>375957.72257989505</v>
      </c>
      <c r="AE44" s="358">
        <f>AE36-AE42</f>
        <v>399596.71742410026</v>
      </c>
      <c r="AG44" s="358">
        <f>AG36-AG42</f>
        <v>423607.39210196841</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8.3286573204137154E-2</v>
      </c>
      <c r="G46" s="362">
        <f>G44/(G4+G6+G8)</f>
        <v>9.4324044034496859E-2</v>
      </c>
      <c r="I46" s="362">
        <f>I44/(I4+I6+I8)</f>
        <v>0.10499673504844069</v>
      </c>
      <c r="K46" s="362">
        <f>K44/(K4+K6+K8)</f>
        <v>0.11531261484239902</v>
      </c>
      <c r="M46" s="362">
        <f>M44/(M4+M6+M8)</f>
        <v>0.12527944866947741</v>
      </c>
      <c r="O46" s="362">
        <f>O44/(O4+O6+O8)</f>
        <v>0.13490480331146179</v>
      </c>
      <c r="Q46" s="362">
        <f>Q44/(Q4+Q6+Q8)</f>
        <v>0.14419605183114348</v>
      </c>
      <c r="S46" s="362">
        <f>S44/(S4+S6+S8)</f>
        <v>0.15316037820787065</v>
      </c>
      <c r="U46" s="362">
        <f>U44/(U4+U6+U8)</f>
        <v>0.16180478185916991</v>
      </c>
      <c r="W46" s="362">
        <f>W44/(W4+W6+W8)</f>
        <v>0.17013608205120451</v>
      </c>
      <c r="Y46" s="362">
        <f>Y44/(Y4+Y6+Y8)</f>
        <v>0.17816092220077523</v>
      </c>
      <c r="AA46" s="362">
        <f>AA44/(AA4+AA6+AA8)</f>
        <v>0.18588577407149942</v>
      </c>
      <c r="AC46" s="362">
        <f>AC44/(AC4+AC6+AC8)</f>
        <v>0.19331694186673781</v>
      </c>
      <c r="AE46" s="362">
        <f>AE44/(AE4+AE6+AE8)</f>
        <v>0.20046056622178518</v>
      </c>
      <c r="AG46" s="362">
        <f>AG44/(AG4+AG6+AG8)</f>
        <v>0.20732262809776458</v>
      </c>
    </row>
    <row r="47" spans="1:33" s="362" customFormat="1" ht="13.8">
      <c r="A47" s="362" t="s">
        <v>914</v>
      </c>
      <c r="C47" s="355"/>
      <c r="E47" s="362">
        <f>E44/E42</f>
        <v>0.15000000000000066</v>
      </c>
      <c r="G47" s="362">
        <f>G44/G42</f>
        <v>0.17412556685167557</v>
      </c>
      <c r="I47" s="362">
        <f>I44/I42</f>
        <v>0.19867343051182623</v>
      </c>
      <c r="K47" s="362">
        <f>K44/K42</f>
        <v>0.22364782657761115</v>
      </c>
      <c r="M47" s="362">
        <f>M44/M42</f>
        <v>0.24905287560485248</v>
      </c>
      <c r="O47" s="362">
        <f>O44/O42</f>
        <v>0.27489257251143762</v>
      </c>
      <c r="Q47" s="362">
        <f>Q44/Q42</f>
        <v>0.30117077544599224</v>
      </c>
      <c r="S47" s="362">
        <f>S44/S42</f>
        <v>0.32789119409901785</v>
      </c>
      <c r="U47" s="362">
        <f>U44/U42</f>
        <v>0.35505737743280225</v>
      </c>
      <c r="W47" s="362">
        <f>W44/W42</f>
        <v>0.38267270080546434</v>
      </c>
      <c r="Y47" s="362">
        <f>Y44/Y42</f>
        <v>0.41074035246353668</v>
      </c>
      <c r="AA47" s="362">
        <f>AA44/AA42</f>
        <v>0.43926331937647889</v>
      </c>
      <c r="AC47" s="362">
        <f>AC44/AC42</f>
        <v>0.46824437238546379</v>
      </c>
      <c r="AE47" s="362">
        <f>AE44/AE42</f>
        <v>0.49768605063771953</v>
      </c>
      <c r="AG47" s="362">
        <f>AG44/AG42</f>
        <v>0.52759064527655075</v>
      </c>
    </row>
    <row r="48" spans="1:33" s="363" customFormat="1" ht="13.8">
      <c r="A48" s="363" t="s">
        <v>912</v>
      </c>
      <c r="C48" s="364"/>
      <c r="E48" s="363">
        <f>E36/E42</f>
        <v>1.1500000000000006</v>
      </c>
      <c r="G48" s="363">
        <f>G36/G42</f>
        <v>1.1741255668516757</v>
      </c>
      <c r="I48" s="363">
        <f>I36/I42</f>
        <v>1.1986734305118263</v>
      </c>
      <c r="K48" s="363">
        <f>K36/K42</f>
        <v>1.2236478265776112</v>
      </c>
      <c r="M48" s="363">
        <f>M36/M42</f>
        <v>1.2490528756048525</v>
      </c>
      <c r="O48" s="363">
        <f>O36/O42</f>
        <v>1.2748925725114377</v>
      </c>
      <c r="Q48" s="363">
        <f>Q36/Q42</f>
        <v>1.3011707754459922</v>
      </c>
      <c r="S48" s="363">
        <f>S36/S42</f>
        <v>1.3278911940990179</v>
      </c>
      <c r="U48" s="363">
        <f>U36/U42</f>
        <v>1.3550573774328023</v>
      </c>
      <c r="W48" s="363">
        <f>W36/W42</f>
        <v>1.3826727008054644</v>
      </c>
      <c r="Y48" s="363">
        <f>Y36/Y42</f>
        <v>1.4107403524635367</v>
      </c>
      <c r="AA48" s="363">
        <f>AA36/AA42</f>
        <v>1.439263319376479</v>
      </c>
      <c r="AC48" s="363">
        <f>AC36/AC42</f>
        <v>1.4682443723854639</v>
      </c>
      <c r="AE48" s="363">
        <f>AE36/AE42</f>
        <v>1.4976860506377194</v>
      </c>
      <c r="AG48" s="363">
        <f>AG36/AG42</f>
        <v>1.5275906452765506</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1383</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1.02</v>
      </c>
      <c r="E52" s="1678">
        <v>5000</v>
      </c>
      <c r="G52" s="1674">
        <f>E52*$C$52</f>
        <v>5100</v>
      </c>
      <c r="I52" s="1674">
        <f>G52*$C$52</f>
        <v>5202</v>
      </c>
      <c r="K52" s="1674">
        <f>I52*$C$52</f>
        <v>5306.04</v>
      </c>
      <c r="M52" s="1674">
        <f>K52*$C$52</f>
        <v>5412.1607999999997</v>
      </c>
      <c r="O52" s="1674">
        <f>M52*$C$52</f>
        <v>5520.4040159999995</v>
      </c>
      <c r="Q52" s="1674">
        <f>O52*$C$52</f>
        <v>5630.8120963199999</v>
      </c>
      <c r="S52" s="1674">
        <f>Q52*$C$52</f>
        <v>5743.4283382464</v>
      </c>
      <c r="U52" s="1674">
        <f>S52*$C$52</f>
        <v>5858.2969050113279</v>
      </c>
      <c r="W52" s="1674">
        <f>U52*$C$52</f>
        <v>5975.4628431115543</v>
      </c>
      <c r="Y52" s="1674">
        <f>W52*$C$52</f>
        <v>6094.9720999737856</v>
      </c>
      <c r="AA52" s="1674">
        <f>Y52*$C$52</f>
        <v>6216.8715419732616</v>
      </c>
      <c r="AC52" s="1674">
        <f>AA52*$C$52</f>
        <v>6341.2089728127266</v>
      </c>
      <c r="AE52" s="1674">
        <f>AC52*$C$52</f>
        <v>6468.0331522689812</v>
      </c>
      <c r="AG52" s="1674">
        <f>AE52*$C$52</f>
        <v>6597.3938153143608</v>
      </c>
    </row>
    <row r="53" spans="1:35" s="6" customFormat="1">
      <c r="A53" s="6" t="s">
        <v>917</v>
      </c>
      <c r="C53" s="1672"/>
      <c r="E53" s="1679">
        <v>5000</v>
      </c>
      <c r="F53" s="1674"/>
      <c r="G53" s="1674">
        <f t="shared" ref="G53:AG56" si="1">E53*$C$52</f>
        <v>5100</v>
      </c>
      <c r="H53" s="1674"/>
      <c r="I53" s="1674">
        <f t="shared" si="1"/>
        <v>5202</v>
      </c>
      <c r="J53" s="1674"/>
      <c r="K53" s="1674">
        <f t="shared" si="1"/>
        <v>5306.04</v>
      </c>
      <c r="L53" s="1674"/>
      <c r="M53" s="1674">
        <f t="shared" si="1"/>
        <v>5412.1607999999997</v>
      </c>
      <c r="N53" s="1674"/>
      <c r="O53" s="1674">
        <f t="shared" si="1"/>
        <v>5520.4040159999995</v>
      </c>
      <c r="P53" s="1674"/>
      <c r="Q53" s="1674">
        <f t="shared" si="1"/>
        <v>5630.8120963199999</v>
      </c>
      <c r="R53" s="1674"/>
      <c r="S53" s="1674">
        <f t="shared" si="1"/>
        <v>5743.4283382464</v>
      </c>
      <c r="T53" s="1674"/>
      <c r="U53" s="1674">
        <f t="shared" si="1"/>
        <v>5858.2969050113279</v>
      </c>
      <c r="V53" s="1674"/>
      <c r="W53" s="1674">
        <f t="shared" si="1"/>
        <v>5975.4628431115543</v>
      </c>
      <c r="X53" s="1674"/>
      <c r="Y53" s="1674">
        <f t="shared" si="1"/>
        <v>6094.9720999737856</v>
      </c>
      <c r="Z53" s="1674"/>
      <c r="AA53" s="1674">
        <f t="shared" si="1"/>
        <v>6216.8715419732616</v>
      </c>
      <c r="AB53" s="1674"/>
      <c r="AC53" s="1674">
        <f t="shared" si="1"/>
        <v>6341.2089728127266</v>
      </c>
      <c r="AD53" s="1674"/>
      <c r="AE53" s="1674">
        <f t="shared" si="1"/>
        <v>6468.0331522689812</v>
      </c>
      <c r="AF53" s="1674"/>
      <c r="AG53" s="1674">
        <f t="shared" si="1"/>
        <v>6597.3938153143608</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10200</v>
      </c>
      <c r="H57" s="1674"/>
      <c r="I57" s="1674">
        <f>SUM(I52:I56)</f>
        <v>10404</v>
      </c>
      <c r="J57" s="1674"/>
      <c r="K57" s="1674">
        <f>SUM(K52:K56)</f>
        <v>10612.08</v>
      </c>
      <c r="L57" s="1674"/>
      <c r="M57" s="1674">
        <f>SUM(M52:M56)</f>
        <v>10824.321599999999</v>
      </c>
      <c r="N57" s="1674"/>
      <c r="O57" s="1674">
        <f>SUM(O52:O56)</f>
        <v>11040.808031999999</v>
      </c>
      <c r="P57" s="1674"/>
      <c r="Q57" s="1674">
        <f>SUM(Q52:Q56)</f>
        <v>11261.62419264</v>
      </c>
      <c r="R57" s="1674"/>
      <c r="S57" s="1674">
        <f>SUM(S52:S56)</f>
        <v>11486.8566764928</v>
      </c>
      <c r="T57" s="1674"/>
      <c r="U57" s="1674">
        <f>SUM(U52:U56)</f>
        <v>11716.593810022656</v>
      </c>
      <c r="V57" s="1674"/>
      <c r="W57" s="1674">
        <f>SUM(W52:W56)</f>
        <v>11950.925686223109</v>
      </c>
      <c r="X57" s="1674"/>
      <c r="Y57" s="1674">
        <f>SUM(Y52:Y56)</f>
        <v>12189.944199947571</v>
      </c>
      <c r="Z57" s="1674"/>
      <c r="AA57" s="1674">
        <f>SUM(AA52:AA56)</f>
        <v>12433.743083946523</v>
      </c>
      <c r="AB57" s="1674"/>
      <c r="AC57" s="1674">
        <f>SUM(AC52:AC56)</f>
        <v>12682.417945625453</v>
      </c>
      <c r="AD57" s="1674"/>
      <c r="AE57" s="1674">
        <f>SUM(AE52:AE56)</f>
        <v>12936.066304537962</v>
      </c>
      <c r="AF57" s="1674"/>
      <c r="AG57" s="1674">
        <f>SUM(AG52:AG56)</f>
        <v>13194.787630628722</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110436.38260869612</v>
      </c>
      <c r="G59" s="1676">
        <f>G44-G57</f>
        <v>129607.02260869602</v>
      </c>
      <c r="I59" s="1676">
        <f>I44-I57</f>
        <v>149112.72860869602</v>
      </c>
      <c r="K59" s="1676">
        <f>K44-K57</f>
        <v>168956.82140869586</v>
      </c>
      <c r="M59" s="1676">
        <f>M44-M57</f>
        <v>189142.5278409459</v>
      </c>
      <c r="O59" s="1676">
        <f>O44-O57</f>
        <v>209672.97222984067</v>
      </c>
      <c r="Q59" s="1676">
        <f>Q44-Q57</f>
        <v>230551.16742183379</v>
      </c>
      <c r="S59" s="1676">
        <f>S44-S57</f>
        <v>251780.00536704974</v>
      </c>
      <c r="U59" s="1676">
        <f>U44-U57</f>
        <v>273362.24723355746</v>
      </c>
      <c r="W59" s="1676">
        <f>W44-W57</f>
        <v>295300.51303450891</v>
      </c>
      <c r="Y59" s="1676">
        <f>Y44-Y57</f>
        <v>317597.27074757899</v>
      </c>
      <c r="AA59" s="1676">
        <f>AA44-AA57</f>
        <v>340254.82490532857</v>
      </c>
      <c r="AC59" s="1676">
        <f>AC44-AC57</f>
        <v>363275.30463426962</v>
      </c>
      <c r="AE59" s="1676">
        <f>AE44-AE57</f>
        <v>386660.65111956233</v>
      </c>
      <c r="AG59" s="1676">
        <f>AG44-AG57</f>
        <v>410412.60447133967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110436.38260869612</v>
      </c>
      <c r="G61" s="1684">
        <f>MIN(G59*$C$61,Application!$AO$638-SUM($E$61:E61))</f>
        <v>129607.02260869602</v>
      </c>
      <c r="H61" s="1684"/>
      <c r="I61" s="1684">
        <f>MIN(I59*$C$61,Application!$AO$638-SUM($E$61:G61))</f>
        <v>149112.72860869602</v>
      </c>
      <c r="J61" s="1684"/>
      <c r="K61" s="1684">
        <f>MIN(K59*$C$61,Application!$AO$638-SUM($E$61:I61))</f>
        <v>168956.82140869586</v>
      </c>
      <c r="L61" s="1684"/>
      <c r="M61" s="1684">
        <f>MIN(M59*$C$61,Application!$AO$638-SUM($E$61:K61))</f>
        <v>189142.5278409459</v>
      </c>
      <c r="N61" s="1684"/>
      <c r="O61" s="1684">
        <f>MIN(O59*$C$61,Application!$AO$638-SUM($E$61:M61))</f>
        <v>209672.97222984067</v>
      </c>
      <c r="P61" s="1684"/>
      <c r="Q61" s="1684">
        <f>MIN(Q59*$C$61,Application!$AO$638-SUM($E$61:O61))</f>
        <v>230551.16742183379</v>
      </c>
      <c r="R61" s="1684"/>
      <c r="S61" s="1684">
        <f>MIN(S59*$C$61,Application!$AO$638-SUM($E$61:Q61))</f>
        <v>251780.00536704974</v>
      </c>
      <c r="T61" s="1684"/>
      <c r="U61" s="1684">
        <f>MIN(U59*$C$61,Application!$AO$638-SUM($E$61:S61))</f>
        <v>260740.37190554594</v>
      </c>
      <c r="V61" s="1684"/>
      <c r="W61" s="1684">
        <f>MIN(W59*$C$61,Application!$AO$638-SUM($E$61:U61))</f>
        <v>0</v>
      </c>
      <c r="Y61" s="1684">
        <f>MIN(Y59*$C$61,Application!$AO$638-SUM($E$61:W61))</f>
        <v>0</v>
      </c>
      <c r="AA61" s="1684">
        <f>MIN(AA59*$C$61,Application!$AO$638-SUM($E$61:Y61))</f>
        <v>0</v>
      </c>
      <c r="AC61" s="1684">
        <f>MIN(AC59*$C$61,Application!$AO$638-SUM($E$61:AA61))</f>
        <v>0</v>
      </c>
      <c r="AE61" s="1684">
        <f>MIN(AE59*$C$61,Application!$AO$638-SUM($E$61:AC61))</f>
        <v>0</v>
      </c>
      <c r="AG61" s="1684">
        <f>MIN(AG59*$C$61,Application!$AO$638-SUM($E$61:AE61))</f>
        <v>0</v>
      </c>
    </row>
    <row r="62" spans="1:35" s="1684" customFormat="1">
      <c r="A62" s="3358" t="s">
        <v>1383</v>
      </c>
      <c r="B62" s="3358"/>
      <c r="C62" s="335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12621.87532801152</v>
      </c>
      <c r="W71" s="1676">
        <f>W59-W61-W69</f>
        <v>295300.51303450891</v>
      </c>
      <c r="Y71" s="1676">
        <f>Y59-Y61-Y69</f>
        <v>317597.27074757899</v>
      </c>
      <c r="AA71" s="1676">
        <f>AA59-AA61-AA69</f>
        <v>340254.82490532857</v>
      </c>
      <c r="AC71" s="1676">
        <f>AC59-AC61-AC69</f>
        <v>363275.30463426962</v>
      </c>
      <c r="AE71" s="1676">
        <f>AE59-AE61-AE69</f>
        <v>386660.65111956233</v>
      </c>
      <c r="AG71" s="1676">
        <f>AG59-AG61-AG69</f>
        <v>410412.60447133967</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sqref="A1:I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59" t="s">
        <v>978</v>
      </c>
      <c r="B1" s="3359"/>
      <c r="C1" s="3359"/>
      <c r="D1" s="3359"/>
      <c r="E1" s="3359"/>
      <c r="F1" s="3359"/>
      <c r="G1" s="3359"/>
      <c r="H1" s="3359"/>
      <c r="I1" s="3359"/>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3</v>
      </c>
      <c r="C4" s="658">
        <f>Application!O728</f>
        <v>723</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v>
      </c>
      <c r="C5" s="658">
        <f>Application!O729</f>
        <v>1255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4</v>
      </c>
      <c r="C6" s="658">
        <f>Application!O730</f>
        <v>830</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5</v>
      </c>
      <c r="C7" s="658">
        <f>Application!O731</f>
        <v>1444</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30</v>
      </c>
      <c r="C8" s="658">
        <f>Application!O732</f>
        <v>1752</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25</v>
      </c>
      <c r="C9" s="658">
        <f>Application!O733</f>
        <v>2059</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119254</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830000</v>
      </c>
      <c r="C5" s="421">
        <f>'Sources and Uses Budget'!$C4</f>
        <v>830000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855000</v>
      </c>
      <c r="C9" s="425">
        <f>SUM(C5:C8)</f>
        <v>855000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175000</v>
      </c>
      <c r="C11" s="421">
        <f>'Sources and Uses Budget'!$C10</f>
        <v>175000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175000</v>
      </c>
      <c r="C12" s="425">
        <f>SUM(C10:C11)</f>
        <v>175000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1030000</v>
      </c>
      <c r="C13" s="425">
        <f>SUM(C9+C12)</f>
        <v>1030000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500000</v>
      </c>
      <c r="C30" s="421">
        <f>'Sources and Uses Budget'!$C29</f>
        <v>500000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14500000</v>
      </c>
      <c r="C31" s="421">
        <f>'Sources and Uses Budget'!$C30</f>
        <v>14500000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1062250</v>
      </c>
      <c r="C32" s="421">
        <f>'Sources and Uses Budget'!$C31</f>
        <v>1062250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531125</v>
      </c>
      <c r="C33" s="421">
        <f>'Sources and Uses Budget'!$C32</f>
        <v>531125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531125</v>
      </c>
      <c r="C34" s="421">
        <f>'Sources and Uses Budget'!$C33</f>
        <v>531125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345990</v>
      </c>
      <c r="C36" s="421">
        <f>'Sources and Uses Budget'!$C35</f>
        <v>345990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17470490</v>
      </c>
      <c r="C39" s="425">
        <f>SUM(C30:C38)</f>
        <v>17470490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550000</v>
      </c>
      <c r="C43" s="425">
        <f>SUM(C41:C42)</f>
        <v>550000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190000</v>
      </c>
      <c r="C44" s="421">
        <f>'Sources and Uses Budget'!$C43</f>
        <v>190000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931026.05898876255</v>
      </c>
      <c r="C46" s="421">
        <f>'Sources and Uses Budget'!$C45</f>
        <v>931026.05898876255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222560.26067415692</v>
      </c>
      <c r="C47" s="421">
        <f>'Sources and Uses Budget'!$C46</f>
        <v>222560.26067415692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125622.94</v>
      </c>
      <c r="C49" s="421">
        <f>'Sources and Uses Budget'!$C48</f>
        <v>125622.94</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249559.32363636349</v>
      </c>
      <c r="C50" s="421">
        <f>'Sources and Uses Budget'!$C49</f>
        <v>249559.32363636349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19920</v>
      </c>
      <c r="C52" s="421">
        <f>'Sources and Uses Budget'!$C51</f>
        <v>19920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176454.9</v>
      </c>
      <c r="C53" s="421">
        <f>'Sources and Uses Budget'!$C52</f>
        <v>176454.9</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3rd Party Costs</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1800143.4832992828</v>
      </c>
      <c r="C55" s="428">
        <f>SUM(C46:C54)</f>
        <v>1800143.4832992828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45000</v>
      </c>
      <c r="C57" s="421">
        <f>'Sources and Uses Budget'!$C56</f>
        <v>45000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65000</v>
      </c>
      <c r="C63" s="425">
        <f>SUM(C57:C62)</f>
        <v>65000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21105633.483299281</v>
      </c>
      <c r="C64" s="425">
        <f>SUM(C9+C12+C14+C15+C17+C26+C28+C39+C43+C44+C55+C63)</f>
        <v>21105633.483299281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90000</v>
      </c>
      <c r="C66" s="421">
        <f>'Sources and Uses Budget'!$C65</f>
        <v>90000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Org, Syndication, Transaction</v>
      </c>
      <c r="B70" s="421">
        <f>'Sources and Uses Budget'!$C69</f>
        <v>80000</v>
      </c>
      <c r="C70" s="421">
        <f>'Sources and Uses Budget'!$C69</f>
        <v>80000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170000</v>
      </c>
      <c r="C71" s="425">
        <f>SUM(C66:C70)</f>
        <v>170000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313327.30434782611</v>
      </c>
      <c r="C76" s="421">
        <f>'Sources and Uses Budget'!$C75</f>
        <v>313327.30434782611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313327.30434782611</v>
      </c>
      <c r="C78" s="425">
        <f>SUM(C73:C77)</f>
        <v>313327.30434782611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888555.64700000011</v>
      </c>
      <c r="C80" s="421">
        <f>'Sources and Uses Budget'!$C79</f>
        <v>888555.64700000011</v>
      </c>
      <c r="D80" s="425">
        <f t="shared" si="1"/>
        <v>0</v>
      </c>
      <c r="E80" s="423"/>
      <c r="F80" s="422"/>
      <c r="G80" s="553"/>
    </row>
    <row r="81" spans="1:7" s="547" customFormat="1">
      <c r="A81" s="861" t="s">
        <v>61</v>
      </c>
      <c r="B81" s="421">
        <f>'Sources and Uses Budget'!$C80</f>
        <v>51000</v>
      </c>
      <c r="C81" s="421">
        <f>'Sources and Uses Budget'!$C80</f>
        <v>51000</v>
      </c>
      <c r="D81" s="425">
        <f>C81-B81</f>
        <v>0</v>
      </c>
      <c r="E81" s="423"/>
      <c r="F81" s="422"/>
      <c r="G81" s="553"/>
    </row>
    <row r="82" spans="1:7" s="547" customFormat="1">
      <c r="A82" s="426" t="s">
        <v>1418</v>
      </c>
      <c r="B82" s="425">
        <f>SUM(B80:B81)</f>
        <v>939555.64700000011</v>
      </c>
      <c r="C82" s="425">
        <f>SUM(C80:C81)</f>
        <v>939555.64700000011</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0</v>
      </c>
      <c r="C84" s="421">
        <f>'Sources and Uses Budget'!$C83</f>
        <v>0</v>
      </c>
      <c r="D84" s="425">
        <f t="shared" si="1"/>
        <v>0</v>
      </c>
      <c r="E84" s="423"/>
      <c r="F84" s="422"/>
      <c r="G84" s="553"/>
    </row>
    <row r="85" spans="1:7" s="547" customFormat="1">
      <c r="A85" s="424" t="s">
        <v>824</v>
      </c>
      <c r="B85" s="421">
        <f>'Sources and Uses Budget'!$C84</f>
        <v>10000</v>
      </c>
      <c r="C85" s="421">
        <f>'Sources and Uses Budget'!$C84</f>
        <v>10000</v>
      </c>
      <c r="D85" s="425">
        <f t="shared" si="1"/>
        <v>0</v>
      </c>
      <c r="E85" s="423"/>
      <c r="F85" s="422"/>
      <c r="G85" s="553"/>
    </row>
    <row r="86" spans="1:7" s="547" customFormat="1">
      <c r="A86" s="424" t="s">
        <v>825</v>
      </c>
      <c r="B86" s="421">
        <f>'Sources and Uses Budget'!$C85</f>
        <v>726675</v>
      </c>
      <c r="C86" s="421">
        <f>'Sources and Uses Budget'!$C85</f>
        <v>726675</v>
      </c>
      <c r="D86" s="425">
        <f t="shared" si="1"/>
        <v>0</v>
      </c>
      <c r="E86" s="423"/>
      <c r="F86" s="422"/>
      <c r="G86" s="553"/>
    </row>
    <row r="87" spans="1:7" s="547" customFormat="1">
      <c r="A87" s="424" t="s">
        <v>826</v>
      </c>
      <c r="B87" s="421">
        <f>'Sources and Uses Budget'!$C86</f>
        <v>1047518.3717399999</v>
      </c>
      <c r="C87" s="421">
        <f>'Sources and Uses Budget'!$C86</f>
        <v>1047518.3717399999</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10000</v>
      </c>
      <c r="C89" s="421">
        <f>'Sources and Uses Budget'!$C88</f>
        <v>10000</v>
      </c>
      <c r="D89" s="425">
        <f t="shared" si="1"/>
        <v>0</v>
      </c>
      <c r="E89" s="423"/>
      <c r="F89" s="422"/>
      <c r="G89" s="553"/>
    </row>
    <row r="90" spans="1:7" s="547" customFormat="1">
      <c r="A90" s="424" t="s">
        <v>829</v>
      </c>
      <c r="B90" s="421">
        <f>'Sources and Uses Budget'!$C89</f>
        <v>105000</v>
      </c>
      <c r="C90" s="421">
        <f>'Sources and Uses Budget'!$C89</f>
        <v>105000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20000</v>
      </c>
      <c r="C92" s="421">
        <f>'Sources and Uses Budget'!$C91</f>
        <v>20000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125000</v>
      </c>
      <c r="C94" s="421">
        <f>'Sources and Uses Budget'!$C93</f>
        <v>125000</v>
      </c>
      <c r="D94" s="425">
        <f t="shared" si="1"/>
        <v>0</v>
      </c>
      <c r="E94" s="423"/>
      <c r="F94" s="422"/>
      <c r="G94" s="553"/>
    </row>
    <row r="95" spans="1:7" s="547" customFormat="1">
      <c r="A95" s="427" t="s">
        <v>35</v>
      </c>
      <c r="B95" s="421">
        <f>'Sources and Uses Budget'!$C94</f>
        <v>25000</v>
      </c>
      <c r="C95" s="421">
        <f>'Sources and Uses Budget'!$C94</f>
        <v>25000</v>
      </c>
      <c r="D95" s="425">
        <f t="shared" si="1"/>
        <v>0</v>
      </c>
      <c r="E95" s="423"/>
      <c r="F95" s="422"/>
      <c r="G95" s="553"/>
    </row>
    <row r="96" spans="1:7" s="547" customFormat="1">
      <c r="A96" s="427" t="s">
        <v>35</v>
      </c>
      <c r="B96" s="421">
        <f>'Sources and Uses Budget'!$C95</f>
        <v>250000</v>
      </c>
      <c r="C96" s="421">
        <f>'Sources and Uses Budget'!$C95</f>
        <v>250000</v>
      </c>
      <c r="D96" s="425">
        <f t="shared" si="1"/>
        <v>0</v>
      </c>
      <c r="E96" s="423"/>
      <c r="F96" s="422"/>
      <c r="G96" s="553"/>
    </row>
    <row r="97" spans="1:7" s="547" customFormat="1">
      <c r="A97" s="426" t="s">
        <v>831</v>
      </c>
      <c r="B97" s="425">
        <f>SUM(B84:B96)</f>
        <v>2344193.3717399999</v>
      </c>
      <c r="C97" s="425">
        <f>SUM(C84:C96)</f>
        <v>2344193.3717399999</v>
      </c>
      <c r="D97" s="425">
        <f t="shared" si="1"/>
        <v>0</v>
      </c>
      <c r="E97" s="423"/>
      <c r="F97" s="422"/>
      <c r="G97" s="553"/>
    </row>
    <row r="98" spans="1:7" s="547" customFormat="1">
      <c r="A98" s="426" t="s">
        <v>832</v>
      </c>
      <c r="B98" s="425">
        <f>SUM(B64+B71+B78+B82+B97)</f>
        <v>24872709.806387104</v>
      </c>
      <c r="C98" s="425">
        <f>SUM(C64+C71+C78+C82+C97)</f>
        <v>24872709.806387104</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3435361.9132211125</v>
      </c>
      <c r="C100" s="421">
        <f>'Sources and Uses Budget'!$C99</f>
        <v>3435361.9132211125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3435361.9132211125</v>
      </c>
      <c r="C105" s="425">
        <f>SUM(C100:C104)</f>
        <v>3435361.9132211125</v>
      </c>
      <c r="D105" s="425">
        <f t="shared" si="1"/>
        <v>0</v>
      </c>
      <c r="E105" s="423"/>
      <c r="F105" s="422"/>
      <c r="G105" s="551"/>
    </row>
    <row r="106" spans="1:7" s="546" customFormat="1">
      <c r="A106" s="426" t="s">
        <v>837</v>
      </c>
      <c r="B106" s="428">
        <f>SUM(B98+B105)</f>
        <v>28308071.719608217</v>
      </c>
      <c r="C106" s="428">
        <f>SUM(C98+C105)</f>
        <v>28308071.719608217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0" t="s">
        <v>1157</v>
      </c>
      <c r="B2" s="1910"/>
      <c r="C2" s="1911"/>
      <c r="D2" s="1911"/>
      <c r="E2" s="1911"/>
      <c r="F2" s="1911"/>
      <c r="G2" s="1911"/>
    </row>
    <row r="3" spans="1:9" s="256" customFormat="1">
      <c r="A3" s="1910" t="s">
        <v>1087</v>
      </c>
      <c r="B3" s="1910"/>
      <c r="C3" s="1911"/>
      <c r="D3" s="1911"/>
      <c r="E3" s="1911"/>
      <c r="F3" s="1911"/>
      <c r="G3" s="1911"/>
      <c r="I3" s="677" t="s">
        <v>316</v>
      </c>
    </row>
    <row r="4" spans="1:9">
      <c r="I4" s="678" t="s">
        <v>1158</v>
      </c>
    </row>
    <row r="5" spans="1:9" s="39" customFormat="1">
      <c r="A5" s="1914" t="s">
        <v>1088</v>
      </c>
      <c r="B5" s="1914"/>
      <c r="C5" s="1915"/>
      <c r="D5" s="1915"/>
      <c r="E5" s="1915"/>
      <c r="F5" s="1915"/>
      <c r="G5" s="1915"/>
      <c r="I5" s="678" t="s">
        <v>1159</v>
      </c>
    </row>
    <row r="6" spans="1:9" s="39" customFormat="1">
      <c r="A6" s="1914" t="s">
        <v>879</v>
      </c>
      <c r="B6" s="1914"/>
      <c r="C6" s="1915"/>
      <c r="D6" s="1915"/>
      <c r="E6" s="1915"/>
      <c r="F6" s="1915"/>
      <c r="G6" s="1915"/>
      <c r="I6" s="677" t="s">
        <v>625</v>
      </c>
    </row>
    <row r="7" spans="1:9" ht="11.85" customHeight="1"/>
    <row r="8" spans="1:9" s="39" customFormat="1">
      <c r="A8" s="1912" t="s">
        <v>1254</v>
      </c>
      <c r="B8" s="1912"/>
      <c r="C8" s="1913"/>
      <c r="D8" s="1913"/>
      <c r="E8" s="1913"/>
      <c r="F8" s="1913"/>
      <c r="G8" s="1913"/>
    </row>
    <row r="9" spans="1:9" s="39" customFormat="1">
      <c r="A9" s="1912" t="s">
        <v>1255</v>
      </c>
      <c r="B9" s="1912"/>
      <c r="C9" s="1913"/>
      <c r="D9" s="1913"/>
      <c r="E9" s="1913"/>
      <c r="F9" s="1913"/>
      <c r="G9" s="1913"/>
    </row>
    <row r="10" spans="1:9">
      <c r="A10" s="258"/>
      <c r="B10" s="258"/>
      <c r="C10" s="255"/>
      <c r="D10" s="255"/>
      <c r="E10" s="255"/>
      <c r="F10" s="255"/>
    </row>
    <row r="11" spans="1:9">
      <c r="A11" s="1916" t="s">
        <v>1257</v>
      </c>
      <c r="B11" s="1916"/>
      <c r="C11" s="1916"/>
      <c r="D11" s="1916"/>
      <c r="E11" s="1916"/>
      <c r="F11" s="1916"/>
      <c r="G11" s="1916"/>
    </row>
    <row r="12" spans="1:9">
      <c r="A12" s="255"/>
      <c r="B12" s="673"/>
      <c r="E12" s="50"/>
    </row>
    <row r="13" spans="1:9" ht="13.2" customHeight="1">
      <c r="C13" s="255"/>
      <c r="D13" s="1888" t="s">
        <v>1256</v>
      </c>
      <c r="E13" s="1888"/>
      <c r="F13" s="1888"/>
    </row>
    <row r="14" spans="1:9">
      <c r="C14" s="255"/>
      <c r="D14" s="1888"/>
      <c r="E14" s="1888"/>
      <c r="F14" s="1888"/>
    </row>
    <row r="15" spans="1:9">
      <c r="A15" s="260"/>
      <c r="B15" s="260"/>
      <c r="C15" s="260"/>
      <c r="D15" s="1885" t="s">
        <v>1239</v>
      </c>
      <c r="E15" s="1885"/>
      <c r="F15" s="1885"/>
    </row>
    <row r="16" spans="1:9">
      <c r="A16" s="260"/>
      <c r="B16" s="260"/>
      <c r="C16" s="260"/>
      <c r="D16" s="327"/>
    </row>
    <row r="17" spans="1:7" ht="14.4">
      <c r="A17" s="261"/>
      <c r="B17" s="679" t="s">
        <v>316</v>
      </c>
      <c r="C17" s="313"/>
      <c r="D17" s="1860" t="s">
        <v>1240</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9" t="s">
        <v>316</v>
      </c>
      <c r="D21" s="1889" t="s">
        <v>1241</v>
      </c>
      <c r="E21" s="1889"/>
      <c r="F21" s="1889"/>
    </row>
    <row r="22" spans="1:7" ht="14.4">
      <c r="A22" s="261"/>
      <c r="B22" s="261"/>
      <c r="D22" s="135"/>
    </row>
    <row r="23" spans="1:7" ht="14.4">
      <c r="A23" s="261"/>
      <c r="B23" s="679" t="s">
        <v>316</v>
      </c>
      <c r="D23" s="1860" t="s">
        <v>1242</v>
      </c>
      <c r="E23" s="1860"/>
      <c r="F23" s="1860"/>
    </row>
    <row r="24" spans="1:7" ht="14.4">
      <c r="A24" s="261"/>
      <c r="B24" s="261"/>
      <c r="D24" s="1860"/>
      <c r="E24" s="1860"/>
      <c r="F24" s="1860"/>
    </row>
    <row r="25" spans="1:7"/>
    <row r="26" spans="1:7" ht="14.4">
      <c r="A26" s="261"/>
      <c r="B26" s="679" t="s">
        <v>316</v>
      </c>
      <c r="D26" s="1883" t="s">
        <v>1243</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1244</v>
      </c>
      <c r="E32" s="1862"/>
      <c r="F32" s="1862"/>
      <c r="G32" s="130"/>
    </row>
    <row r="33" spans="1:7" s="39" customFormat="1">
      <c r="A33" s="273"/>
      <c r="B33" s="273"/>
      <c r="C33" s="273"/>
      <c r="D33" s="1862"/>
      <c r="E33" s="1862"/>
      <c r="F33" s="1862"/>
      <c r="G33" s="130"/>
    </row>
    <row r="34" spans="1:7" ht="14.4">
      <c r="A34" s="261"/>
      <c r="B34" s="261"/>
      <c r="D34" s="404"/>
    </row>
    <row r="35" spans="1:7" ht="14.4" customHeight="1">
      <c r="A35" s="261"/>
      <c r="B35" s="679" t="s">
        <v>316</v>
      </c>
      <c r="C35" s="554"/>
      <c r="D35" s="1862" t="s">
        <v>1245</v>
      </c>
      <c r="E35" s="1862"/>
      <c r="F35" s="1862"/>
    </row>
    <row r="36" spans="1:7" ht="14.4">
      <c r="A36" s="261"/>
      <c r="B36" s="261"/>
      <c r="C36" s="554"/>
      <c r="D36" s="1862"/>
      <c r="E36" s="1862"/>
      <c r="F36" s="1862"/>
    </row>
    <row r="37" spans="1:7" ht="14.4">
      <c r="A37" s="261"/>
      <c r="B37" s="261"/>
      <c r="C37" s="554"/>
      <c r="D37" s="1862"/>
      <c r="E37" s="1862"/>
      <c r="F37" s="1862"/>
    </row>
    <row r="38" spans="1:7" ht="14.4">
      <c r="A38" s="261"/>
      <c r="B38" s="261"/>
      <c r="C38" s="554"/>
      <c r="D38" s="12"/>
    </row>
    <row r="39" spans="1:7" s="682" customFormat="1" ht="14.4">
      <c r="A39" s="261"/>
      <c r="B39" s="679" t="s">
        <v>316</v>
      </c>
      <c r="C39" s="699"/>
      <c r="D39" s="1862" t="s">
        <v>1246</v>
      </c>
      <c r="E39" s="1862"/>
      <c r="F39" s="1862"/>
      <c r="G39" s="7"/>
    </row>
    <row r="40" spans="1:7" s="682" customFormat="1" ht="14.4">
      <c r="A40" s="261"/>
      <c r="B40" s="261"/>
      <c r="C40" s="699"/>
      <c r="D40" s="1862"/>
      <c r="E40" s="1862"/>
      <c r="F40" s="1862"/>
      <c r="G40" s="7"/>
    </row>
    <row r="41" spans="1:7" s="682" customFormat="1" ht="14.4">
      <c r="A41" s="261"/>
      <c r="B41" s="261"/>
      <c r="C41" s="699"/>
      <c r="D41" s="1862"/>
      <c r="E41" s="1862"/>
      <c r="F41" s="1862"/>
      <c r="G41" s="7"/>
    </row>
    <row r="42" spans="1:7" s="682" customFormat="1" ht="14.4">
      <c r="A42" s="261"/>
      <c r="B42" s="261"/>
      <c r="C42" s="699"/>
      <c r="D42" s="1862"/>
      <c r="E42" s="1862"/>
      <c r="F42" s="1862"/>
      <c r="G42" s="7"/>
    </row>
    <row r="43" spans="1:7" s="682" customFormat="1" ht="14.4">
      <c r="A43" s="261"/>
      <c r="B43" s="261"/>
      <c r="C43" s="699"/>
      <c r="D43" s="1862"/>
      <c r="E43" s="1862"/>
      <c r="F43" s="1862"/>
      <c r="G43" s="7"/>
    </row>
    <row r="44" spans="1:7" s="682" customFormat="1" ht="14.4">
      <c r="A44" s="261"/>
      <c r="B44" s="261"/>
      <c r="C44" s="699"/>
      <c r="D44" s="698"/>
      <c r="E44" s="698"/>
      <c r="F44" s="698"/>
      <c r="G44" s="7"/>
    </row>
    <row r="45" spans="1:7" ht="14.4">
      <c r="A45" s="261"/>
      <c r="B45" s="679" t="s">
        <v>316</v>
      </c>
      <c r="C45" s="554"/>
      <c r="D45" s="1862" t="s">
        <v>1247</v>
      </c>
      <c r="E45" s="1862"/>
      <c r="F45" s="1862"/>
    </row>
    <row r="46" spans="1:7" ht="14.4">
      <c r="A46" s="261"/>
      <c r="B46" s="261"/>
      <c r="C46" s="554"/>
      <c r="D46" s="1862"/>
      <c r="E46" s="1862"/>
      <c r="F46" s="1862"/>
    </row>
    <row r="47" spans="1:7" ht="14.4">
      <c r="A47" s="261"/>
      <c r="B47" s="261"/>
      <c r="C47" s="554"/>
      <c r="D47" s="1862"/>
      <c r="E47" s="1862"/>
      <c r="F47" s="1862"/>
    </row>
    <row r="48" spans="1:7" ht="23.25" customHeight="1">
      <c r="A48" s="261"/>
      <c r="B48" s="261"/>
      <c r="C48" s="554"/>
      <c r="D48" s="1862"/>
      <c r="E48" s="1862"/>
      <c r="F48" s="1862"/>
    </row>
    <row r="49" spans="1:7" ht="14.4">
      <c r="A49" s="261"/>
      <c r="B49" s="261"/>
      <c r="D49" s="151"/>
    </row>
    <row r="50" spans="1:7" ht="14.4" customHeight="1">
      <c r="A50" s="261"/>
      <c r="B50" s="679" t="s">
        <v>316</v>
      </c>
      <c r="D50" s="1862" t="s">
        <v>1248</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6"/>
      <c r="D53" s="239"/>
      <c r="E53" s="22"/>
      <c r="F53" s="22"/>
      <c r="G53" s="22"/>
    </row>
    <row r="54" spans="1:7" s="2" customFormat="1" ht="14.4">
      <c r="A54" s="403"/>
      <c r="B54" s="679" t="s">
        <v>316</v>
      </c>
      <c r="C54" s="557"/>
      <c r="D54" s="1862" t="s">
        <v>1249</v>
      </c>
      <c r="E54" s="1862"/>
      <c r="F54" s="1862"/>
      <c r="G54" s="22"/>
    </row>
    <row r="55" spans="1:7" s="2" customFormat="1" ht="14.4">
      <c r="A55" s="403"/>
      <c r="B55" s="403"/>
      <c r="C55" s="557"/>
      <c r="D55" s="1862"/>
      <c r="E55" s="1862"/>
      <c r="F55" s="1862"/>
      <c r="G55" s="22"/>
    </row>
    <row r="56" spans="1:7" s="39" customFormat="1">
      <c r="A56" s="273"/>
      <c r="B56" s="273"/>
      <c r="C56" s="273"/>
      <c r="D56" s="443"/>
      <c r="E56" s="130"/>
      <c r="F56" s="130"/>
      <c r="G56" s="130"/>
    </row>
    <row r="57" spans="1:7" ht="14.4">
      <c r="A57" s="261"/>
      <c r="B57" s="679" t="s">
        <v>316</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4">
      <c r="A61" s="261"/>
      <c r="B61" s="679" t="s">
        <v>316</v>
      </c>
      <c r="D61" s="1862" t="s">
        <v>1251</v>
      </c>
      <c r="E61" s="1862"/>
      <c r="F61" s="1862"/>
    </row>
    <row r="62" spans="1:7">
      <c r="D62" s="1862"/>
      <c r="E62" s="1862"/>
      <c r="F62" s="1862"/>
    </row>
    <row r="63" spans="1:7"/>
    <row r="64" spans="1:7" ht="14.4">
      <c r="A64" s="261"/>
      <c r="B64" s="679" t="s">
        <v>316</v>
      </c>
      <c r="D64" s="1862" t="s">
        <v>1252</v>
      </c>
      <c r="E64" s="1862"/>
      <c r="F64" s="1862"/>
    </row>
    <row r="65" spans="1:7">
      <c r="D65" s="1862"/>
      <c r="E65" s="1862"/>
      <c r="F65" s="1862"/>
    </row>
    <row r="66" spans="1:7">
      <c r="A66" s="555"/>
      <c r="C66" s="555"/>
      <c r="D66" s="1862"/>
      <c r="E66" s="1862"/>
      <c r="F66" s="1862"/>
    </row>
    <row r="67" spans="1:7">
      <c r="D67" s="12"/>
    </row>
    <row r="68" spans="1:7" ht="14.4">
      <c r="A68" s="261"/>
      <c r="B68" s="679" t="s">
        <v>316</v>
      </c>
      <c r="D68" s="1860" t="s">
        <v>1253</v>
      </c>
      <c r="E68" s="1860"/>
      <c r="F68" s="1860"/>
    </row>
    <row r="69" spans="1:7">
      <c r="D69" s="1860"/>
      <c r="E69" s="1860"/>
      <c r="F69" s="1860"/>
    </row>
    <row r="70" spans="1:7" ht="14.4">
      <c r="A70" s="261"/>
      <c r="B70" s="261"/>
      <c r="D70" s="135"/>
    </row>
    <row r="71" spans="1:7">
      <c r="A71" s="1886" t="s">
        <v>1160</v>
      </c>
      <c r="B71" s="1886"/>
      <c r="C71" s="1886"/>
      <c r="D71" s="1886"/>
      <c r="E71" s="1886"/>
      <c r="F71" s="1886"/>
      <c r="G71" s="1886"/>
    </row>
    <row r="72" spans="1:7"/>
    <row r="73" spans="1:7">
      <c r="C73" s="262"/>
      <c r="D73" s="1902" t="s">
        <v>1258</v>
      </c>
      <c r="E73" s="1902"/>
      <c r="F73" s="1902"/>
    </row>
    <row r="74" spans="1:7">
      <c r="A74" s="135"/>
      <c r="B74" s="135"/>
      <c r="D74" s="1860" t="s">
        <v>1285</v>
      </c>
      <c r="E74" s="1860"/>
      <c r="F74" s="1860"/>
    </row>
    <row r="75" spans="1:7">
      <c r="A75" s="135"/>
      <c r="B75" s="135"/>
    </row>
    <row r="76" spans="1:7" ht="14.4">
      <c r="A76" s="261"/>
      <c r="B76" s="679" t="s">
        <v>316</v>
      </c>
      <c r="D76" s="1860" t="s">
        <v>1259</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6" customFormat="1" ht="14.4">
      <c r="A82" s="707"/>
      <c r="B82" s="707"/>
      <c r="C82" s="705"/>
      <c r="D82" s="709"/>
      <c r="E82" s="709"/>
      <c r="F82" s="709"/>
      <c r="G82" s="7"/>
    </row>
    <row r="83" spans="1:7" s="706" customFormat="1" ht="14.4" customHeight="1">
      <c r="A83" s="707"/>
      <c r="B83" s="712" t="s">
        <v>316</v>
      </c>
      <c r="C83" s="705"/>
      <c r="D83" s="1917" t="s">
        <v>1358</v>
      </c>
      <c r="E83" s="1917"/>
      <c r="F83" s="1917"/>
      <c r="G83" s="7"/>
    </row>
    <row r="84" spans="1:7" s="706" customFormat="1" ht="14.4">
      <c r="A84" s="707"/>
      <c r="B84" s="707"/>
      <c r="C84" s="705"/>
      <c r="D84" s="1917"/>
      <c r="E84" s="1917"/>
      <c r="F84" s="1917"/>
      <c r="G84" s="7"/>
    </row>
    <row r="85" spans="1:7" s="706" customFormat="1" ht="14.4">
      <c r="A85" s="707"/>
      <c r="B85" s="707"/>
      <c r="C85" s="705"/>
      <c r="D85" s="1917"/>
      <c r="E85" s="1917"/>
      <c r="F85" s="1917"/>
      <c r="G85" s="7"/>
    </row>
    <row r="86" spans="1:7" s="706" customFormat="1" ht="14.4">
      <c r="A86" s="707"/>
      <c r="B86" s="707"/>
      <c r="C86" s="705"/>
      <c r="D86" s="1917"/>
      <c r="E86" s="1917"/>
      <c r="F86" s="1917"/>
      <c r="G86" s="7"/>
    </row>
    <row r="87" spans="1:7" s="706" customFormat="1" ht="14.4">
      <c r="A87" s="707"/>
      <c r="B87" s="707"/>
      <c r="C87" s="705"/>
      <c r="D87" s="1917"/>
      <c r="E87" s="1917"/>
      <c r="F87" s="1917"/>
      <c r="G87" s="7"/>
    </row>
    <row r="88" spans="1:7" s="719" customFormat="1" ht="14.4">
      <c r="A88" s="714"/>
      <c r="B88" s="714"/>
      <c r="C88" s="745"/>
      <c r="D88" s="1917"/>
      <c r="E88" s="1917"/>
      <c r="F88" s="1917"/>
      <c r="G88" s="7"/>
    </row>
    <row r="89" spans="1:7" s="719" customFormat="1" ht="14.4">
      <c r="A89" s="714"/>
      <c r="B89" s="714"/>
      <c r="C89" s="745"/>
      <c r="D89" s="1917"/>
      <c r="E89" s="1917"/>
      <c r="F89" s="1917"/>
      <c r="G89" s="7"/>
    </row>
    <row r="90" spans="1:7" s="719" customFormat="1" ht="14.4">
      <c r="A90" s="714"/>
      <c r="B90" s="714"/>
      <c r="C90" s="745"/>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10" customFormat="1" ht="14.4">
      <c r="A97" s="711"/>
      <c r="B97" s="715" t="s">
        <v>316</v>
      </c>
      <c r="C97" s="705"/>
      <c r="D97" s="1860" t="s">
        <v>1260</v>
      </c>
      <c r="E97" s="1860"/>
      <c r="F97" s="1860"/>
      <c r="G97" s="7"/>
    </row>
    <row r="98" spans="1:11" s="710" customFormat="1" ht="14.4">
      <c r="A98" s="711"/>
      <c r="B98" s="711"/>
      <c r="C98" s="705"/>
      <c r="D98" s="1860"/>
      <c r="E98" s="1860"/>
      <c r="F98" s="1860"/>
      <c r="G98" s="7"/>
    </row>
    <row r="99" spans="1:11" s="710" customFormat="1" ht="14.4">
      <c r="A99" s="711"/>
      <c r="B99" s="711"/>
      <c r="C99" s="705"/>
      <c r="D99" s="1860"/>
      <c r="E99" s="1860"/>
      <c r="F99" s="1860"/>
      <c r="G99" s="7"/>
    </row>
    <row r="100" spans="1:11" s="710" customFormat="1" ht="14.4">
      <c r="A100" s="711"/>
      <c r="B100" s="711"/>
      <c r="C100" s="705"/>
      <c r="D100" s="1860"/>
      <c r="E100" s="1860"/>
      <c r="F100" s="1860"/>
      <c r="G100" s="7"/>
    </row>
    <row r="101" spans="1:11" s="710" customFormat="1" ht="14.4">
      <c r="A101" s="711"/>
      <c r="B101" s="711"/>
      <c r="C101" s="705"/>
      <c r="D101" s="1860"/>
      <c r="E101" s="1860"/>
      <c r="F101" s="1860"/>
      <c r="G101" s="7"/>
    </row>
    <row r="102" spans="1:11" s="710" customFormat="1" ht="14.4">
      <c r="A102" s="711"/>
      <c r="B102" s="711"/>
      <c r="C102" s="705"/>
      <c r="D102" s="1860"/>
      <c r="E102" s="1860"/>
      <c r="F102" s="1860"/>
      <c r="G102" s="7"/>
    </row>
    <row r="103" spans="1:11" s="710" customFormat="1" ht="14.4">
      <c r="A103" s="711"/>
      <c r="B103" s="711"/>
      <c r="C103" s="705"/>
      <c r="D103" s="1860"/>
      <c r="E103" s="1860"/>
      <c r="F103" s="1860"/>
      <c r="G103" s="7"/>
    </row>
    <row r="104" spans="1:11" s="710" customFormat="1" ht="14.4">
      <c r="A104" s="711"/>
      <c r="B104" s="711"/>
      <c r="C104" s="705"/>
      <c r="D104" s="1860"/>
      <c r="E104" s="1860"/>
      <c r="F104" s="1860"/>
      <c r="G104" s="7"/>
    </row>
    <row r="105" spans="1:11" s="713" customFormat="1" ht="14.4">
      <c r="A105" s="714"/>
      <c r="B105" s="714"/>
      <c r="C105" s="705"/>
      <c r="D105" s="716"/>
      <c r="E105" s="716"/>
      <c r="F105" s="716"/>
      <c r="G105" s="7"/>
    </row>
    <row r="106" spans="1:11" ht="14.4">
      <c r="A106" s="403"/>
      <c r="B106" s="708" t="s">
        <v>316</v>
      </c>
      <c r="C106" s="469"/>
      <c r="D106" s="1918" t="s">
        <v>1261</v>
      </c>
      <c r="E106" s="1918"/>
      <c r="F106" s="1918"/>
      <c r="G106" s="470"/>
      <c r="H106" s="468"/>
      <c r="I106" s="468"/>
      <c r="J106" s="468"/>
      <c r="K106" s="468"/>
    </row>
    <row r="107" spans="1:11" ht="14.4">
      <c r="A107" s="261"/>
      <c r="B107" s="261"/>
      <c r="C107" s="315"/>
      <c r="D107" s="1918"/>
      <c r="E107" s="1918"/>
      <c r="F107" s="1918"/>
      <c r="G107" s="470"/>
      <c r="H107" s="468"/>
      <c r="I107" s="468"/>
      <c r="J107" s="468"/>
      <c r="K107" s="468"/>
    </row>
    <row r="108" spans="1:11" ht="14.4">
      <c r="A108" s="261"/>
      <c r="B108" s="261"/>
      <c r="C108" s="315"/>
      <c r="D108" s="1918"/>
      <c r="E108" s="1918"/>
      <c r="F108" s="1918"/>
      <c r="G108" s="470"/>
      <c r="H108" s="468"/>
      <c r="I108" s="468"/>
      <c r="J108" s="468"/>
      <c r="K108" s="468"/>
    </row>
    <row r="109" spans="1:11" ht="14.4">
      <c r="A109" s="261"/>
      <c r="B109" s="261"/>
      <c r="C109" s="315"/>
      <c r="D109" s="1918"/>
      <c r="E109" s="1918"/>
      <c r="F109" s="1918"/>
      <c r="G109" s="470"/>
      <c r="H109" s="468"/>
      <c r="I109" s="468"/>
      <c r="J109" s="468"/>
      <c r="K109" s="468"/>
    </row>
    <row r="110" spans="1:11" ht="14.4">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4">
      <c r="A114" s="261"/>
      <c r="B114" s="679" t="s">
        <v>316</v>
      </c>
      <c r="C114"/>
      <c r="D114" s="1919" t="s">
        <v>1262</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9" t="s">
        <v>316</v>
      </c>
      <c r="C117" s="10"/>
      <c r="D117" s="1860" t="s">
        <v>1263</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9" t="s">
        <v>316</v>
      </c>
      <c r="C123" s="10"/>
      <c r="D123" s="1862" t="s">
        <v>1264</v>
      </c>
      <c r="E123" s="1862"/>
      <c r="F123" s="1862"/>
      <c r="G123" s="149"/>
    </row>
    <row r="124" spans="1:11" s="296" customFormat="1" ht="13.65" customHeight="1">
      <c r="A124" s="293"/>
      <c r="B124" s="293"/>
      <c r="C124" s="294"/>
      <c r="D124" s="1862"/>
      <c r="E124" s="1862"/>
      <c r="F124" s="1862"/>
      <c r="G124" s="295"/>
    </row>
    <row r="125" spans="1:11" customFormat="1" ht="13.65" customHeight="1">
      <c r="A125" s="132"/>
      <c r="B125" s="676"/>
      <c r="C125" s="10"/>
      <c r="D125" s="1862"/>
      <c r="E125" s="1862"/>
      <c r="F125" s="1862"/>
      <c r="G125" s="149"/>
    </row>
    <row r="126" spans="1:11" customFormat="1" ht="13.65" customHeight="1">
      <c r="A126" s="132"/>
      <c r="B126" s="676"/>
      <c r="C126" s="10"/>
      <c r="D126" s="1862"/>
      <c r="E126" s="1862"/>
      <c r="F126" s="1862"/>
      <c r="G126" s="149"/>
    </row>
    <row r="127" spans="1:11" customFormat="1" ht="13.65" customHeight="1">
      <c r="A127" s="132"/>
      <c r="B127" s="676"/>
      <c r="C127" s="10"/>
      <c r="D127" s="1862"/>
      <c r="E127" s="1862"/>
      <c r="F127" s="1862"/>
      <c r="G127" s="149"/>
    </row>
    <row r="128" spans="1:11" customFormat="1" ht="13.65" customHeight="1">
      <c r="A128" s="378"/>
      <c r="B128" s="378"/>
      <c r="C128" s="10"/>
      <c r="D128" s="1862"/>
      <c r="E128" s="1862"/>
      <c r="F128" s="1862"/>
      <c r="G128" s="149"/>
    </row>
    <row r="129" spans="1:7" s="2" customFormat="1" ht="13.65" customHeight="1">
      <c r="A129" s="273"/>
      <c r="B129" s="273"/>
      <c r="C129" s="442"/>
      <c r="D129" s="1862"/>
      <c r="E129" s="1862"/>
      <c r="F129" s="1862"/>
      <c r="G129" s="182"/>
    </row>
    <row r="130" spans="1:7" s="2" customFormat="1" ht="13.65" customHeight="1">
      <c r="A130" s="273"/>
      <c r="B130" s="273"/>
      <c r="C130" s="442"/>
      <c r="D130" s="1862"/>
      <c r="E130" s="1862"/>
      <c r="F130" s="1862"/>
      <c r="G130" s="182"/>
    </row>
    <row r="131" spans="1:7" customFormat="1" ht="13.65" customHeight="1">
      <c r="A131" s="132"/>
      <c r="B131" s="676"/>
      <c r="C131" s="10"/>
      <c r="D131" s="1862"/>
      <c r="E131" s="1862"/>
      <c r="F131" s="1862"/>
      <c r="G131" s="149"/>
    </row>
    <row r="132" spans="1:7" customFormat="1" ht="13.65" customHeight="1">
      <c r="A132" s="132"/>
      <c r="B132" s="676"/>
      <c r="C132" s="10"/>
      <c r="D132" s="1862"/>
      <c r="E132" s="1862"/>
      <c r="F132" s="1862"/>
      <c r="G132" s="149"/>
    </row>
    <row r="133" spans="1:7" customFormat="1" ht="13.65" customHeight="1">
      <c r="A133" s="132"/>
      <c r="B133" s="676"/>
      <c r="C133" s="10"/>
      <c r="D133" s="1862"/>
      <c r="E133" s="1862"/>
      <c r="F133" s="1862"/>
      <c r="G133" s="149"/>
    </row>
    <row r="134" spans="1:7" customFormat="1" ht="13.65" customHeight="1">
      <c r="A134" s="132"/>
      <c r="B134" s="676"/>
      <c r="C134" s="10"/>
      <c r="D134" s="1862"/>
      <c r="E134" s="1862"/>
      <c r="F134" s="1862"/>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0" t="s">
        <v>1372</v>
      </c>
      <c r="E136" s="1860"/>
      <c r="F136" s="1860"/>
      <c r="G136" s="149"/>
    </row>
    <row r="137" spans="1:7" s="717" customFormat="1" ht="13.65" customHeight="1">
      <c r="A137" s="705"/>
      <c r="B137" s="705"/>
      <c r="C137" s="10"/>
      <c r="D137" s="1860"/>
      <c r="E137" s="1860"/>
      <c r="F137" s="1860"/>
      <c r="G137" s="149"/>
    </row>
    <row r="138" spans="1:7" s="717" customFormat="1" ht="13.65" customHeight="1">
      <c r="A138" s="705"/>
      <c r="B138" s="705"/>
      <c r="C138" s="10"/>
      <c r="D138" s="1860"/>
      <c r="E138" s="1860"/>
      <c r="F138" s="1860"/>
      <c r="G138" s="149"/>
    </row>
    <row r="139" spans="1:7" s="717" customFormat="1" ht="13.65" customHeight="1">
      <c r="A139" s="705"/>
      <c r="B139" s="705"/>
      <c r="C139" s="10"/>
      <c r="D139" s="1860"/>
      <c r="E139" s="1860"/>
      <c r="F139" s="1860"/>
      <c r="G139" s="149"/>
    </row>
    <row r="140" spans="1:7" s="717" customFormat="1" ht="13.65" customHeight="1">
      <c r="A140" s="705"/>
      <c r="B140" s="705"/>
      <c r="C140" s="10"/>
      <c r="D140" s="1860"/>
      <c r="E140" s="1860"/>
      <c r="F140" s="1860"/>
      <c r="G140" s="149"/>
    </row>
    <row r="141" spans="1:7" s="717" customFormat="1" ht="13.65" customHeight="1">
      <c r="A141" s="705"/>
      <c r="B141" s="705"/>
      <c r="C141" s="10"/>
      <c r="D141" s="1860"/>
      <c r="E141" s="1860"/>
      <c r="F141" s="1860"/>
      <c r="G141" s="149"/>
    </row>
    <row r="142" spans="1:7" s="717" customFormat="1" ht="13.65" customHeight="1">
      <c r="A142" s="705"/>
      <c r="B142" s="705"/>
      <c r="C142" s="10"/>
      <c r="D142" s="1860"/>
      <c r="E142" s="1860"/>
      <c r="F142" s="1860"/>
      <c r="G142" s="149"/>
    </row>
    <row r="143" spans="1:7" s="717" customFormat="1" ht="13.65" customHeight="1">
      <c r="A143" s="705"/>
      <c r="B143" s="705"/>
      <c r="C143" s="10"/>
      <c r="D143" s="1860"/>
      <c r="E143" s="1860"/>
      <c r="F143" s="1860"/>
      <c r="G143" s="149"/>
    </row>
    <row r="144" spans="1:7" s="717" customFormat="1" ht="13.65" customHeight="1">
      <c r="A144" s="705"/>
      <c r="B144" s="705"/>
      <c r="C144" s="10"/>
      <c r="D144" s="1860"/>
      <c r="E144" s="1860"/>
      <c r="F144" s="1860"/>
      <c r="G144" s="149"/>
    </row>
    <row r="145" spans="1:7" s="717" customFormat="1" ht="13.65" customHeight="1">
      <c r="A145" s="705"/>
      <c r="B145" s="705"/>
      <c r="C145" s="10"/>
      <c r="D145" s="1860"/>
      <c r="E145" s="1860"/>
      <c r="F145" s="1860"/>
      <c r="G145" s="149"/>
    </row>
    <row r="146" spans="1:7" s="717" customFormat="1" ht="13.65" customHeight="1">
      <c r="A146" s="747"/>
      <c r="B146" s="747"/>
      <c r="C146" s="10"/>
      <c r="D146" s="1860"/>
      <c r="E146" s="1860"/>
      <c r="F146" s="1860"/>
      <c r="G146" s="149"/>
    </row>
    <row r="147" spans="1:7" s="717" customFormat="1" ht="13.65" customHeight="1">
      <c r="A147" s="747"/>
      <c r="B147" s="747"/>
      <c r="C147" s="10"/>
      <c r="D147" s="1860"/>
      <c r="E147" s="1860"/>
      <c r="F147" s="1860"/>
      <c r="G147" s="149"/>
    </row>
    <row r="148" spans="1:7" s="717" customFormat="1" ht="13.65" customHeight="1">
      <c r="A148" s="705"/>
      <c r="B148" s="705"/>
      <c r="C148" s="10"/>
      <c r="D148" s="1860"/>
      <c r="E148" s="1860"/>
      <c r="F148" s="1860"/>
      <c r="G148" s="149"/>
    </row>
    <row r="149" spans="1:7" s="717" customFormat="1" ht="13.65" customHeight="1">
      <c r="A149" s="705"/>
      <c r="B149" s="705"/>
      <c r="C149" s="10"/>
      <c r="D149" s="1860"/>
      <c r="E149" s="1860"/>
      <c r="F149" s="1860"/>
      <c r="G149" s="149"/>
    </row>
    <row r="150" spans="1:7" s="717" customFormat="1" ht="13.65" customHeight="1">
      <c r="A150" s="705"/>
      <c r="B150" s="705"/>
      <c r="C150" s="10"/>
      <c r="D150" s="1860"/>
      <c r="E150" s="1860"/>
      <c r="F150" s="1860"/>
      <c r="G150" s="149"/>
    </row>
    <row r="151" spans="1:7" s="717" customFormat="1" ht="13.65" customHeight="1">
      <c r="A151" s="705"/>
      <c r="B151" s="705"/>
      <c r="C151" s="10"/>
      <c r="D151" s="1860"/>
      <c r="E151" s="1860"/>
      <c r="F151" s="1860"/>
      <c r="G151" s="149"/>
    </row>
    <row r="152" spans="1:7" s="717" customFormat="1" ht="13.65" customHeight="1">
      <c r="A152" s="705"/>
      <c r="B152" s="705"/>
      <c r="C152" s="10"/>
      <c r="D152" s="1860"/>
      <c r="E152" s="1860"/>
      <c r="F152" s="1860"/>
      <c r="G152" s="149"/>
    </row>
    <row r="153" spans="1:7" s="717" customFormat="1" ht="13.65" customHeight="1">
      <c r="A153" s="705"/>
      <c r="B153" s="705"/>
      <c r="C153" s="10"/>
      <c r="D153" s="1860"/>
      <c r="E153" s="1860"/>
      <c r="F153" s="1860"/>
      <c r="G153" s="149"/>
    </row>
    <row r="154" spans="1:7" s="717" customFormat="1" ht="13.65" customHeight="1">
      <c r="A154" s="705"/>
      <c r="B154" s="705"/>
      <c r="C154" s="10"/>
      <c r="D154" s="1860"/>
      <c r="E154" s="1860"/>
      <c r="F154" s="1860"/>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0" t="s">
        <v>1265</v>
      </c>
      <c r="E156" s="1920"/>
      <c r="F156" s="1920"/>
      <c r="G156" s="444"/>
    </row>
    <row r="157" spans="1:7" customFormat="1" ht="13.65" customHeight="1">
      <c r="A157" s="378"/>
      <c r="B157" s="378"/>
      <c r="C157" s="325"/>
      <c r="D157" s="1920"/>
      <c r="E157" s="1920"/>
      <c r="F157" s="1920"/>
      <c r="G157" s="444"/>
    </row>
    <row r="158" spans="1:7" customFormat="1" ht="13.65" customHeight="1">
      <c r="A158" s="378"/>
      <c r="B158" s="378"/>
      <c r="C158" s="325"/>
      <c r="D158" s="327"/>
      <c r="E158" s="325"/>
      <c r="F158" s="325"/>
      <c r="G158" s="444"/>
    </row>
    <row r="159" spans="1:7" customFormat="1" ht="13.65" customHeight="1">
      <c r="A159" s="378"/>
      <c r="B159" s="679" t="s">
        <v>316</v>
      </c>
      <c r="C159" s="325"/>
      <c r="D159" s="1863" t="s">
        <v>1266</v>
      </c>
      <c r="E159" s="1863"/>
      <c r="F159" s="1863"/>
      <c r="G159" s="444"/>
    </row>
    <row r="160" spans="1:7" customFormat="1" ht="13.65" customHeight="1">
      <c r="A160" s="378"/>
      <c r="B160" s="378"/>
      <c r="C160" s="325"/>
      <c r="D160" s="1863"/>
      <c r="E160" s="1863"/>
      <c r="F160" s="1863"/>
      <c r="G160" s="444"/>
    </row>
    <row r="161" spans="1:7" customFormat="1" ht="13.65" customHeight="1">
      <c r="A161" s="378"/>
      <c r="B161" s="378"/>
      <c r="C161" s="325"/>
      <c r="D161" s="1863"/>
      <c r="E161" s="1863"/>
      <c r="F161" s="1863"/>
      <c r="G161" s="444"/>
    </row>
    <row r="162" spans="1:7" customFormat="1" ht="13.65" customHeight="1">
      <c r="A162" s="378"/>
      <c r="B162" s="378"/>
      <c r="C162" s="325"/>
      <c r="D162" s="1863"/>
      <c r="E162" s="1863"/>
      <c r="F162" s="1863"/>
      <c r="G162" s="444"/>
    </row>
    <row r="163" spans="1:7" customFormat="1" ht="13.65" customHeight="1">
      <c r="A163" s="132"/>
      <c r="B163" s="676"/>
      <c r="C163" s="10"/>
      <c r="D163" s="151"/>
      <c r="E163" s="151"/>
      <c r="F163" s="151"/>
      <c r="G163" s="149"/>
    </row>
    <row r="164" spans="1:7" customFormat="1" ht="13.65" customHeight="1">
      <c r="A164" s="132"/>
      <c r="B164" s="679" t="s">
        <v>316</v>
      </c>
      <c r="C164" s="10"/>
      <c r="D164" s="1908" t="s">
        <v>1267</v>
      </c>
      <c r="E164" s="1908"/>
      <c r="F164" s="1908"/>
      <c r="G164" s="149"/>
    </row>
    <row r="165" spans="1:7" customFormat="1" ht="13.65" customHeight="1">
      <c r="A165" s="132"/>
      <c r="B165" s="676"/>
      <c r="C165" s="10"/>
      <c r="D165" s="1908"/>
      <c r="E165" s="1908"/>
      <c r="F165" s="1908"/>
      <c r="G165" s="149"/>
    </row>
    <row r="166" spans="1:7" customFormat="1" ht="13.65" customHeight="1">
      <c r="A166" s="132"/>
      <c r="B166" s="676"/>
      <c r="C166" s="10"/>
      <c r="D166" s="1908"/>
      <c r="E166" s="1908"/>
      <c r="F166" s="1908"/>
      <c r="G166" s="149"/>
    </row>
    <row r="167" spans="1:7" customFormat="1" ht="13.65" customHeight="1">
      <c r="A167" s="23"/>
      <c r="B167" s="675"/>
      <c r="C167" s="10"/>
      <c r="D167" s="7"/>
      <c r="E167" s="151"/>
      <c r="F167" s="151"/>
      <c r="G167" s="149"/>
    </row>
    <row r="168" spans="1:7">
      <c r="A168" s="1886" t="s">
        <v>1161</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1162</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1270</v>
      </c>
      <c r="E174" s="1922"/>
      <c r="F174" s="1922"/>
      <c r="G174" s="57"/>
    </row>
    <row r="175" spans="1:7">
      <c r="A175" s="264"/>
      <c r="B175" s="264"/>
      <c r="C175" s="265"/>
      <c r="D175" s="1922"/>
      <c r="E175" s="1922"/>
      <c r="F175" s="1922"/>
      <c r="G175" s="57"/>
    </row>
    <row r="176" spans="1:7" s="719" customFormat="1">
      <c r="A176" s="721"/>
      <c r="B176" s="721"/>
      <c r="C176" s="265"/>
      <c r="D176" s="1923" t="s">
        <v>1271</v>
      </c>
      <c r="E176" s="1923"/>
      <c r="F176" s="1923"/>
      <c r="G176" s="57"/>
    </row>
    <row r="177" spans="1:7" ht="12" customHeight="1">
      <c r="A177" s="264"/>
      <c r="B177" s="264"/>
      <c r="C177" s="265"/>
      <c r="D177" s="57"/>
      <c r="E177" s="49"/>
      <c r="F177" s="57"/>
      <c r="G177" s="57"/>
    </row>
    <row r="178" spans="1:7" ht="14.4">
      <c r="A178" s="261"/>
      <c r="B178" s="679" t="s">
        <v>316</v>
      </c>
      <c r="C178" s="265"/>
      <c r="D178" s="1921" t="s">
        <v>1269</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1178</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4">
      <c r="A186" s="261"/>
      <c r="B186" s="679" t="s">
        <v>316</v>
      </c>
      <c r="C186" s="557"/>
      <c r="D186" s="1860" t="s">
        <v>1268</v>
      </c>
      <c r="E186" s="1860"/>
      <c r="F186" s="1860"/>
      <c r="G186" s="678"/>
    </row>
    <row r="187" spans="1:7" s="677" customFormat="1" ht="14.4" customHeight="1">
      <c r="A187" s="261"/>
      <c r="C187" s="557"/>
      <c r="D187" s="1860"/>
      <c r="E187" s="1860"/>
      <c r="F187" s="1860"/>
      <c r="G187" s="678"/>
    </row>
    <row r="188" spans="1:7" s="677" customFormat="1" ht="14.4">
      <c r="A188" s="261"/>
      <c r="B188" s="697"/>
      <c r="C188" s="557"/>
      <c r="D188" s="1860"/>
      <c r="E188" s="1860"/>
      <c r="F188" s="1860"/>
      <c r="G188" s="678"/>
    </row>
    <row r="189" spans="1:7" s="677" customFormat="1" ht="14.4">
      <c r="A189" s="261"/>
      <c r="B189" s="697"/>
      <c r="C189" s="557"/>
      <c r="D189" s="1860"/>
      <c r="E189" s="1860"/>
      <c r="F189" s="1860"/>
      <c r="G189" s="678"/>
    </row>
    <row r="190" spans="1:7" s="682" customFormat="1">
      <c r="A190" s="265"/>
      <c r="B190" s="265"/>
      <c r="C190" s="265"/>
      <c r="D190" s="696"/>
      <c r="E190" s="696"/>
      <c r="F190" s="696"/>
      <c r="G190" s="7"/>
    </row>
    <row r="191" spans="1:7">
      <c r="A191" s="1886" t="s">
        <v>1163</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1292</v>
      </c>
      <c r="E194" s="1893"/>
      <c r="F194" s="1893"/>
    </row>
    <row r="195" spans="1:6" ht="12" customHeight="1">
      <c r="A195" s="23"/>
      <c r="B195" s="675"/>
      <c r="C195" s="23"/>
    </row>
    <row r="196" spans="1:6" ht="13.2" customHeight="1">
      <c r="A196" s="23"/>
      <c r="C196" s="23"/>
      <c r="D196" s="1884" t="s">
        <v>578</v>
      </c>
      <c r="E196" s="1884"/>
      <c r="F196" s="1884"/>
    </row>
    <row r="197" spans="1:6" ht="14.4">
      <c r="A197" s="261"/>
      <c r="B197" s="679" t="s">
        <v>316</v>
      </c>
      <c r="D197" s="1860" t="s">
        <v>1286</v>
      </c>
      <c r="E197" s="1860"/>
      <c r="F197" s="1860"/>
    </row>
    <row r="198" spans="1:6" ht="14.4">
      <c r="A198" s="261"/>
      <c r="B198" s="261"/>
      <c r="D198" s="1860"/>
      <c r="E198" s="1860"/>
      <c r="F198" s="1860"/>
    </row>
    <row r="199" spans="1:6"/>
    <row r="200" spans="1:6" ht="14.4">
      <c r="A200" s="261"/>
      <c r="B200" s="679" t="s">
        <v>316</v>
      </c>
      <c r="D200" s="1860" t="s">
        <v>1287</v>
      </c>
      <c r="E200" s="1860"/>
      <c r="F200" s="1860"/>
    </row>
    <row r="201" spans="1:6" ht="14.4">
      <c r="A201" s="261"/>
      <c r="B201" s="261"/>
      <c r="D201" s="1860"/>
      <c r="E201" s="1860"/>
      <c r="F201" s="1860"/>
    </row>
    <row r="202" spans="1:6" ht="14.4">
      <c r="A202" s="261"/>
      <c r="B202" s="261"/>
      <c r="D202" s="1860"/>
      <c r="E202" s="1860"/>
      <c r="F202" s="1860"/>
    </row>
    <row r="203" spans="1:6" ht="5.0999999999999996" customHeight="1">
      <c r="A203" s="261"/>
      <c r="B203" s="261"/>
      <c r="D203" s="151"/>
      <c r="E203" s="135"/>
      <c r="F203" s="135"/>
    </row>
    <row r="204" spans="1:6" ht="14.4">
      <c r="A204" s="261"/>
      <c r="B204" s="261"/>
      <c r="D204" s="1860" t="s">
        <v>1288</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9" t="s">
        <v>316</v>
      </c>
      <c r="D210" s="1881" t="s">
        <v>1289</v>
      </c>
      <c r="E210" s="1881"/>
      <c r="F210" s="1881"/>
    </row>
    <row r="211" spans="1:7" ht="14.4">
      <c r="A211" s="261"/>
      <c r="B211" s="261"/>
      <c r="D211" s="1881"/>
      <c r="E211" s="1881"/>
      <c r="F211" s="1881"/>
    </row>
    <row r="212" spans="1:7" ht="14.4">
      <c r="A212" s="261"/>
      <c r="B212" s="261"/>
      <c r="D212" s="1882" t="s">
        <v>962</v>
      </c>
      <c r="E212" s="1882"/>
      <c r="F212" s="1882"/>
    </row>
    <row r="213" spans="1:7" ht="14.4">
      <c r="A213" s="261"/>
      <c r="B213" s="261"/>
      <c r="D213" s="135"/>
      <c r="E213" s="135"/>
      <c r="F213" s="135"/>
    </row>
    <row r="214" spans="1:7" ht="14.4" customHeight="1">
      <c r="A214" s="261"/>
      <c r="B214" s="679" t="s">
        <v>316</v>
      </c>
      <c r="D214" s="1881" t="s">
        <v>1291</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9" t="s">
        <v>316</v>
      </c>
      <c r="D220" s="1860" t="s">
        <v>1290</v>
      </c>
      <c r="E220" s="1860"/>
      <c r="F220" s="1860"/>
    </row>
    <row r="221" spans="1:7" ht="14.4">
      <c r="A221" s="261"/>
      <c r="B221" s="261"/>
      <c r="D221" s="1860"/>
      <c r="E221" s="1860"/>
      <c r="F221" s="1860"/>
    </row>
    <row r="222" spans="1:7">
      <c r="D222" s="29"/>
    </row>
    <row r="223" spans="1:7">
      <c r="A223" s="1886" t="s">
        <v>1164</v>
      </c>
      <c r="B223" s="1886"/>
      <c r="C223" s="1886"/>
      <c r="D223" s="1886"/>
      <c r="E223" s="1886"/>
      <c r="F223" s="1886"/>
      <c r="G223" s="1886"/>
    </row>
    <row r="224" spans="1:7">
      <c r="D224" s="29"/>
    </row>
    <row r="225" spans="1:6">
      <c r="C225" s="262"/>
      <c r="D225" s="1884" t="s">
        <v>1293</v>
      </c>
      <c r="E225" s="1884"/>
      <c r="F225" s="1884"/>
    </row>
    <row r="226" spans="1:6">
      <c r="A226" s="255"/>
      <c r="B226" s="673"/>
      <c r="C226" s="255"/>
      <c r="D226" s="135"/>
      <c r="E226" s="135"/>
      <c r="F226" s="135"/>
    </row>
    <row r="227" spans="1:6">
      <c r="A227" s="260"/>
      <c r="B227" s="260"/>
      <c r="C227" s="260"/>
      <c r="D227" s="1884" t="s">
        <v>275</v>
      </c>
      <c r="E227" s="1884"/>
      <c r="F227" s="1884"/>
    </row>
    <row r="228" spans="1:6" ht="14.4">
      <c r="A228" s="261"/>
      <c r="B228" s="679" t="s">
        <v>316</v>
      </c>
      <c r="D228" s="1934" t="s">
        <v>1294</v>
      </c>
      <c r="E228" s="1934"/>
      <c r="F228" s="1934"/>
    </row>
    <row r="229" spans="1:6" ht="14.4">
      <c r="A229" s="261"/>
      <c r="B229" s="261"/>
      <c r="D229" s="1934"/>
      <c r="E229" s="1934"/>
      <c r="F229" s="1934"/>
    </row>
    <row r="230" spans="1:6">
      <c r="D230" s="135"/>
      <c r="E230" s="135"/>
      <c r="F230" s="135"/>
    </row>
    <row r="231" spans="1:6" ht="14.4" customHeight="1">
      <c r="A231" s="261"/>
      <c r="B231" s="679" t="s">
        <v>316</v>
      </c>
      <c r="D231" s="1881" t="s">
        <v>1295</v>
      </c>
      <c r="E231" s="1881"/>
      <c r="F231" s="1881"/>
    </row>
    <row r="232" spans="1:6">
      <c r="D232" s="1881"/>
      <c r="E232" s="1881"/>
      <c r="F232" s="1881"/>
    </row>
    <row r="233" spans="1:6">
      <c r="D233" s="1893" t="s">
        <v>953</v>
      </c>
      <c r="E233" s="1893"/>
      <c r="F233" s="1893"/>
    </row>
    <row r="234" spans="1:6">
      <c r="D234" s="135"/>
      <c r="E234" s="135"/>
      <c r="F234" s="135"/>
    </row>
    <row r="235" spans="1:6" ht="14.4" customHeight="1">
      <c r="A235" s="261"/>
      <c r="B235" s="679" t="s">
        <v>316</v>
      </c>
      <c r="D235" s="1881" t="s">
        <v>1297</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9" t="s">
        <v>316</v>
      </c>
      <c r="D241" s="1860" t="s">
        <v>1296</v>
      </c>
      <c r="E241" s="1860"/>
      <c r="F241" s="1860"/>
    </row>
    <row r="242" spans="1:7">
      <c r="D242" s="1860"/>
      <c r="E242" s="1860"/>
      <c r="F242" s="1860"/>
    </row>
    <row r="243" spans="1:7">
      <c r="D243" s="1860"/>
      <c r="E243" s="1860"/>
      <c r="F243" s="1860"/>
    </row>
    <row r="244" spans="1:7">
      <c r="D244" s="263"/>
      <c r="E244" s="135"/>
      <c r="F244" s="135"/>
    </row>
    <row r="245" spans="1:7">
      <c r="A245" s="1886" t="s">
        <v>1165</v>
      </c>
      <c r="B245" s="1886"/>
      <c r="C245" s="1886"/>
      <c r="D245" s="1886"/>
      <c r="E245" s="1886"/>
      <c r="F245" s="1886"/>
      <c r="G245" s="1886"/>
    </row>
    <row r="246" spans="1:7">
      <c r="D246" s="263"/>
      <c r="E246" s="135"/>
      <c r="F246" s="135"/>
    </row>
    <row r="247" spans="1:7">
      <c r="C247" s="255"/>
      <c r="D247" s="1902" t="s">
        <v>1298</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1299</v>
      </c>
      <c r="E251" s="1890"/>
      <c r="F251" s="1890"/>
    </row>
    <row r="252" spans="1:7">
      <c r="E252" s="135"/>
      <c r="F252" s="135"/>
    </row>
    <row r="253" spans="1:7" ht="14.4">
      <c r="A253" s="261"/>
      <c r="B253" s="679" t="s">
        <v>316</v>
      </c>
      <c r="D253" s="1860" t="s">
        <v>1300</v>
      </c>
      <c r="E253" s="1860"/>
      <c r="F253" s="1860"/>
    </row>
    <row r="254" spans="1:7" ht="14.4">
      <c r="A254" s="261"/>
      <c r="B254" s="261"/>
      <c r="D254" s="1860"/>
      <c r="E254" s="1860"/>
      <c r="F254" s="1860"/>
    </row>
    <row r="255" spans="1:7">
      <c r="D255" s="135"/>
      <c r="E255" s="135"/>
      <c r="F255" s="135"/>
    </row>
    <row r="256" spans="1:7" ht="14.4">
      <c r="A256" s="261"/>
      <c r="B256" s="679" t="s">
        <v>316</v>
      </c>
      <c r="D256" s="1881" t="s">
        <v>1301</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9" t="s">
        <v>316</v>
      </c>
      <c r="D260" s="1860" t="s">
        <v>1302</v>
      </c>
      <c r="E260" s="1860"/>
      <c r="F260" s="1860"/>
    </row>
    <row r="261" spans="1:7" ht="14.4">
      <c r="A261" s="261"/>
      <c r="B261" s="261"/>
      <c r="D261" s="1860"/>
      <c r="E261" s="1860"/>
      <c r="F261" s="1860"/>
    </row>
    <row r="262" spans="1:7">
      <c r="A262" s="23"/>
      <c r="B262" s="675"/>
      <c r="E262" s="135"/>
      <c r="F262" s="135"/>
    </row>
    <row r="263" spans="1:7">
      <c r="A263" s="1886" t="s">
        <v>1166</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1303</v>
      </c>
      <c r="E266" s="1885"/>
      <c r="F266" s="1885"/>
    </row>
    <row r="267" spans="1:7">
      <c r="C267" s="23"/>
      <c r="D267" s="259"/>
    </row>
    <row r="268" spans="1:7">
      <c r="A268" s="273"/>
      <c r="B268" s="679" t="s">
        <v>316</v>
      </c>
      <c r="D268" s="1885" t="s">
        <v>1304</v>
      </c>
      <c r="E268" s="1885"/>
      <c r="F268" s="1885"/>
    </row>
    <row r="269" spans="1:7" s="39" customFormat="1" ht="14.4">
      <c r="A269" s="403"/>
      <c r="B269" s="403"/>
      <c r="C269" s="273"/>
      <c r="D269" s="497"/>
      <c r="E269" s="498"/>
      <c r="F269" s="498"/>
      <c r="G269" s="130"/>
    </row>
    <row r="270" spans="1:7" s="39" customFormat="1" ht="13.2" customHeight="1">
      <c r="A270" s="273"/>
      <c r="B270" s="679" t="s">
        <v>316</v>
      </c>
      <c r="C270" s="273"/>
      <c r="D270" s="1935" t="s">
        <v>1305</v>
      </c>
      <c r="E270" s="1935"/>
      <c r="F270" s="1935"/>
      <c r="G270" s="130"/>
    </row>
    <row r="271" spans="1:7" s="39" customFormat="1" ht="14.4">
      <c r="A271" s="403"/>
      <c r="B271" s="403"/>
      <c r="C271" s="273"/>
      <c r="D271" s="1935"/>
      <c r="E271" s="1935"/>
      <c r="F271" s="1935"/>
      <c r="G271" s="130"/>
    </row>
    <row r="272" spans="1:7" s="39" customFormat="1" ht="14.4">
      <c r="A272" s="403"/>
      <c r="B272" s="403"/>
      <c r="C272" s="273"/>
      <c r="D272" s="1935"/>
      <c r="E272" s="1935"/>
      <c r="F272" s="1935"/>
      <c r="G272" s="130"/>
    </row>
    <row r="273" spans="1:7" s="39" customFormat="1" ht="14.4">
      <c r="A273" s="403"/>
      <c r="B273" s="403"/>
      <c r="C273" s="273"/>
      <c r="D273" s="1935"/>
      <c r="E273" s="1935"/>
      <c r="F273" s="1935"/>
      <c r="G273" s="130"/>
    </row>
    <row r="274" spans="1:7" s="39" customFormat="1" ht="14.4">
      <c r="A274" s="403"/>
      <c r="B274" s="403"/>
      <c r="C274" s="273"/>
      <c r="D274" s="1935"/>
      <c r="E274" s="1935"/>
      <c r="F274" s="1935"/>
      <c r="G274" s="130"/>
    </row>
    <row r="275" spans="1:7" s="39" customFormat="1" ht="14.4">
      <c r="A275" s="403"/>
      <c r="B275" s="403"/>
      <c r="C275" s="273"/>
      <c r="D275" s="497"/>
      <c r="E275" s="498"/>
      <c r="F275" s="498"/>
      <c r="G275" s="130"/>
    </row>
    <row r="276" spans="1:7" s="39" customFormat="1" ht="13.2" customHeight="1">
      <c r="A276" s="273"/>
      <c r="B276" s="679" t="s">
        <v>316</v>
      </c>
      <c r="C276" s="273"/>
      <c r="D276" s="1935" t="s">
        <v>1306</v>
      </c>
      <c r="E276" s="1935"/>
      <c r="F276" s="1935"/>
      <c r="G276" s="130"/>
    </row>
    <row r="277" spans="1:7" s="39" customFormat="1">
      <c r="A277" s="273"/>
      <c r="B277" s="273"/>
      <c r="C277" s="273"/>
      <c r="D277" s="1935"/>
      <c r="E277" s="1935"/>
      <c r="F277" s="1935"/>
      <c r="G277" s="130"/>
    </row>
    <row r="278" spans="1:7" s="39" customFormat="1" ht="14.4">
      <c r="A278" s="403"/>
      <c r="B278" s="403"/>
      <c r="C278" s="273"/>
      <c r="D278" s="497"/>
      <c r="E278" s="498"/>
      <c r="F278" s="498"/>
      <c r="G278" s="130"/>
    </row>
    <row r="279" spans="1:7">
      <c r="A279" s="273"/>
      <c r="B279" s="679" t="s">
        <v>316</v>
      </c>
      <c r="D279" s="1885" t="s">
        <v>1307</v>
      </c>
      <c r="E279" s="1885"/>
      <c r="F279" s="1885"/>
    </row>
    <row r="280" spans="1:7">
      <c r="E280" s="135"/>
      <c r="F280" s="135"/>
    </row>
    <row r="281" spans="1:7" ht="14.4">
      <c r="A281" s="261"/>
      <c r="B281" s="679" t="s">
        <v>316</v>
      </c>
      <c r="D281" s="1881" t="s">
        <v>1308</v>
      </c>
      <c r="E281" s="1881"/>
      <c r="F281" s="1881"/>
    </row>
    <row r="282" spans="1:7" ht="14.4">
      <c r="A282" s="261"/>
      <c r="B282" s="261"/>
      <c r="D282" s="1881"/>
      <c r="E282" s="1881"/>
      <c r="F282" s="1881"/>
    </row>
    <row r="283" spans="1:7" s="719" customFormat="1" ht="14.4">
      <c r="A283" s="714"/>
      <c r="B283" s="714"/>
      <c r="C283" s="731"/>
      <c r="D283" s="1881"/>
      <c r="E283" s="1881"/>
      <c r="F283" s="1881"/>
      <c r="G283" s="7"/>
    </row>
    <row r="284" spans="1:7" s="719" customFormat="1" ht="14.4">
      <c r="A284" s="714"/>
      <c r="B284" s="714"/>
      <c r="C284" s="731"/>
      <c r="D284" s="1881"/>
      <c r="E284" s="1881"/>
      <c r="F284" s="1881"/>
      <c r="G284" s="7"/>
    </row>
    <row r="285" spans="1:7" s="719" customFormat="1" ht="14.4">
      <c r="A285" s="714"/>
      <c r="B285" s="714"/>
      <c r="C285" s="731"/>
      <c r="D285" s="1881"/>
      <c r="E285" s="1881"/>
      <c r="F285" s="1881"/>
      <c r="G285" s="7"/>
    </row>
    <row r="286" spans="1:7" s="719" customFormat="1" ht="14.4">
      <c r="A286" s="714"/>
      <c r="B286" s="714"/>
      <c r="C286" s="731"/>
      <c r="D286" s="1881"/>
      <c r="E286" s="1881"/>
      <c r="F286" s="1881"/>
      <c r="G286" s="7"/>
    </row>
    <row r="287" spans="1:7" s="719" customFormat="1" ht="14.4">
      <c r="A287" s="714"/>
      <c r="B287" s="714"/>
      <c r="C287" s="731"/>
      <c r="D287" s="1881"/>
      <c r="E287" s="1881"/>
      <c r="F287" s="1881"/>
      <c r="G287" s="7"/>
    </row>
    <row r="288" spans="1:7" s="719" customFormat="1" ht="14.4">
      <c r="A288" s="714"/>
      <c r="B288" s="714"/>
      <c r="C288" s="731"/>
      <c r="D288" s="1881"/>
      <c r="E288" s="1881"/>
      <c r="F288" s="1881"/>
      <c r="G288" s="7"/>
    </row>
    <row r="289" spans="1:7" s="719" customFormat="1" ht="14.4">
      <c r="A289" s="714"/>
      <c r="B289" s="714"/>
      <c r="C289" s="731"/>
      <c r="D289" s="1881"/>
      <c r="E289" s="1881"/>
      <c r="F289" s="1881"/>
      <c r="G289" s="7"/>
    </row>
    <row r="290" spans="1:7" s="719" customFormat="1" ht="14.4">
      <c r="A290" s="714"/>
      <c r="B290" s="714"/>
      <c r="C290" s="731"/>
      <c r="D290" s="1881"/>
      <c r="E290" s="1881"/>
      <c r="F290" s="1881"/>
      <c r="G290" s="7"/>
    </row>
    <row r="291" spans="1:7" s="719" customFormat="1" ht="14.4">
      <c r="A291" s="714"/>
      <c r="B291" s="714"/>
      <c r="C291" s="731"/>
      <c r="D291" s="1881"/>
      <c r="E291" s="1881"/>
      <c r="F291" s="1881"/>
      <c r="G291" s="7"/>
    </row>
    <row r="292" spans="1:7" s="719" customFormat="1" ht="14.4">
      <c r="A292" s="714"/>
      <c r="B292" s="714"/>
      <c r="C292" s="731"/>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9" t="s">
        <v>316</v>
      </c>
      <c r="D297" s="1881" t="s">
        <v>1309</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9" t="s">
        <v>316</v>
      </c>
      <c r="D307" s="1860" t="s">
        <v>1310</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8" thickBot="1">
      <c r="D314" s="1931" t="s">
        <v>1059</v>
      </c>
      <c r="E314" s="1931"/>
      <c r="F314" s="1931"/>
      <c r="G314" s="12"/>
    </row>
    <row r="315" spans="1:7" s="719" customFormat="1" ht="13.8" thickTop="1">
      <c r="A315" s="731"/>
      <c r="B315" s="731"/>
      <c r="C315" s="731"/>
      <c r="D315" s="1932" t="s">
        <v>1311</v>
      </c>
      <c r="E315" s="1932"/>
      <c r="F315" s="1932"/>
    </row>
    <row r="316" spans="1:7">
      <c r="A316" s="325"/>
      <c r="B316" s="325"/>
      <c r="C316" s="325"/>
      <c r="D316" s="467"/>
      <c r="E316" s="467"/>
      <c r="F316" s="135"/>
      <c r="G316" s="12"/>
    </row>
    <row r="317" spans="1:7" ht="14.4">
      <c r="A317" s="261"/>
      <c r="B317" s="679" t="s">
        <v>316</v>
      </c>
      <c r="C317" s="325"/>
      <c r="D317" s="1933" t="s">
        <v>1312</v>
      </c>
      <c r="E317" s="1933"/>
      <c r="F317" s="1933"/>
      <c r="G317" s="12"/>
    </row>
    <row r="318" spans="1:7">
      <c r="A318" s="325"/>
      <c r="B318" s="325"/>
      <c r="C318" s="325"/>
      <c r="D318" s="467"/>
      <c r="E318" s="467"/>
      <c r="F318" s="135"/>
      <c r="G318" s="12"/>
    </row>
    <row r="319" spans="1:7">
      <c r="A319" s="325"/>
      <c r="B319" s="679" t="s">
        <v>316</v>
      </c>
      <c r="C319" s="325"/>
      <c r="D319" s="1917" t="s">
        <v>1313</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4">
      <c r="A331" s="261"/>
      <c r="B331" s="679" t="s">
        <v>316</v>
      </c>
      <c r="C331" s="325"/>
      <c r="D331" s="1936" t="s">
        <v>1314</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1315</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1317</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4">
      <c r="A367" s="261"/>
      <c r="B367" s="679" t="s">
        <v>316</v>
      </c>
      <c r="C367" s="325"/>
      <c r="D367" s="1917" t="s">
        <v>1318</v>
      </c>
      <c r="E367" s="1917"/>
      <c r="F367" s="1917"/>
      <c r="G367" s="12"/>
    </row>
    <row r="368" spans="1:7" ht="14.4">
      <c r="A368" s="506"/>
      <c r="B368" s="506"/>
      <c r="C368" s="325"/>
      <c r="D368" s="1917"/>
      <c r="E368" s="1917"/>
      <c r="F368" s="1917"/>
      <c r="G368" s="12"/>
    </row>
    <row r="369" spans="1:7" ht="14.4">
      <c r="A369" s="506"/>
      <c r="B369" s="506"/>
      <c r="C369" s="325"/>
      <c r="D369" s="1917"/>
      <c r="E369" s="1917"/>
      <c r="F369" s="1917"/>
      <c r="G369" s="12"/>
    </row>
    <row r="370" spans="1:7" ht="14.4">
      <c r="A370" s="506"/>
      <c r="B370" s="506"/>
      <c r="C370" s="325"/>
      <c r="D370" s="1917"/>
      <c r="E370" s="1917"/>
      <c r="F370" s="1917"/>
      <c r="G370" s="12"/>
    </row>
    <row r="371" spans="1:7" ht="14.4">
      <c r="A371" s="506"/>
      <c r="B371" s="506"/>
      <c r="C371" s="325"/>
      <c r="D371" s="1917"/>
      <c r="E371" s="1917"/>
      <c r="F371" s="1917"/>
      <c r="G371" s="12"/>
    </row>
    <row r="372" spans="1:7">
      <c r="D372" s="135"/>
      <c r="E372" s="135"/>
      <c r="F372" s="135"/>
      <c r="G372" s="12"/>
    </row>
    <row r="373" spans="1:7" ht="14.4">
      <c r="A373" s="261"/>
      <c r="B373" s="679" t="s">
        <v>316</v>
      </c>
      <c r="C373" s="266"/>
      <c r="D373" s="1860" t="s">
        <v>1319</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65" customHeight="1">
      <c r="A403" s="132"/>
      <c r="B403" s="676"/>
      <c r="C403" s="132"/>
      <c r="D403" s="1860"/>
      <c r="E403" s="1860"/>
      <c r="F403" s="1860"/>
      <c r="G403" s="30"/>
    </row>
    <row r="404" spans="1:7" s="32" customFormat="1">
      <c r="A404" s="132"/>
      <c r="B404" s="676"/>
      <c r="C404" s="132"/>
      <c r="D404" s="135"/>
      <c r="E404" s="135"/>
      <c r="F404" s="135"/>
      <c r="G404" s="30"/>
    </row>
    <row r="405" spans="1:7" ht="14.4">
      <c r="A405" s="261"/>
      <c r="B405" s="679" t="s">
        <v>316</v>
      </c>
      <c r="C405" s="266"/>
      <c r="D405" s="1885" t="s">
        <v>1320</v>
      </c>
      <c r="E405" s="1885"/>
      <c r="F405" s="1885"/>
    </row>
    <row r="406" spans="1:7">
      <c r="D406" s="1930" t="s">
        <v>1084</v>
      </c>
      <c r="E406" s="1930"/>
      <c r="F406" s="1930"/>
    </row>
    <row r="407" spans="1:7">
      <c r="D407" s="1881" t="s">
        <v>1321</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9" t="s">
        <v>316</v>
      </c>
      <c r="C412" s="266"/>
      <c r="D412" s="1860" t="s">
        <v>1322</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4">
      <c r="B416" s="679" t="s">
        <v>316</v>
      </c>
      <c r="C416" s="261"/>
      <c r="D416" s="1881" t="s">
        <v>1323</v>
      </c>
      <c r="E416" s="1881"/>
      <c r="F416" s="1881"/>
      <c r="G416" s="12"/>
    </row>
    <row r="417" spans="1:7">
      <c r="D417" s="1881"/>
      <c r="E417" s="1881"/>
      <c r="F417" s="1881"/>
      <c r="G417" s="12"/>
    </row>
    <row r="418" spans="1:7">
      <c r="D418" s="135"/>
      <c r="E418" s="135"/>
      <c r="F418" s="135"/>
      <c r="G418" s="12"/>
    </row>
    <row r="419" spans="1:7" ht="14.4">
      <c r="B419" s="679" t="s">
        <v>316</v>
      </c>
      <c r="C419" s="261"/>
      <c r="D419" s="1881" t="s">
        <v>1324</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1325</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1326</v>
      </c>
      <c r="E440" s="1892"/>
      <c r="F440" s="1892"/>
    </row>
    <row r="441" spans="1:7">
      <c r="A441" s="135"/>
      <c r="B441" s="135"/>
    </row>
    <row r="442" spans="1:7">
      <c r="A442" s="1886" t="s">
        <v>1167</v>
      </c>
      <c r="B442" s="1886"/>
      <c r="C442" s="1886"/>
      <c r="D442" s="1886"/>
      <c r="E442" s="1886"/>
      <c r="F442" s="1886"/>
      <c r="G442" s="1886"/>
    </row>
    <row r="443" spans="1:7">
      <c r="A443" s="135"/>
      <c r="B443" s="135"/>
    </row>
    <row r="444" spans="1:7">
      <c r="D444" s="1937" t="s">
        <v>947</v>
      </c>
      <c r="E444" s="1937"/>
      <c r="F444" s="1937"/>
    </row>
    <row r="445" spans="1:7" s="39" customFormat="1" ht="14.4">
      <c r="A445" s="403"/>
      <c r="B445" s="403"/>
      <c r="C445" s="273"/>
      <c r="D445" s="1938" t="s">
        <v>1327</v>
      </c>
      <c r="E445" s="1938"/>
      <c r="F445" s="1938"/>
      <c r="G445" s="130"/>
    </row>
    <row r="446" spans="1:7" s="39" customFormat="1" ht="14.4">
      <c r="A446" s="403"/>
      <c r="B446" s="403"/>
      <c r="C446" s="273"/>
      <c r="D446" s="732"/>
      <c r="E446" s="6"/>
      <c r="F446" s="6"/>
      <c r="G446" s="130"/>
    </row>
    <row r="447" spans="1:7" s="39" customFormat="1" ht="14.4">
      <c r="A447" s="261"/>
      <c r="B447" s="679" t="s">
        <v>316</v>
      </c>
      <c r="C447" s="273"/>
      <c r="D447" s="1939" t="s">
        <v>1328</v>
      </c>
      <c r="E447" s="1939"/>
      <c r="F447" s="1939"/>
      <c r="G447" s="130"/>
    </row>
    <row r="448" spans="1:7" s="39" customFormat="1" ht="14.4">
      <c r="A448" s="261"/>
      <c r="B448" s="261"/>
      <c r="C448" s="273"/>
      <c r="D448" s="1939"/>
      <c r="E448" s="1939"/>
      <c r="F448" s="1939"/>
      <c r="G448" s="130"/>
    </row>
    <row r="449" spans="1:7" s="39" customFormat="1" ht="14.4">
      <c r="A449" s="261"/>
      <c r="B449" s="261"/>
      <c r="C449" s="273"/>
      <c r="D449" s="730"/>
      <c r="E449" s="6"/>
      <c r="F449" s="6"/>
      <c r="G449" s="130"/>
    </row>
    <row r="450" spans="1:7">
      <c r="B450" s="679" t="s">
        <v>316</v>
      </c>
      <c r="D450" s="1909" t="s">
        <v>1329</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8"/>
      <c r="E454" s="678"/>
      <c r="F454" s="678"/>
      <c r="G454" s="12"/>
    </row>
    <row r="455" spans="1:7" ht="14.4">
      <c r="A455" s="261"/>
      <c r="B455" s="679" t="s">
        <v>316</v>
      </c>
      <c r="D455" s="1862" t="s">
        <v>1330</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8"/>
      <c r="E458" s="678"/>
      <c r="F458" s="678"/>
      <c r="G458" s="12"/>
    </row>
    <row r="459" spans="1:7" ht="14.4">
      <c r="A459" s="261"/>
      <c r="B459" s="718" t="s">
        <v>316</v>
      </c>
      <c r="D459" s="1885" t="s">
        <v>1331</v>
      </c>
      <c r="E459" s="1885"/>
      <c r="F459" s="1885"/>
      <c r="G459" s="12"/>
    </row>
    <row r="460" spans="1:7" ht="14.4">
      <c r="A460" s="261"/>
      <c r="B460" s="261"/>
      <c r="D460" s="730"/>
      <c r="E460" s="6"/>
      <c r="F460" s="6"/>
      <c r="G460" s="12"/>
    </row>
    <row r="461" spans="1:7" ht="14.4">
      <c r="A461" s="261"/>
      <c r="B461" s="679" t="s">
        <v>316</v>
      </c>
      <c r="D461" s="1860" t="s">
        <v>1332</v>
      </c>
      <c r="E461" s="1860"/>
      <c r="F461" s="1860"/>
      <c r="G461" s="12"/>
    </row>
    <row r="462" spans="1:7" ht="14.4">
      <c r="A462" s="261"/>
      <c r="D462" s="1860"/>
      <c r="E462" s="1860"/>
      <c r="F462" s="1860"/>
      <c r="G462" s="12"/>
    </row>
    <row r="463" spans="1:7">
      <c r="A463" s="23"/>
      <c r="B463" s="675"/>
      <c r="D463" s="733"/>
      <c r="E463" s="6"/>
      <c r="F463" s="6"/>
      <c r="G463" s="12"/>
    </row>
    <row r="464" spans="1:7">
      <c r="A464" s="23"/>
      <c r="B464" s="718" t="s">
        <v>316</v>
      </c>
      <c r="D464" s="1885" t="s">
        <v>1333</v>
      </c>
      <c r="E464" s="1885"/>
      <c r="F464" s="1885"/>
      <c r="G464" s="12"/>
    </row>
    <row r="465" spans="1:7" ht="14.4">
      <c r="A465" s="261"/>
      <c r="B465" s="261"/>
      <c r="D465" s="135"/>
    </row>
    <row r="466" spans="1:7">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2" customHeight="1">
      <c r="A469" s="260"/>
      <c r="B469" s="260"/>
      <c r="C469" s="313"/>
      <c r="D469" s="1941" t="s">
        <v>1211</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 customHeight="1">
      <c r="A475" s="261"/>
      <c r="B475" s="679" t="s">
        <v>316</v>
      </c>
      <c r="C475" s="313"/>
      <c r="D475" s="1907" t="s">
        <v>1202</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 customHeight="1">
      <c r="A481" s="261"/>
      <c r="B481" s="679" t="s">
        <v>316</v>
      </c>
      <c r="C481" s="313"/>
      <c r="D481" s="1907" t="s">
        <v>1205</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 customHeight="1">
      <c r="A485" s="260"/>
      <c r="B485" s="260"/>
      <c r="C485" s="313"/>
      <c r="D485" s="443"/>
      <c r="E485" s="149"/>
      <c r="F485" s="151"/>
      <c r="G485" s="149"/>
    </row>
    <row r="486" spans="1:7" customFormat="1" ht="14.4" customHeight="1">
      <c r="A486" s="261"/>
      <c r="B486" s="679" t="s">
        <v>316</v>
      </c>
      <c r="C486" s="313"/>
      <c r="D486" s="1907" t="s">
        <v>1203</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 customHeight="1">
      <c r="A490" s="261"/>
      <c r="B490" s="679" t="s">
        <v>316</v>
      </c>
      <c r="C490" s="313"/>
      <c r="D490" s="1907" t="s">
        <v>1204</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2" customHeight="1">
      <c r="A500" s="487"/>
      <c r="B500" s="679" t="s">
        <v>316</v>
      </c>
      <c r="C500" s="486"/>
      <c r="D500" s="1920" t="s">
        <v>1348</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 customHeight="1">
      <c r="A506" s="261"/>
      <c r="B506" s="679" t="s">
        <v>316</v>
      </c>
      <c r="C506" s="10"/>
      <c r="D506" s="1907" t="s">
        <v>1206</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1169</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1170</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1227</v>
      </c>
      <c r="E517" s="1885"/>
      <c r="F517" s="1885"/>
      <c r="G517" s="7"/>
    </row>
    <row r="518" spans="1:7" s="682" customFormat="1">
      <c r="A518" s="699"/>
      <c r="B518" s="699"/>
      <c r="C518" s="266"/>
      <c r="D518" s="704"/>
      <c r="E518" s="704"/>
      <c r="F518" s="704"/>
      <c r="G518" s="7"/>
    </row>
    <row r="519" spans="1:7" ht="13.2" customHeight="1">
      <c r="A519" s="261"/>
      <c r="B519" s="679" t="s">
        <v>316</v>
      </c>
      <c r="C519" s="266"/>
      <c r="D519" s="1885" t="s">
        <v>948</v>
      </c>
      <c r="E519" s="1885"/>
      <c r="F519" s="1885"/>
      <c r="G519" s="12"/>
    </row>
    <row r="520" spans="1:7" ht="13.2" customHeight="1">
      <c r="A520" s="266"/>
      <c r="B520" s="266"/>
      <c r="C520" s="266"/>
      <c r="D520" s="704"/>
      <c r="E520" s="677"/>
      <c r="F520" s="677"/>
      <c r="G520" s="12"/>
    </row>
    <row r="521" spans="1:7" ht="14.4">
      <c r="A521" s="261"/>
      <c r="B521" s="679" t="s">
        <v>316</v>
      </c>
      <c r="C521" s="266"/>
      <c r="D521" s="1860" t="s">
        <v>1228</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9" t="s">
        <v>316</v>
      </c>
      <c r="C524" s="266"/>
      <c r="D524" s="1860" t="s">
        <v>1229</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9" t="s">
        <v>316</v>
      </c>
      <c r="C527" s="266"/>
      <c r="D527" s="1860" t="s">
        <v>1230</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9" t="s">
        <v>316</v>
      </c>
      <c r="C530" s="266"/>
      <c r="D530" s="1860" t="s">
        <v>1231</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9" t="s">
        <v>316</v>
      </c>
      <c r="C534" s="266"/>
      <c r="D534" s="1883" t="s">
        <v>1349</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9" t="s">
        <v>316</v>
      </c>
      <c r="C537" s="266"/>
      <c r="D537" s="1883" t="s">
        <v>1232</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9" t="s">
        <v>316</v>
      </c>
      <c r="C540" s="266"/>
      <c r="D540" s="1860" t="s">
        <v>1233</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9" t="s">
        <v>316</v>
      </c>
      <c r="C543" s="266"/>
      <c r="D543" s="1885" t="s">
        <v>1234</v>
      </c>
      <c r="E543" s="1885"/>
      <c r="F543" s="1885"/>
      <c r="G543" s="57"/>
    </row>
    <row r="544" spans="1:7">
      <c r="A544" s="23"/>
      <c r="B544" s="675"/>
      <c r="C544" s="266"/>
      <c r="D544" s="1885" t="s">
        <v>880</v>
      </c>
      <c r="E544" s="1885"/>
      <c r="F544" s="1885"/>
      <c r="G544" s="57"/>
    </row>
    <row r="545" spans="1:7">
      <c r="A545" s="23"/>
      <c r="B545" s="675"/>
      <c r="C545" s="266"/>
      <c r="D545" s="6"/>
      <c r="E545" s="1890" t="s">
        <v>1235</v>
      </c>
      <c r="F545" s="1890"/>
      <c r="G545" s="57"/>
    </row>
    <row r="546" spans="1:7" ht="14.4">
      <c r="A546" s="261"/>
      <c r="B546" s="261"/>
      <c r="C546" s="266"/>
      <c r="E546" s="135"/>
      <c r="F546" s="135"/>
      <c r="G546" s="57"/>
    </row>
    <row r="547" spans="1:7" ht="14.4">
      <c r="A547" s="261"/>
      <c r="B547" s="679" t="s">
        <v>316</v>
      </c>
      <c r="C547" s="266"/>
      <c r="D547" s="1891" t="s">
        <v>1236</v>
      </c>
      <c r="E547" s="1891"/>
      <c r="F547" s="1891"/>
      <c r="G547" s="57"/>
    </row>
    <row r="548" spans="1:7">
      <c r="C548" s="266"/>
      <c r="D548" s="1860" t="s">
        <v>1237</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9" t="s">
        <v>316</v>
      </c>
      <c r="C552" s="266"/>
      <c r="D552" s="1860" t="s">
        <v>1238</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1171</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954</v>
      </c>
      <c r="E562" s="1908"/>
      <c r="F562" s="1908"/>
      <c r="G562" s="57"/>
    </row>
    <row r="563" spans="1:7">
      <c r="A563" s="23"/>
      <c r="B563" s="675"/>
      <c r="D563" s="325"/>
    </row>
    <row r="564" spans="1:7">
      <c r="A564" s="23"/>
      <c r="B564" s="679" t="s">
        <v>316</v>
      </c>
      <c r="D564" s="1909" t="s">
        <v>1188</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1189</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1190</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316</v>
      </c>
      <c r="D579" s="1908" t="s">
        <v>949</v>
      </c>
      <c r="E579" s="1908"/>
      <c r="F579" s="1908"/>
    </row>
    <row r="580" spans="1:7" ht="14.4">
      <c r="A580" s="261"/>
      <c r="B580" s="261"/>
      <c r="D580" s="377"/>
    </row>
    <row r="581" spans="1:7" ht="14.4">
      <c r="A581" s="261"/>
      <c r="B581" s="679" t="s">
        <v>316</v>
      </c>
      <c r="D581" s="1908" t="s">
        <v>1192</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1172</v>
      </c>
      <c r="B588" s="1886"/>
      <c r="C588" s="1886"/>
      <c r="D588" s="1886"/>
      <c r="E588" s="1886"/>
      <c r="F588" s="1886"/>
      <c r="G588" s="1886"/>
    </row>
    <row r="589" spans="1:7"/>
    <row r="590" spans="1:7">
      <c r="D590" s="1876" t="s">
        <v>1272</v>
      </c>
      <c r="E590" s="1876"/>
      <c r="F590" s="1876"/>
    </row>
    <row r="591" spans="1:7">
      <c r="D591" s="1877" t="s">
        <v>1273</v>
      </c>
      <c r="E591" s="1877"/>
      <c r="F591" s="1877"/>
    </row>
    <row r="592" spans="1:7" s="719" customFormat="1">
      <c r="A592" s="705"/>
      <c r="B592" s="705"/>
      <c r="C592" s="705"/>
      <c r="D592" s="723"/>
      <c r="E592" s="722"/>
      <c r="F592" s="722"/>
      <c r="G592" s="7"/>
    </row>
    <row r="593" spans="1:7" s="39" customFormat="1" ht="14.4">
      <c r="A593" s="403"/>
      <c r="B593" s="679" t="s">
        <v>316</v>
      </c>
      <c r="C593" s="273"/>
      <c r="D593" s="1878" t="s">
        <v>1274</v>
      </c>
      <c r="E593" s="1878"/>
      <c r="F593" s="1878"/>
      <c r="G593" s="130"/>
    </row>
    <row r="594" spans="1:7">
      <c r="D594" s="1878"/>
      <c r="E594" s="1878"/>
      <c r="F594" s="1878"/>
    </row>
    <row r="595" spans="1:7">
      <c r="D595" s="1878"/>
      <c r="E595" s="1878"/>
      <c r="F595" s="1878"/>
    </row>
    <row r="596" spans="1:7"/>
    <row r="597" spans="1:7">
      <c r="A597" s="1886" t="s">
        <v>1173</v>
      </c>
      <c r="B597" s="1886"/>
      <c r="C597" s="1886"/>
      <c r="D597" s="1886"/>
      <c r="E597" s="1886"/>
      <c r="F597" s="1886"/>
      <c r="G597" s="1886"/>
    </row>
    <row r="598" spans="1:7">
      <c r="A598" s="135"/>
      <c r="B598" s="135"/>
      <c r="G598" s="57"/>
    </row>
    <row r="599" spans="1:7">
      <c r="A599" s="257"/>
      <c r="B599" s="674"/>
      <c r="C599" s="255"/>
      <c r="D599" s="1879" t="s">
        <v>1275</v>
      </c>
      <c r="E599" s="1879"/>
      <c r="F599" s="1879"/>
      <c r="G599" s="57"/>
    </row>
    <row r="600" spans="1:7">
      <c r="A600" s="257"/>
      <c r="B600" s="674"/>
      <c r="C600" s="255"/>
      <c r="D600" s="1879"/>
      <c r="E600" s="1879"/>
      <c r="F600" s="1879"/>
      <c r="G600" s="57"/>
    </row>
    <row r="601" spans="1:7">
      <c r="C601" s="260"/>
      <c r="D601" s="1877" t="s">
        <v>1276</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1277</v>
      </c>
      <c r="E605" s="1880"/>
      <c r="F605" s="1880"/>
      <c r="G605" s="57"/>
    </row>
    <row r="606" spans="1:7">
      <c r="D606" s="1880"/>
      <c r="E606" s="1880"/>
      <c r="F606" s="1880"/>
      <c r="G606" s="57"/>
    </row>
    <row r="607" spans="1:7">
      <c r="D607" s="12"/>
      <c r="G607" s="57"/>
    </row>
    <row r="608" spans="1:7">
      <c r="B608" s="679" t="s">
        <v>316</v>
      </c>
      <c r="D608" s="1880" t="s">
        <v>1278</v>
      </c>
      <c r="E608" s="1880"/>
      <c r="F608" s="1880"/>
      <c r="G608" s="57"/>
    </row>
    <row r="609" spans="1:7">
      <c r="C609" s="268"/>
      <c r="D609" s="1880"/>
      <c r="E609" s="1880"/>
      <c r="F609" s="1880"/>
      <c r="G609" s="57"/>
    </row>
    <row r="610" spans="1:7">
      <c r="C610" s="268"/>
      <c r="G610" s="57"/>
    </row>
    <row r="611" spans="1:7">
      <c r="B611" s="679" t="s">
        <v>316</v>
      </c>
      <c r="C611" s="268"/>
      <c r="D611" s="1880" t="s">
        <v>1279</v>
      </c>
      <c r="E611" s="1880"/>
      <c r="F611" s="1880"/>
      <c r="G611" s="57"/>
    </row>
    <row r="612" spans="1:7">
      <c r="C612" s="268"/>
      <c r="D612" s="1880"/>
      <c r="E612" s="1880"/>
      <c r="F612" s="1880"/>
      <c r="G612" s="57"/>
    </row>
    <row r="613" spans="1:7">
      <c r="C613" s="268"/>
      <c r="G613" s="57"/>
    </row>
    <row r="614" spans="1:7">
      <c r="A614" s="1886" t="s">
        <v>1174</v>
      </c>
      <c r="B614" s="1886"/>
      <c r="C614" s="1886"/>
      <c r="D614" s="1886"/>
      <c r="E614" s="1886"/>
      <c r="F614" s="1886"/>
      <c r="G614" s="1886"/>
    </row>
    <row r="615" spans="1:7">
      <c r="A615" s="267"/>
      <c r="B615" s="267"/>
      <c r="C615" s="267"/>
      <c r="G615" s="57"/>
    </row>
    <row r="616" spans="1:7">
      <c r="C616" s="23"/>
      <c r="D616" s="1876" t="s">
        <v>1280</v>
      </c>
      <c r="E616" s="1876"/>
      <c r="F616" s="1876"/>
      <c r="G616" s="57"/>
    </row>
    <row r="617" spans="1:7">
      <c r="A617" s="23"/>
      <c r="B617" s="675"/>
      <c r="C617" s="265"/>
      <c r="D617" s="50"/>
      <c r="G617" s="57"/>
    </row>
    <row r="618" spans="1:7" ht="14.4">
      <c r="A618" s="261"/>
      <c r="B618" s="679" t="s">
        <v>316</v>
      </c>
      <c r="C618" s="265"/>
      <c r="D618" s="1921" t="s">
        <v>1281</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4">
      <c r="A625" s="261"/>
      <c r="B625" s="679" t="s">
        <v>316</v>
      </c>
      <c r="C625" s="265"/>
      <c r="D625" s="1921" t="s">
        <v>1282</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9" t="s">
        <v>316</v>
      </c>
      <c r="C628" s="266"/>
      <c r="D628" s="1878" t="s">
        <v>1283</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1284</v>
      </c>
      <c r="E633" s="1926"/>
      <c r="F633" s="1926"/>
      <c r="G633" s="57"/>
    </row>
    <row r="634" spans="1:7">
      <c r="A634" s="266"/>
      <c r="B634" s="266"/>
      <c r="C634" s="266"/>
      <c r="D634" s="727"/>
      <c r="E634" s="727"/>
      <c r="F634" s="727"/>
      <c r="G634" s="57"/>
    </row>
    <row r="635" spans="1:7">
      <c r="A635" s="1886" t="s">
        <v>1175</v>
      </c>
      <c r="B635" s="1886"/>
      <c r="C635" s="1886"/>
      <c r="D635" s="1886"/>
      <c r="E635" s="1886"/>
      <c r="F635" s="1886"/>
      <c r="G635" s="1886"/>
    </row>
    <row r="636" spans="1:7">
      <c r="A636" s="135"/>
      <c r="B636" s="135"/>
      <c r="C636" s="266"/>
      <c r="D636" s="147"/>
      <c r="E636" s="147"/>
      <c r="F636" s="147"/>
      <c r="G636" s="57"/>
    </row>
    <row r="637" spans="1:7">
      <c r="C637" s="267"/>
      <c r="D637" s="1927" t="s">
        <v>1334</v>
      </c>
      <c r="E637" s="1927"/>
      <c r="F637" s="1927"/>
      <c r="G637" s="57"/>
    </row>
    <row r="638" spans="1:7">
      <c r="A638" s="260"/>
      <c r="B638" s="260"/>
      <c r="C638" s="260"/>
      <c r="D638" s="1928" t="s">
        <v>1335</v>
      </c>
      <c r="E638" s="1928"/>
      <c r="F638" s="1928"/>
      <c r="G638" s="57"/>
    </row>
    <row r="639" spans="1:7" s="719" customFormat="1">
      <c r="A639" s="720"/>
      <c r="B639" s="720"/>
      <c r="C639" s="720"/>
      <c r="D639" s="734"/>
      <c r="E639" s="734"/>
      <c r="F639" s="734"/>
      <c r="G639" s="57"/>
    </row>
    <row r="640" spans="1:7" ht="14.4" customHeight="1">
      <c r="A640" s="261"/>
      <c r="B640" s="679" t="s">
        <v>316</v>
      </c>
      <c r="C640" s="266"/>
      <c r="D640" s="1874" t="s">
        <v>1336</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2" customFormat="1" ht="14.4">
      <c r="A644" s="261"/>
      <c r="B644" s="261"/>
      <c r="C644" s="266"/>
      <c r="D644" s="1874"/>
      <c r="E644" s="1874"/>
      <c r="F644" s="1874"/>
      <c r="G644" s="57"/>
    </row>
    <row r="645" spans="1:11" s="719" customFormat="1" ht="14.4">
      <c r="A645" s="714"/>
      <c r="B645" s="714"/>
      <c r="C645" s="266"/>
      <c r="D645" s="736"/>
      <c r="E645" s="736"/>
      <c r="F645" s="736"/>
      <c r="G645" s="57"/>
    </row>
    <row r="646" spans="1:11" s="682" customFormat="1" ht="14.4">
      <c r="A646" s="261"/>
      <c r="B646" s="679" t="s">
        <v>316</v>
      </c>
      <c r="C646" s="266"/>
      <c r="D646" s="1904" t="s">
        <v>1186</v>
      </c>
      <c r="E646" s="1904"/>
      <c r="F646" s="1904"/>
      <c r="G646" s="57"/>
    </row>
    <row r="647" spans="1:11" s="682" customFormat="1" ht="14.4">
      <c r="A647" s="261"/>
      <c r="B647" s="261"/>
      <c r="C647" s="266"/>
      <c r="D647" s="1905" t="s">
        <v>1337</v>
      </c>
      <c r="E647" s="1905"/>
      <c r="F647" s="1905"/>
      <c r="G647" s="57"/>
    </row>
    <row r="648" spans="1:11" s="682" customFormat="1" ht="14.4">
      <c r="A648" s="261"/>
      <c r="B648" s="261"/>
      <c r="C648" s="266"/>
      <c r="D648" s="1905"/>
      <c r="E648" s="1905"/>
      <c r="F648" s="1905"/>
      <c r="G648" s="57"/>
    </row>
    <row r="649" spans="1:11" s="682" customFormat="1" ht="14.4">
      <c r="A649" s="261"/>
      <c r="B649" s="261"/>
      <c r="C649" s="266"/>
      <c r="D649" s="1905"/>
      <c r="E649" s="1905"/>
      <c r="F649" s="1905"/>
      <c r="G649" s="57"/>
    </row>
    <row r="650" spans="1:11" s="682" customFormat="1" ht="14.4">
      <c r="A650" s="261"/>
      <c r="B650" s="261"/>
      <c r="C650" s="266"/>
      <c r="D650" s="1905"/>
      <c r="E650" s="1905"/>
      <c r="F650" s="1905"/>
      <c r="G650" s="57"/>
    </row>
    <row r="651" spans="1:11" s="682" customFormat="1" ht="14.4">
      <c r="A651" s="261"/>
      <c r="B651" s="261"/>
      <c r="C651" s="266"/>
      <c r="D651" s="1905"/>
      <c r="E651" s="1905"/>
      <c r="F651" s="1905"/>
      <c r="G651" s="57"/>
    </row>
    <row r="652" spans="1:11" s="682" customFormat="1" ht="14.4">
      <c r="A652" s="261"/>
      <c r="B652" s="261"/>
      <c r="C652" s="266"/>
      <c r="D652" s="1906" t="s">
        <v>1338</v>
      </c>
      <c r="E652" s="1906"/>
      <c r="F652" s="1906"/>
      <c r="G652" s="57"/>
    </row>
    <row r="653" spans="1:11">
      <c r="A653" s="266"/>
      <c r="B653" s="266"/>
      <c r="C653" s="266"/>
      <c r="D653" s="147"/>
      <c r="E653" s="147"/>
      <c r="F653" s="147"/>
      <c r="G653" s="57"/>
    </row>
    <row r="654" spans="1:11">
      <c r="A654" s="1886" t="s">
        <v>1176</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1212</v>
      </c>
      <c r="E658" s="1885"/>
      <c r="F658" s="1885"/>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1213</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0" t="s">
        <v>1214</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5" t="s">
        <v>990</v>
      </c>
      <c r="E669" s="1885"/>
      <c r="F669" s="1885"/>
      <c r="G669" s="57"/>
      <c r="H669" s="269"/>
      <c r="I669" s="269"/>
      <c r="J669" s="269"/>
      <c r="K669" s="269"/>
    </row>
    <row r="670" spans="1:11" ht="14.4">
      <c r="A670" s="261"/>
      <c r="B670" s="261"/>
      <c r="C670" s="260"/>
      <c r="D670" s="1885" t="s">
        <v>961</v>
      </c>
      <c r="E670" s="1885"/>
      <c r="F670" s="1885"/>
      <c r="G670" s="57"/>
      <c r="H670" s="269"/>
      <c r="I670" s="269"/>
      <c r="J670" s="269"/>
      <c r="K670" s="269"/>
    </row>
    <row r="671" spans="1:11">
      <c r="A671" s="260"/>
      <c r="B671" s="260"/>
      <c r="C671" s="260"/>
      <c r="D671" s="6"/>
      <c r="E671" s="1890" t="s">
        <v>1215</v>
      </c>
      <c r="F671" s="1890"/>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3" t="s">
        <v>1225</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3" t="s">
        <v>1216</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3" t="s">
        <v>1226</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1223</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1224</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1217</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1218</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0" t="s">
        <v>1219</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3" t="s">
        <v>1352</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1220</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1177</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1193</v>
      </c>
      <c r="E728" s="1902"/>
      <c r="F728" s="1902"/>
      <c r="G728" s="271"/>
      <c r="H728" s="269"/>
      <c r="I728" s="269"/>
      <c r="J728" s="269"/>
      <c r="K728" s="269"/>
    </row>
    <row r="729" spans="1:11">
      <c r="A729" s="260"/>
      <c r="B729" s="260"/>
      <c r="C729" s="260"/>
      <c r="D729" s="1889" t="s">
        <v>1194</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0" t="s">
        <v>1195</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4">
      <c r="A743" s="261"/>
      <c r="B743" s="679" t="s">
        <v>316</v>
      </c>
      <c r="C743" s="408"/>
      <c r="D743" s="1903" t="s">
        <v>1197</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4">
      <c r="A747" s="261"/>
      <c r="B747" s="679" t="s">
        <v>316</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1200</v>
      </c>
      <c r="B754" s="1897"/>
      <c r="C754" s="1897"/>
      <c r="D754" s="1897"/>
      <c r="E754" s="1897"/>
      <c r="F754" s="1897"/>
      <c r="G754" s="1897"/>
    </row>
    <row r="755" spans="1:11">
      <c r="A755" s="260"/>
      <c r="B755" s="260"/>
      <c r="C755" s="260"/>
      <c r="D755" s="276"/>
      <c r="F755" s="147"/>
      <c r="G755" s="271"/>
    </row>
    <row r="756" spans="1:11">
      <c r="A756" s="273"/>
      <c r="B756" s="273"/>
      <c r="C756" s="442"/>
      <c r="D756" s="1898" t="s">
        <v>1184</v>
      </c>
      <c r="E756" s="1898"/>
      <c r="F756" s="1898"/>
      <c r="G756" s="271"/>
    </row>
    <row r="757" spans="1:11">
      <c r="A757" s="503"/>
      <c r="B757" s="503"/>
      <c r="C757" s="502"/>
      <c r="D757" s="1899" t="s">
        <v>1201</v>
      </c>
      <c r="E757" s="1899"/>
      <c r="F757" s="1899"/>
      <c r="G757" s="271"/>
    </row>
    <row r="758" spans="1:11">
      <c r="A758" s="273"/>
      <c r="B758" s="273"/>
      <c r="C758" s="442"/>
      <c r="D758" s="693"/>
      <c r="E758" s="693"/>
      <c r="F758" s="693"/>
      <c r="G758" s="271"/>
    </row>
    <row r="759" spans="1:11" ht="14.4">
      <c r="A759" s="261"/>
      <c r="B759" s="679" t="s">
        <v>316</v>
      </c>
      <c r="C759" s="442"/>
      <c r="D759" s="1900" t="s">
        <v>1069</v>
      </c>
      <c r="E759" s="1900"/>
      <c r="F759" s="1900"/>
      <c r="G759" s="271"/>
    </row>
    <row r="760" spans="1:11">
      <c r="A760" s="273"/>
      <c r="B760" s="273"/>
      <c r="C760" s="442"/>
      <c r="D760" s="692"/>
      <c r="E760" s="1901" t="s">
        <v>1185</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1068</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4">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2" t="s">
        <v>2400</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3.2"/>
    <row r="5" spans="1:10" ht="12.75" customHeight="1">
      <c r="A5" s="1944" t="s">
        <v>2403</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9" t="s">
        <v>2406</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9"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1" t="s">
        <v>1390</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1391</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6" t="s">
        <v>2401</v>
      </c>
      <c r="B72" s="1946"/>
      <c r="C72" s="1946"/>
      <c r="D72" s="1946"/>
      <c r="E72" s="1946"/>
      <c r="F72" s="1946"/>
      <c r="G72" s="1946"/>
      <c r="H72" s="1946"/>
      <c r="I72" s="1946"/>
    </row>
    <row r="73" spans="1:9" ht="13.2">
      <c r="A73" s="1868" t="s">
        <v>1093</v>
      </c>
      <c r="B73" s="1868"/>
      <c r="C73" s="1868"/>
      <c r="D73" s="1868"/>
      <c r="E73" s="1868"/>
    </row>
    <row r="74" spans="1:9" ht="13.2">
      <c r="A74" s="1868" t="s">
        <v>1392</v>
      </c>
      <c r="B74" s="1868"/>
      <c r="C74" s="1868"/>
      <c r="D74" s="1868"/>
      <c r="E74" s="1868"/>
    </row>
    <row r="75" spans="1:9" ht="13.2">
      <c r="A75" s="1868" t="s">
        <v>2402</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2" t="s">
        <v>2241</v>
      </c>
      <c r="B2" s="1952"/>
      <c r="C2" s="1952"/>
      <c r="D2" s="1952"/>
      <c r="E2" s="1952"/>
      <c r="F2" s="1952"/>
      <c r="G2" s="1952"/>
      <c r="H2" s="1952"/>
      <c r="I2" s="1952"/>
    </row>
    <row r="3" spans="1:9">
      <c r="A3" s="1953" t="s">
        <v>2242</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1254</v>
      </c>
      <c r="B6" s="1974"/>
      <c r="C6" s="1975"/>
      <c r="D6" s="1975"/>
      <c r="E6" s="1975"/>
      <c r="F6" s="1975"/>
      <c r="G6" s="1975"/>
      <c r="I6" s="1836" t="s">
        <v>2416</v>
      </c>
    </row>
    <row r="7" spans="1:9" s="791" customFormat="1">
      <c r="A7" s="1974" t="s">
        <v>1255</v>
      </c>
      <c r="B7" s="1974"/>
      <c r="C7" s="1975"/>
      <c r="D7" s="1975"/>
      <c r="E7" s="1975"/>
      <c r="F7" s="1975"/>
      <c r="G7" s="1975"/>
      <c r="I7" s="1836" t="s">
        <v>2417</v>
      </c>
    </row>
    <row r="8" spans="1:9">
      <c r="A8" s="792"/>
      <c r="B8" s="792"/>
      <c r="C8" s="793"/>
      <c r="D8" s="793"/>
      <c r="E8" s="793"/>
      <c r="F8" s="793"/>
    </row>
    <row r="9" spans="1:9">
      <c r="A9" s="1916" t="s">
        <v>1257</v>
      </c>
      <c r="B9" s="1916"/>
      <c r="C9" s="1916"/>
      <c r="D9" s="1916"/>
      <c r="E9" s="1916"/>
      <c r="F9" s="1916"/>
      <c r="G9" s="1916"/>
      <c r="H9" s="1853"/>
      <c r="I9" s="1854"/>
    </row>
    <row r="10" spans="1:9">
      <c r="A10" s="793"/>
      <c r="B10" s="793"/>
      <c r="E10" s="794"/>
    </row>
    <row r="11" spans="1:9" ht="13.65" customHeight="1">
      <c r="C11" s="793"/>
      <c r="D11" s="1977" t="s">
        <v>1256</v>
      </c>
      <c r="E11" s="1977"/>
      <c r="F11" s="1977"/>
    </row>
    <row r="12" spans="1:9">
      <c r="C12" s="793"/>
      <c r="D12" s="1977"/>
      <c r="E12" s="1977"/>
      <c r="F12" s="1977"/>
    </row>
    <row r="13" spans="1:9">
      <c r="A13" s="795"/>
      <c r="B13" s="795"/>
      <c r="C13" s="795"/>
      <c r="D13" s="1926" t="s">
        <v>1239</v>
      </c>
      <c r="E13" s="1926"/>
      <c r="F13" s="1926"/>
    </row>
    <row r="14" spans="1:9">
      <c r="A14" s="795"/>
      <c r="B14" s="795"/>
      <c r="C14" s="795"/>
      <c r="D14" s="796"/>
    </row>
    <row r="15" spans="1:9" ht="14.4">
      <c r="A15" s="797"/>
      <c r="B15" s="798" t="s">
        <v>2644</v>
      </c>
      <c r="C15" s="799"/>
      <c r="D15" s="1921" t="s">
        <v>1240</v>
      </c>
      <c r="E15" s="1921"/>
      <c r="F15" s="1921"/>
      <c r="I15" s="1774" t="s">
        <v>2418</v>
      </c>
    </row>
    <row r="16" spans="1:9">
      <c r="A16" s="795"/>
      <c r="B16" s="795"/>
      <c r="C16" s="799"/>
      <c r="D16" s="1921"/>
      <c r="E16" s="1921"/>
      <c r="F16" s="1921"/>
    </row>
    <row r="17" spans="1:9">
      <c r="A17" s="795"/>
      <c r="B17" s="795"/>
      <c r="C17" s="799"/>
      <c r="D17" s="1921"/>
      <c r="E17" s="1921"/>
      <c r="F17" s="1921"/>
    </row>
    <row r="18" spans="1:9">
      <c r="A18" s="795"/>
      <c r="B18" s="795"/>
      <c r="C18" s="795"/>
    </row>
    <row r="19" spans="1:9" ht="14.4">
      <c r="A19" s="797"/>
      <c r="B19" s="798" t="s">
        <v>2644</v>
      </c>
      <c r="D19" s="1900" t="s">
        <v>1241</v>
      </c>
      <c r="E19" s="1900"/>
      <c r="F19" s="1900"/>
      <c r="I19" s="1774" t="s">
        <v>2419</v>
      </c>
    </row>
    <row r="20" spans="1:9" ht="14.4">
      <c r="A20" s="797"/>
      <c r="B20" s="797"/>
      <c r="D20" s="800"/>
    </row>
    <row r="21" spans="1:9" ht="14.4">
      <c r="A21" s="797"/>
      <c r="B21" s="798" t="s">
        <v>2645</v>
      </c>
      <c r="D21" s="1921" t="s">
        <v>1242</v>
      </c>
      <c r="E21" s="1921"/>
      <c r="F21" s="1921"/>
      <c r="I21" s="1774" t="s">
        <v>2419</v>
      </c>
    </row>
    <row r="22" spans="1:9" ht="14.4">
      <c r="A22" s="797"/>
      <c r="B22" s="797"/>
      <c r="D22" s="1921"/>
      <c r="E22" s="1921"/>
      <c r="F22" s="1921"/>
    </row>
    <row r="23" spans="1:9"/>
    <row r="24" spans="1:9" ht="14.4">
      <c r="A24" s="797"/>
      <c r="B24" s="798" t="s">
        <v>2644</v>
      </c>
      <c r="D24" s="1966" t="s">
        <v>1243</v>
      </c>
      <c r="E24" s="1966"/>
      <c r="F24" s="1966"/>
      <c r="I24" s="1774" t="s">
        <v>2422</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2645</v>
      </c>
      <c r="C30" s="801"/>
      <c r="D30" s="1878" t="s">
        <v>1244</v>
      </c>
      <c r="E30" s="1878"/>
      <c r="F30" s="1878"/>
      <c r="G30" s="802"/>
      <c r="I30" s="1837" t="s">
        <v>2418</v>
      </c>
    </row>
    <row r="31" spans="1:9" s="791" customFormat="1">
      <c r="A31" s="801"/>
      <c r="B31" s="801"/>
      <c r="C31" s="801"/>
      <c r="D31" s="1878"/>
      <c r="E31" s="1878"/>
      <c r="F31" s="1878"/>
      <c r="G31" s="802"/>
      <c r="I31" s="1837"/>
    </row>
    <row r="32" spans="1:9" ht="14.4">
      <c r="A32" s="797"/>
      <c r="B32" s="797"/>
      <c r="D32" s="803"/>
    </row>
    <row r="33" spans="1:9" ht="14.4" customHeight="1">
      <c r="A33" s="797"/>
      <c r="B33" s="798" t="s">
        <v>2645</v>
      </c>
      <c r="D33" s="1878" t="s">
        <v>1423</v>
      </c>
      <c r="E33" s="1878"/>
      <c r="F33" s="1878"/>
      <c r="I33" s="1837" t="s">
        <v>2490</v>
      </c>
    </row>
    <row r="34" spans="1:9" ht="14.4">
      <c r="A34" s="797"/>
      <c r="B34" s="797"/>
      <c r="D34" s="1878"/>
      <c r="E34" s="1878"/>
      <c r="F34" s="1878"/>
    </row>
    <row r="35" spans="1:9" ht="14.4">
      <c r="A35" s="797"/>
      <c r="B35" s="797"/>
      <c r="D35" s="1878"/>
      <c r="E35" s="1878"/>
      <c r="F35" s="1878"/>
    </row>
    <row r="36" spans="1:9" ht="14.4">
      <c r="A36" s="797"/>
      <c r="B36" s="797"/>
      <c r="D36" s="1878"/>
      <c r="E36" s="1878"/>
      <c r="F36" s="1878"/>
    </row>
    <row r="37" spans="1:9" ht="14.4">
      <c r="A37" s="797"/>
      <c r="B37" s="797"/>
      <c r="D37" s="790"/>
    </row>
    <row r="38" spans="1:9" ht="14.4">
      <c r="A38" s="797"/>
      <c r="B38" s="798" t="s">
        <v>2645</v>
      </c>
      <c r="D38" s="1878" t="s">
        <v>1246</v>
      </c>
      <c r="E38" s="1878"/>
      <c r="F38" s="1878"/>
    </row>
    <row r="39" spans="1:9" ht="14.4">
      <c r="A39" s="797"/>
      <c r="B39" s="797"/>
      <c r="D39" s="1878"/>
      <c r="E39" s="1878"/>
      <c r="F39" s="1878"/>
    </row>
    <row r="40" spans="1:9" ht="14.4">
      <c r="A40" s="797"/>
      <c r="B40" s="797"/>
      <c r="D40" s="1878"/>
      <c r="E40" s="1878"/>
      <c r="F40" s="1878"/>
    </row>
    <row r="41" spans="1:9" ht="14.4">
      <c r="A41" s="797"/>
      <c r="B41" s="797"/>
      <c r="D41" s="1878"/>
      <c r="E41" s="1878"/>
      <c r="F41" s="1878"/>
    </row>
    <row r="42" spans="1:9" ht="14.4">
      <c r="A42" s="797"/>
      <c r="B42" s="797"/>
      <c r="D42" s="1878"/>
      <c r="E42" s="1878"/>
      <c r="F42" s="1878"/>
    </row>
    <row r="43" spans="1:9" ht="14.4">
      <c r="A43" s="797"/>
      <c r="B43" s="797"/>
      <c r="D43" s="781"/>
      <c r="E43" s="781"/>
      <c r="F43" s="781"/>
    </row>
    <row r="44" spans="1:9" ht="14.4">
      <c r="A44" s="797"/>
      <c r="B44" s="798" t="s">
        <v>2645</v>
      </c>
      <c r="D44" s="1878" t="s">
        <v>1247</v>
      </c>
      <c r="E44" s="1878"/>
      <c r="F44" s="1878"/>
      <c r="I44" s="1837" t="s">
        <v>2490</v>
      </c>
    </row>
    <row r="45" spans="1:9" ht="14.4">
      <c r="A45" s="797"/>
      <c r="B45" s="797"/>
      <c r="D45" s="1878"/>
      <c r="E45" s="1878"/>
      <c r="F45" s="1878"/>
    </row>
    <row r="46" spans="1:9" ht="14.4">
      <c r="A46" s="797"/>
      <c r="B46" s="797"/>
      <c r="D46" s="1878"/>
      <c r="E46" s="1878"/>
      <c r="F46" s="1878"/>
    </row>
    <row r="47" spans="1:9" ht="23.25" customHeight="1">
      <c r="A47" s="797"/>
      <c r="B47" s="797"/>
      <c r="D47" s="1878"/>
      <c r="E47" s="1878"/>
      <c r="F47" s="1878"/>
    </row>
    <row r="48" spans="1:9" ht="14.4">
      <c r="A48" s="797"/>
      <c r="B48" s="797"/>
      <c r="D48" s="785"/>
    </row>
    <row r="49" spans="1:9" ht="14.4" customHeight="1">
      <c r="A49" s="797"/>
      <c r="B49" s="798" t="s">
        <v>2645</v>
      </c>
      <c r="D49" s="1878" t="s">
        <v>1248</v>
      </c>
      <c r="E49" s="1878"/>
      <c r="F49" s="1878"/>
      <c r="I49" s="1837" t="s">
        <v>2490</v>
      </c>
    </row>
    <row r="50" spans="1:9" ht="14.4">
      <c r="A50" s="797"/>
      <c r="B50" s="797"/>
      <c r="D50" s="1878"/>
      <c r="E50" s="1878"/>
      <c r="F50" s="1878"/>
    </row>
    <row r="51" spans="1:9" ht="14.4">
      <c r="A51" s="797"/>
      <c r="B51" s="797"/>
      <c r="D51" s="1878"/>
      <c r="E51" s="1878"/>
      <c r="F51" s="1878"/>
    </row>
    <row r="52" spans="1:9" s="618" customFormat="1" ht="14.4">
      <c r="A52" s="797"/>
      <c r="B52" s="797"/>
      <c r="C52" s="804"/>
      <c r="D52" s="802"/>
      <c r="E52" s="693"/>
      <c r="F52" s="693"/>
      <c r="G52" s="693"/>
      <c r="I52" s="642"/>
    </row>
    <row r="53" spans="1:9" s="618" customFormat="1" ht="14.4">
      <c r="A53" s="805"/>
      <c r="B53" s="798" t="s">
        <v>2644</v>
      </c>
      <c r="C53" s="806"/>
      <c r="D53" s="1878" t="s">
        <v>1249</v>
      </c>
      <c r="E53" s="1878"/>
      <c r="F53" s="1878"/>
      <c r="G53" s="693"/>
      <c r="I53" s="1774"/>
    </row>
    <row r="54" spans="1:9" s="618" customFormat="1" ht="14.4">
      <c r="A54" s="805"/>
      <c r="B54" s="805"/>
      <c r="C54" s="806"/>
      <c r="D54" s="1878"/>
      <c r="E54" s="1878"/>
      <c r="F54" s="1878"/>
      <c r="G54" s="693"/>
      <c r="I54" s="642"/>
    </row>
    <row r="55" spans="1:9" s="791" customFormat="1">
      <c r="A55" s="801"/>
      <c r="B55" s="801"/>
      <c r="C55" s="801"/>
      <c r="D55" s="733"/>
      <c r="E55" s="802"/>
      <c r="F55" s="802"/>
      <c r="G55" s="802"/>
      <c r="I55" s="1837"/>
    </row>
    <row r="56" spans="1:9" ht="14.4">
      <c r="A56" s="797"/>
      <c r="B56" s="798" t="s">
        <v>2645</v>
      </c>
      <c r="D56" s="1878" t="s">
        <v>1250</v>
      </c>
      <c r="E56" s="1878"/>
      <c r="F56" s="1878"/>
      <c r="I56" s="1774" t="s">
        <v>2420</v>
      </c>
    </row>
    <row r="57" spans="1:9">
      <c r="D57" s="1878"/>
      <c r="E57" s="1878"/>
      <c r="F57" s="1878"/>
    </row>
    <row r="58" spans="1:9">
      <c r="D58" s="1878"/>
      <c r="E58" s="1878"/>
      <c r="F58" s="1878"/>
    </row>
    <row r="59" spans="1:9">
      <c r="D59" s="693"/>
    </row>
    <row r="60" spans="1:9" ht="14.4">
      <c r="A60" s="797"/>
      <c r="B60" s="798" t="s">
        <v>2645</v>
      </c>
      <c r="D60" s="1878" t="s">
        <v>1251</v>
      </c>
      <c r="E60" s="1878"/>
      <c r="F60" s="1878"/>
      <c r="I60" s="1774" t="s">
        <v>2421</v>
      </c>
    </row>
    <row r="61" spans="1:9">
      <c r="D61" s="1878"/>
      <c r="E61" s="1878"/>
      <c r="F61" s="1878"/>
    </row>
    <row r="62" spans="1:9"/>
    <row r="63" spans="1:9" ht="14.4">
      <c r="A63" s="797"/>
      <c r="B63" s="798" t="s">
        <v>2644</v>
      </c>
      <c r="D63" s="1878" t="s">
        <v>1252</v>
      </c>
      <c r="E63" s="1878"/>
      <c r="F63" s="1878"/>
    </row>
    <row r="64" spans="1:9">
      <c r="D64" s="1878"/>
      <c r="E64" s="1878"/>
      <c r="F64" s="1878"/>
      <c r="I64" s="1774" t="s">
        <v>2422</v>
      </c>
    </row>
    <row r="65" spans="1:9">
      <c r="D65" s="1878"/>
      <c r="E65" s="1878"/>
      <c r="F65" s="1878"/>
    </row>
    <row r="66" spans="1:9">
      <c r="D66" s="790"/>
    </row>
    <row r="67" spans="1:9" ht="14.4">
      <c r="A67" s="797"/>
      <c r="B67" s="798" t="s">
        <v>2644</v>
      </c>
      <c r="D67" s="1921" t="s">
        <v>1253</v>
      </c>
      <c r="E67" s="1921"/>
      <c r="F67" s="1921"/>
      <c r="I67" s="1774" t="s">
        <v>2422</v>
      </c>
    </row>
    <row r="68" spans="1:9">
      <c r="D68" s="1921"/>
      <c r="E68" s="1921"/>
      <c r="F68" s="1921"/>
    </row>
    <row r="69" spans="1:9" ht="14.4">
      <c r="A69" s="797"/>
      <c r="B69" s="797"/>
      <c r="D69" s="800"/>
    </row>
    <row r="70" spans="1:9">
      <c r="A70" s="1886" t="s">
        <v>1160</v>
      </c>
      <c r="B70" s="1886"/>
      <c r="C70" s="1886"/>
      <c r="D70" s="1886"/>
      <c r="E70" s="1886"/>
      <c r="F70" s="1886"/>
      <c r="G70" s="1886"/>
      <c r="H70" s="1853"/>
      <c r="I70" s="1854"/>
    </row>
    <row r="71" spans="1:9"/>
    <row r="72" spans="1:9">
      <c r="C72" s="807"/>
      <c r="D72" s="1959" t="s">
        <v>1258</v>
      </c>
      <c r="E72" s="1959"/>
      <c r="F72" s="1959"/>
    </row>
    <row r="73" spans="1:9">
      <c r="A73" s="800"/>
      <c r="B73" s="800"/>
      <c r="D73" s="1921" t="s">
        <v>1285</v>
      </c>
      <c r="E73" s="1921"/>
      <c r="F73" s="1921"/>
    </row>
    <row r="74" spans="1:9">
      <c r="A74" s="800"/>
      <c r="B74" s="800"/>
    </row>
    <row r="75" spans="1:9" ht="13.65" customHeight="1">
      <c r="A75" s="797"/>
      <c r="B75" s="798" t="s">
        <v>2644</v>
      </c>
      <c r="D75" s="1921" t="s">
        <v>1472</v>
      </c>
      <c r="E75" s="1921"/>
      <c r="F75" s="1921"/>
      <c r="I75" s="1774" t="s">
        <v>2423</v>
      </c>
    </row>
    <row r="76" spans="1:9" ht="14.4">
      <c r="A76" s="797"/>
      <c r="B76" s="797"/>
      <c r="D76" s="1921"/>
      <c r="E76" s="1921"/>
      <c r="F76" s="1921"/>
    </row>
    <row r="77" spans="1:9" ht="14.4">
      <c r="A77" s="797"/>
      <c r="B77" s="797"/>
      <c r="D77" s="1921"/>
      <c r="E77" s="1921"/>
      <c r="F77" s="1921"/>
    </row>
    <row r="78" spans="1:9" ht="14.4">
      <c r="A78" s="797"/>
      <c r="B78" s="797"/>
      <c r="D78" s="1921"/>
      <c r="E78" s="1921"/>
      <c r="F78" s="1921"/>
    </row>
    <row r="79" spans="1:9" ht="14.4">
      <c r="A79" s="797"/>
      <c r="B79" s="797"/>
      <c r="D79" s="1921"/>
      <c r="E79" s="1921"/>
      <c r="F79" s="1921"/>
    </row>
    <row r="80" spans="1:9" ht="14.4">
      <c r="A80" s="797"/>
      <c r="B80" s="797"/>
      <c r="D80" s="1921"/>
      <c r="E80" s="1921"/>
      <c r="F80" s="1921"/>
    </row>
    <row r="81" spans="1:9" ht="14.4">
      <c r="A81" s="797"/>
      <c r="B81" s="797"/>
      <c r="D81" s="1921"/>
      <c r="E81" s="1921"/>
      <c r="F81" s="1921"/>
    </row>
    <row r="82" spans="1:9" ht="14.4">
      <c r="A82" s="797"/>
      <c r="B82" s="797"/>
      <c r="D82" s="1921"/>
      <c r="E82" s="1921"/>
      <c r="F82" s="1921"/>
    </row>
    <row r="83" spans="1:9" ht="14.4">
      <c r="A83" s="797"/>
      <c r="B83" s="797"/>
      <c r="D83" s="878"/>
      <c r="E83" s="878"/>
      <c r="F83" s="878"/>
    </row>
    <row r="84" spans="1:9" ht="15" customHeight="1">
      <c r="A84" s="797"/>
      <c r="B84" s="798" t="s">
        <v>2644</v>
      </c>
      <c r="D84" s="1921" t="s">
        <v>2243</v>
      </c>
      <c r="E84" s="1921"/>
      <c r="F84" s="1921"/>
      <c r="I84" s="1774" t="s">
        <v>2424</v>
      </c>
    </row>
    <row r="85" spans="1:9" ht="14.4">
      <c r="A85" s="797"/>
      <c r="B85" s="797"/>
      <c r="D85" s="1921"/>
      <c r="E85" s="1921"/>
      <c r="F85" s="1921"/>
    </row>
    <row r="86" spans="1:9" ht="14.4">
      <c r="A86" s="797"/>
      <c r="B86" s="797"/>
      <c r="D86" s="1712"/>
      <c r="E86" s="1712"/>
      <c r="F86" s="1712"/>
    </row>
    <row r="87" spans="1:9" ht="14.4">
      <c r="A87" s="797"/>
      <c r="B87" s="798" t="s">
        <v>2644</v>
      </c>
      <c r="D87" s="1921" t="s">
        <v>2247</v>
      </c>
      <c r="E87" s="1921"/>
      <c r="F87" s="1921"/>
      <c r="I87" s="1774" t="s">
        <v>2425</v>
      </c>
    </row>
    <row r="88" spans="1:9" ht="14.4">
      <c r="A88" s="797"/>
      <c r="B88" s="797"/>
      <c r="D88" s="1921"/>
      <c r="E88" s="1921"/>
      <c r="F88" s="1921"/>
    </row>
    <row r="89" spans="1:9" ht="14.4">
      <c r="A89" s="797"/>
      <c r="B89" s="797"/>
      <c r="D89" s="1921"/>
      <c r="E89" s="1921"/>
      <c r="F89" s="1921"/>
    </row>
    <row r="90" spans="1:9" ht="14.4">
      <c r="A90" s="797"/>
      <c r="B90" s="797"/>
      <c r="D90" s="1712"/>
      <c r="E90" s="1712"/>
      <c r="F90" s="1712"/>
    </row>
    <row r="91" spans="1:9" ht="14.4">
      <c r="A91" s="797"/>
      <c r="B91" s="798" t="s">
        <v>2645</v>
      </c>
      <c r="D91" s="1921" t="s">
        <v>2245</v>
      </c>
      <c r="E91" s="1921"/>
      <c r="F91" s="1921"/>
      <c r="I91" s="1774" t="s">
        <v>2470</v>
      </c>
    </row>
    <row r="92" spans="1:9" s="1729" customFormat="1" ht="14.4">
      <c r="A92" s="1727"/>
      <c r="B92" s="1727"/>
      <c r="C92" s="1728"/>
      <c r="D92" s="1921"/>
      <c r="E92" s="1921"/>
      <c r="F92" s="1921"/>
      <c r="I92" s="1838"/>
    </row>
    <row r="93" spans="1:9" ht="14.4">
      <c r="A93" s="797"/>
      <c r="B93" s="797"/>
      <c r="D93" s="1718"/>
      <c r="E93" s="1719" t="s">
        <v>2246</v>
      </c>
      <c r="F93" s="1712"/>
    </row>
    <row r="94" spans="1:9" ht="14.4">
      <c r="A94" s="797"/>
      <c r="B94" s="797"/>
      <c r="D94" s="878"/>
      <c r="E94" s="878"/>
      <c r="F94" s="878"/>
    </row>
    <row r="95" spans="1:9" ht="14.4">
      <c r="A95" s="797"/>
      <c r="B95" s="798" t="s">
        <v>2645</v>
      </c>
      <c r="D95" s="1921" t="s">
        <v>2244</v>
      </c>
      <c r="E95" s="1921"/>
      <c r="F95" s="1921"/>
      <c r="I95" s="1774" t="s">
        <v>2426</v>
      </c>
    </row>
    <row r="96" spans="1:9" ht="14.4">
      <c r="A96" s="797"/>
      <c r="B96" s="797"/>
      <c r="D96" s="1921"/>
      <c r="E96" s="1921"/>
      <c r="F96" s="1921"/>
    </row>
    <row r="97" spans="1:9" ht="14.4">
      <c r="A97" s="797"/>
      <c r="B97" s="797"/>
      <c r="D97" s="1712"/>
      <c r="E97" s="1712"/>
      <c r="F97" s="1712"/>
    </row>
    <row r="98" spans="1:9" ht="14.4" customHeight="1">
      <c r="A98" s="797"/>
      <c r="B98" s="798" t="s">
        <v>2645</v>
      </c>
      <c r="D98" s="1921" t="s">
        <v>1398</v>
      </c>
      <c r="E98" s="1921"/>
      <c r="F98" s="1921"/>
      <c r="G98" s="790"/>
      <c r="I98" s="1774" t="s">
        <v>2427</v>
      </c>
    </row>
    <row r="99" spans="1:9" ht="14.4">
      <c r="A99" s="797"/>
      <c r="B99" s="797"/>
      <c r="D99" s="1921"/>
      <c r="E99" s="1921"/>
      <c r="F99" s="1921"/>
      <c r="G99" s="790"/>
    </row>
    <row r="100" spans="1:9" ht="14.4">
      <c r="A100" s="797"/>
      <c r="B100" s="797"/>
      <c r="D100" s="1921"/>
      <c r="E100" s="1921"/>
      <c r="F100" s="1921"/>
      <c r="G100" s="790"/>
    </row>
    <row r="101" spans="1:9" ht="14.4">
      <c r="A101" s="797"/>
      <c r="B101" s="797"/>
      <c r="D101" s="1921"/>
      <c r="E101" s="1921"/>
      <c r="F101" s="1921"/>
      <c r="G101" s="790"/>
    </row>
    <row r="102" spans="1:9" ht="14.4">
      <c r="A102" s="797"/>
      <c r="B102" s="797"/>
      <c r="D102" s="1921"/>
      <c r="E102" s="1921"/>
      <c r="F102" s="1921"/>
      <c r="G102" s="790"/>
    </row>
    <row r="103" spans="1:9" ht="14.4">
      <c r="A103" s="797"/>
      <c r="B103" s="797"/>
      <c r="D103" s="1921"/>
      <c r="E103" s="1921"/>
      <c r="F103" s="1921"/>
      <c r="G103" s="790"/>
    </row>
    <row r="104" spans="1:9" ht="14.4">
      <c r="A104" s="797"/>
      <c r="B104" s="797"/>
      <c r="D104" s="1921"/>
      <c r="E104" s="1921"/>
      <c r="F104" s="1921"/>
      <c r="G104" s="790"/>
    </row>
    <row r="105" spans="1:9" ht="14.4">
      <c r="A105" s="797"/>
      <c r="B105" s="797"/>
      <c r="D105" s="1921"/>
      <c r="E105" s="1921"/>
      <c r="F105" s="1921"/>
      <c r="G105" s="790"/>
    </row>
    <row r="106" spans="1:9" ht="14.4">
      <c r="A106" s="797"/>
      <c r="B106" s="797"/>
      <c r="D106" s="1921"/>
      <c r="E106" s="1921"/>
      <c r="F106" s="1921"/>
      <c r="G106" s="790"/>
    </row>
    <row r="107" spans="1:9" ht="14.4">
      <c r="A107" s="797"/>
      <c r="B107" s="797"/>
      <c r="D107" s="1921"/>
      <c r="E107" s="1921"/>
      <c r="F107" s="1921"/>
      <c r="G107" s="790"/>
    </row>
    <row r="108" spans="1:9" ht="14.4">
      <c r="A108" s="797"/>
      <c r="B108" s="797"/>
      <c r="D108" s="1921"/>
      <c r="E108" s="1921"/>
      <c r="F108" s="1921"/>
      <c r="G108" s="790"/>
    </row>
    <row r="109" spans="1:9" ht="14.4">
      <c r="A109" s="797"/>
      <c r="B109" s="797"/>
      <c r="D109" s="1921"/>
      <c r="E109" s="1921"/>
      <c r="F109" s="1921"/>
      <c r="G109" s="790"/>
    </row>
    <row r="110" spans="1:9" ht="14.4">
      <c r="A110" s="797"/>
      <c r="B110" s="797"/>
      <c r="D110" s="1921"/>
      <c r="E110" s="1921"/>
      <c r="F110" s="1921"/>
      <c r="G110" s="790"/>
    </row>
    <row r="111" spans="1:9" ht="14.4">
      <c r="A111" s="797"/>
      <c r="B111" s="797"/>
      <c r="D111" s="1921"/>
      <c r="E111" s="1921"/>
      <c r="F111" s="1921"/>
    </row>
    <row r="112" spans="1:9" ht="14.4">
      <c r="A112" s="797"/>
      <c r="B112" s="797"/>
      <c r="D112" s="1921"/>
      <c r="E112" s="1921"/>
      <c r="F112" s="1921"/>
    </row>
    <row r="113" spans="1:11" ht="14.4">
      <c r="A113" s="797"/>
      <c r="B113" s="797"/>
      <c r="D113" s="904"/>
      <c r="E113" s="904"/>
      <c r="F113" s="904"/>
    </row>
    <row r="114" spans="1:11" ht="14.25" customHeight="1">
      <c r="A114" s="797"/>
      <c r="B114" s="798" t="s">
        <v>2645</v>
      </c>
      <c r="D114" s="1919" t="s">
        <v>1260</v>
      </c>
      <c r="E114" s="1919"/>
      <c r="F114" s="1919"/>
    </row>
    <row r="115" spans="1:11" ht="14.4">
      <c r="A115" s="797"/>
      <c r="B115" s="797"/>
      <c r="D115" s="1919"/>
      <c r="E115" s="1919"/>
      <c r="F115" s="1919"/>
    </row>
    <row r="116" spans="1:11" ht="14.4">
      <c r="A116" s="797"/>
      <c r="B116" s="797"/>
      <c r="D116" s="1919"/>
      <c r="E116" s="1919"/>
      <c r="F116" s="1919"/>
    </row>
    <row r="117" spans="1:11" ht="14.4">
      <c r="A117" s="797"/>
      <c r="B117" s="797"/>
      <c r="D117" s="1919"/>
      <c r="E117" s="1919"/>
      <c r="F117" s="1919"/>
    </row>
    <row r="118" spans="1:11" ht="14.4">
      <c r="A118" s="797"/>
      <c r="B118" s="797"/>
      <c r="D118" s="1919"/>
      <c r="E118" s="1919"/>
      <c r="F118" s="1919"/>
    </row>
    <row r="119" spans="1:11" ht="14.4">
      <c r="A119" s="797"/>
      <c r="B119" s="797"/>
      <c r="D119" s="1919"/>
      <c r="E119" s="1919"/>
      <c r="F119" s="1919"/>
    </row>
    <row r="120" spans="1:11" ht="14.4">
      <c r="A120" s="797"/>
      <c r="B120" s="797"/>
      <c r="D120" s="1919"/>
      <c r="E120" s="1919"/>
      <c r="F120" s="1919"/>
    </row>
    <row r="121" spans="1:11" ht="14.4">
      <c r="A121" s="797"/>
      <c r="B121" s="797"/>
      <c r="D121" s="1919"/>
      <c r="E121" s="1919"/>
      <c r="F121" s="1919"/>
    </row>
    <row r="122" spans="1:11">
      <c r="C122" s="722"/>
      <c r="D122" s="905"/>
      <c r="E122" s="905"/>
      <c r="F122" s="905"/>
      <c r="G122" s="722"/>
      <c r="H122" s="722"/>
      <c r="I122" s="622"/>
      <c r="J122" s="722"/>
      <c r="K122" s="722"/>
    </row>
    <row r="123" spans="1:11" ht="14.4">
      <c r="A123" s="797"/>
      <c r="B123" s="798" t="s">
        <v>2644</v>
      </c>
      <c r="C123" s="722"/>
      <c r="D123" s="1919" t="s">
        <v>1262</v>
      </c>
      <c r="E123" s="1919"/>
      <c r="F123" s="1919"/>
      <c r="G123" s="722"/>
      <c r="H123" s="722"/>
      <c r="I123" s="622" t="s">
        <v>2428</v>
      </c>
      <c r="J123" s="722"/>
      <c r="K123" s="722"/>
    </row>
    <row r="124" spans="1:11" ht="14.4">
      <c r="A124" s="797"/>
      <c r="B124" s="797"/>
      <c r="C124" s="722"/>
      <c r="D124" s="1919"/>
      <c r="E124" s="1919"/>
      <c r="F124" s="1919"/>
      <c r="G124" s="722"/>
      <c r="H124" s="722"/>
      <c r="I124" s="622"/>
      <c r="J124" s="722"/>
      <c r="K124" s="722"/>
    </row>
    <row r="125" spans="1:11"/>
    <row r="126" spans="1:11" ht="14.4">
      <c r="A126" s="797"/>
      <c r="B126" s="798" t="s">
        <v>2644</v>
      </c>
      <c r="C126" s="804"/>
      <c r="D126" s="1921" t="s">
        <v>1263</v>
      </c>
      <c r="E126" s="1921"/>
      <c r="F126" s="1921"/>
      <c r="I126" s="622" t="s">
        <v>2428</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4">
      <c r="A132" s="797"/>
      <c r="B132" s="798" t="s">
        <v>2644</v>
      </c>
      <c r="C132" s="804"/>
      <c r="D132" s="1878" t="s">
        <v>1264</v>
      </c>
      <c r="E132" s="1878"/>
      <c r="F132" s="1878"/>
      <c r="G132" s="672"/>
      <c r="I132" s="622" t="s">
        <v>2429</v>
      </c>
    </row>
    <row r="133" spans="1:9" s="812" customFormat="1" ht="13.65" customHeight="1">
      <c r="A133" s="809"/>
      <c r="B133" s="809"/>
      <c r="C133" s="810"/>
      <c r="D133" s="1878"/>
      <c r="E133" s="1878"/>
      <c r="F133" s="1878"/>
      <c r="G133" s="811"/>
      <c r="I133" s="1839"/>
    </row>
    <row r="134" spans="1:9" s="722" customFormat="1" ht="13.65" customHeight="1">
      <c r="A134" s="788"/>
      <c r="B134" s="788"/>
      <c r="C134" s="804"/>
      <c r="D134" s="1878"/>
      <c r="E134" s="1878"/>
      <c r="F134" s="1878"/>
      <c r="G134" s="672"/>
      <c r="I134" s="622"/>
    </row>
    <row r="135" spans="1:9" s="722" customFormat="1" ht="13.65" customHeight="1">
      <c r="A135" s="788"/>
      <c r="B135" s="788"/>
      <c r="C135" s="804"/>
      <c r="D135" s="1878"/>
      <c r="E135" s="1878"/>
      <c r="F135" s="1878"/>
      <c r="G135" s="672"/>
      <c r="I135" s="622"/>
    </row>
    <row r="136" spans="1:9" s="722" customFormat="1" ht="13.65" customHeight="1">
      <c r="A136" s="788"/>
      <c r="B136" s="788"/>
      <c r="C136" s="804"/>
      <c r="D136" s="1878"/>
      <c r="E136" s="1878"/>
      <c r="F136" s="1878"/>
      <c r="G136" s="672"/>
      <c r="I136" s="622"/>
    </row>
    <row r="137" spans="1:9" s="722" customFormat="1" ht="13.65" customHeight="1">
      <c r="A137" s="813"/>
      <c r="B137" s="813"/>
      <c r="C137" s="804"/>
      <c r="D137" s="1878"/>
      <c r="E137" s="1878"/>
      <c r="F137" s="1878"/>
      <c r="G137" s="672"/>
      <c r="I137" s="622"/>
    </row>
    <row r="138" spans="1:9" s="618" customFormat="1" ht="13.65" customHeight="1">
      <c r="A138" s="801"/>
      <c r="B138" s="801"/>
      <c r="C138" s="806"/>
      <c r="D138" s="1878"/>
      <c r="E138" s="1878"/>
      <c r="F138" s="1878"/>
      <c r="G138" s="693"/>
      <c r="I138" s="642"/>
    </row>
    <row r="139" spans="1:9" s="618" customFormat="1" ht="13.65" customHeight="1">
      <c r="A139" s="801"/>
      <c r="B139" s="801"/>
      <c r="C139" s="806"/>
      <c r="D139" s="1878"/>
      <c r="E139" s="1878"/>
      <c r="F139" s="1878"/>
      <c r="G139" s="693"/>
      <c r="I139" s="642"/>
    </row>
    <row r="140" spans="1:9" s="722" customFormat="1" ht="13.65" customHeight="1">
      <c r="A140" s="788"/>
      <c r="B140" s="788"/>
      <c r="C140" s="804"/>
      <c r="D140" s="1878"/>
      <c r="E140" s="1878"/>
      <c r="F140" s="1878"/>
      <c r="G140" s="672"/>
      <c r="I140" s="622"/>
    </row>
    <row r="141" spans="1:9" s="722" customFormat="1" ht="13.65" customHeight="1">
      <c r="A141" s="788"/>
      <c r="B141" s="788"/>
      <c r="C141" s="804"/>
      <c r="D141" s="1878"/>
      <c r="E141" s="1878"/>
      <c r="F141" s="1878"/>
      <c r="G141" s="672"/>
      <c r="I141" s="622"/>
    </row>
    <row r="142" spans="1:9" s="722" customFormat="1" ht="13.65" customHeight="1">
      <c r="A142" s="788"/>
      <c r="B142" s="788"/>
      <c r="C142" s="804"/>
      <c r="D142" s="1878"/>
      <c r="E142" s="1878"/>
      <c r="F142" s="1878"/>
      <c r="G142" s="672"/>
      <c r="I142" s="622"/>
    </row>
    <row r="143" spans="1:9" s="722" customFormat="1" ht="13.65" customHeight="1">
      <c r="A143" s="788"/>
      <c r="B143" s="788"/>
      <c r="C143" s="804"/>
      <c r="D143" s="1878"/>
      <c r="E143" s="1878"/>
      <c r="F143" s="1878"/>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2645</v>
      </c>
      <c r="C145" s="804"/>
      <c r="D145" s="1963" t="s">
        <v>1372</v>
      </c>
      <c r="E145" s="1963"/>
      <c r="F145" s="1963"/>
      <c r="G145" s="672"/>
      <c r="I145" s="622" t="s">
        <v>2430</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4" t="s">
        <v>1406</v>
      </c>
      <c r="E163" s="1984"/>
      <c r="F163" s="1984"/>
      <c r="G163" s="856"/>
      <c r="I163" s="622"/>
    </row>
    <row r="164" spans="1:9" s="722" customFormat="1" ht="13.65" customHeight="1">
      <c r="A164" s="788"/>
      <c r="B164" s="788"/>
      <c r="C164" s="804"/>
      <c r="D164" s="1983"/>
      <c r="E164" s="1983"/>
      <c r="F164" s="1983"/>
      <c r="G164" s="1983"/>
      <c r="I164" s="622"/>
    </row>
    <row r="165" spans="1:9" s="722" customFormat="1" ht="14.4" customHeight="1">
      <c r="A165" s="813"/>
      <c r="B165" s="798" t="s">
        <v>2645</v>
      </c>
      <c r="C165" s="814"/>
      <c r="D165" s="1920" t="s">
        <v>1434</v>
      </c>
      <c r="E165" s="1920"/>
      <c r="F165" s="1920"/>
      <c r="G165" s="815"/>
      <c r="I165" s="622" t="s">
        <v>2425</v>
      </c>
    </row>
    <row r="166" spans="1:9" s="722" customFormat="1" ht="14.4" customHeight="1">
      <c r="A166" s="813"/>
      <c r="B166" s="813"/>
      <c r="C166" s="814"/>
      <c r="D166" s="1920"/>
      <c r="E166" s="1920"/>
      <c r="F166" s="1920"/>
      <c r="G166" s="815"/>
      <c r="I166" s="622"/>
    </row>
    <row r="167" spans="1:9" s="722" customFormat="1" ht="13.65" customHeight="1">
      <c r="A167" s="813"/>
      <c r="B167" s="813"/>
      <c r="C167" s="814"/>
      <c r="D167" s="1920"/>
      <c r="E167" s="1920"/>
      <c r="F167" s="1920"/>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2644</v>
      </c>
      <c r="C169" s="814"/>
      <c r="D169" s="1863" t="s">
        <v>1266</v>
      </c>
      <c r="E169" s="1863"/>
      <c r="F169" s="1863"/>
      <c r="G169" s="815"/>
      <c r="I169" s="622" t="s">
        <v>2431</v>
      </c>
    </row>
    <row r="170" spans="1:9" s="722" customFormat="1" ht="13.65" customHeight="1">
      <c r="A170" s="813"/>
      <c r="B170" s="813"/>
      <c r="C170" s="814"/>
      <c r="D170" s="1863"/>
      <c r="E170" s="1863"/>
      <c r="F170" s="1863"/>
      <c r="G170" s="815"/>
      <c r="I170" s="622"/>
    </row>
    <row r="171" spans="1:9" s="722" customFormat="1" ht="13.65" customHeight="1">
      <c r="A171" s="813"/>
      <c r="B171" s="813"/>
      <c r="C171" s="814"/>
      <c r="D171" s="1863"/>
      <c r="E171" s="1863"/>
      <c r="F171" s="1863"/>
      <c r="G171" s="815"/>
      <c r="I171" s="622"/>
    </row>
    <row r="172" spans="1:9" s="722" customFormat="1" ht="13.65" customHeight="1">
      <c r="A172" s="813"/>
      <c r="B172" s="813"/>
      <c r="C172" s="814"/>
      <c r="D172" s="1863"/>
      <c r="E172" s="1863"/>
      <c r="F172" s="1863"/>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2645</v>
      </c>
      <c r="C174" s="804"/>
      <c r="D174" s="1908" t="s">
        <v>1267</v>
      </c>
      <c r="E174" s="1908"/>
      <c r="F174" s="1908"/>
      <c r="G174" s="672"/>
      <c r="I174" s="622" t="s">
        <v>2432</v>
      </c>
    </row>
    <row r="175" spans="1:9" s="722" customFormat="1" ht="13.65" customHeight="1">
      <c r="A175" s="788"/>
      <c r="B175" s="788"/>
      <c r="C175" s="804"/>
      <c r="D175" s="1908"/>
      <c r="E175" s="1908"/>
      <c r="F175" s="1908"/>
      <c r="G175" s="672"/>
      <c r="I175" s="622"/>
    </row>
    <row r="176" spans="1:9" s="722" customFormat="1" ht="13.65" customHeight="1">
      <c r="A176" s="788"/>
      <c r="B176" s="788"/>
      <c r="C176" s="804"/>
      <c r="D176" s="1908"/>
      <c r="E176" s="1908"/>
      <c r="F176" s="1908"/>
      <c r="G176" s="672"/>
      <c r="I176" s="622"/>
    </row>
    <row r="177" spans="1:9" s="722" customFormat="1" ht="13.65" customHeight="1">
      <c r="A177" s="816"/>
      <c r="B177" s="816"/>
      <c r="C177" s="804"/>
      <c r="D177" s="789"/>
      <c r="E177" s="785"/>
      <c r="F177" s="785"/>
      <c r="G177" s="672"/>
      <c r="I177" s="622"/>
    </row>
    <row r="178" spans="1:9">
      <c r="A178" s="1886" t="s">
        <v>2407</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2408</v>
      </c>
      <c r="C181" s="1831"/>
      <c r="D181" s="1831"/>
      <c r="E181" s="1831"/>
      <c r="F181" s="1831"/>
      <c r="G181" s="1771"/>
      <c r="I181" s="1774"/>
    </row>
    <row r="182" spans="1:9" ht="12" customHeight="1">
      <c r="A182" s="793"/>
      <c r="B182" s="793"/>
      <c r="C182" s="793"/>
    </row>
    <row r="183" spans="1:9">
      <c r="A183" s="1886" t="s">
        <v>1162</v>
      </c>
      <c r="B183" s="1886"/>
      <c r="C183" s="1886"/>
      <c r="D183" s="1886"/>
      <c r="E183" s="1886"/>
      <c r="F183" s="1886"/>
      <c r="G183" s="1886"/>
      <c r="H183" s="1853"/>
      <c r="I183" s="1854"/>
    </row>
    <row r="184" spans="1:9" ht="12" customHeight="1">
      <c r="A184" s="817"/>
      <c r="B184" s="817"/>
      <c r="C184" s="818"/>
      <c r="D184" s="819"/>
      <c r="E184" s="820"/>
      <c r="F184" s="819"/>
      <c r="G184" s="819"/>
    </row>
    <row r="185" spans="1:9" ht="13.65" customHeight="1">
      <c r="A185" s="817"/>
      <c r="B185" s="817"/>
      <c r="C185" s="818"/>
      <c r="D185" s="1922" t="s">
        <v>2248</v>
      </c>
      <c r="E185" s="1922"/>
      <c r="F185" s="1922"/>
      <c r="G185" s="819"/>
    </row>
    <row r="186" spans="1:9">
      <c r="A186" s="817"/>
      <c r="B186" s="817"/>
      <c r="C186" s="818"/>
      <c r="D186" s="1922"/>
      <c r="E186" s="1922"/>
      <c r="F186" s="1922"/>
      <c r="G186" s="819"/>
    </row>
    <row r="187" spans="1:9">
      <c r="A187" s="817"/>
      <c r="B187" s="817"/>
      <c r="C187" s="818"/>
      <c r="D187" s="1923" t="s">
        <v>1399</v>
      </c>
      <c r="E187" s="1923"/>
      <c r="F187" s="1923"/>
      <c r="G187" s="819"/>
    </row>
    <row r="188" spans="1:9">
      <c r="A188" s="817"/>
      <c r="B188" s="817"/>
      <c r="C188" s="818"/>
      <c r="D188" s="1713"/>
      <c r="E188" s="1713"/>
      <c r="F188" s="1713"/>
      <c r="G188" s="819"/>
    </row>
    <row r="189" spans="1:9">
      <c r="A189" s="817"/>
      <c r="B189" s="798" t="s">
        <v>2644</v>
      </c>
      <c r="C189" s="818"/>
      <c r="D189" s="1885" t="s">
        <v>2249</v>
      </c>
      <c r="E189" s="1885"/>
      <c r="F189" s="1885"/>
      <c r="G189" s="819"/>
      <c r="I189" s="1774" t="s">
        <v>2481</v>
      </c>
    </row>
    <row r="190" spans="1:9">
      <c r="A190" s="817"/>
      <c r="B190" s="817"/>
      <c r="C190" s="818"/>
      <c r="D190" s="1889" t="s">
        <v>2250</v>
      </c>
      <c r="E190" s="1889"/>
      <c r="F190" s="1889"/>
      <c r="G190" s="819"/>
    </row>
    <row r="191" spans="1:9">
      <c r="A191" s="817"/>
      <c r="B191" s="817"/>
      <c r="C191" s="818"/>
      <c r="D191" s="1730" t="s">
        <v>2251</v>
      </c>
      <c r="E191" s="1976" t="s">
        <v>2252</v>
      </c>
      <c r="F191" s="1976"/>
      <c r="G191" s="819"/>
    </row>
    <row r="192" spans="1:9">
      <c r="A192" s="817"/>
      <c r="B192" s="817"/>
      <c r="C192" s="818"/>
      <c r="D192" s="155"/>
      <c r="E192" s="155"/>
      <c r="F192" s="155"/>
      <c r="G192" s="819"/>
    </row>
    <row r="193" spans="1:9">
      <c r="A193" s="817"/>
      <c r="B193" s="798" t="s">
        <v>2645</v>
      </c>
      <c r="C193" s="818"/>
      <c r="D193" s="1889" t="s">
        <v>2253</v>
      </c>
      <c r="E193" s="1889"/>
      <c r="F193" s="1889"/>
      <c r="G193" s="819"/>
      <c r="I193" s="1774" t="s">
        <v>2482</v>
      </c>
    </row>
    <row r="194" spans="1:9">
      <c r="A194" s="817"/>
      <c r="B194" s="817"/>
      <c r="C194" s="818"/>
      <c r="D194" s="1885" t="s">
        <v>2250</v>
      </c>
      <c r="E194" s="1885"/>
      <c r="F194" s="1885"/>
      <c r="G194" s="819"/>
    </row>
    <row r="195" spans="1:9">
      <c r="A195" s="817"/>
      <c r="B195" s="817"/>
      <c r="C195" s="818"/>
      <c r="D195" s="1711" t="s">
        <v>2254</v>
      </c>
      <c r="E195" s="1981" t="s">
        <v>2255</v>
      </c>
      <c r="F195" s="1981"/>
      <c r="G195" s="819"/>
    </row>
    <row r="196" spans="1:9">
      <c r="A196" s="817"/>
      <c r="B196" s="817"/>
      <c r="C196" s="818"/>
      <c r="D196" s="155"/>
      <c r="E196" s="155"/>
      <c r="F196" s="155"/>
      <c r="G196" s="819"/>
    </row>
    <row r="197" spans="1:9">
      <c r="A197" s="817"/>
      <c r="B197" s="798" t="s">
        <v>2645</v>
      </c>
      <c r="C197" s="818"/>
      <c r="D197" s="1889" t="s">
        <v>2256</v>
      </c>
      <c r="E197" s="1889"/>
      <c r="F197" s="1889"/>
      <c r="G197" s="819"/>
      <c r="I197" s="1774" t="s">
        <v>2483</v>
      </c>
    </row>
    <row r="198" spans="1:9">
      <c r="A198" s="817"/>
      <c r="B198" s="817"/>
      <c r="C198" s="818"/>
      <c r="D198" s="1708" t="s">
        <v>2250</v>
      </c>
      <c r="E198" s="155"/>
      <c r="F198" s="155"/>
      <c r="G198" s="819"/>
    </row>
    <row r="199" spans="1:9">
      <c r="A199" s="817"/>
      <c r="B199" s="817"/>
      <c r="C199" s="818"/>
      <c r="D199" s="1711" t="s">
        <v>2251</v>
      </c>
      <c r="E199" s="1981" t="s">
        <v>2257</v>
      </c>
      <c r="F199" s="1981"/>
      <c r="G199" s="819"/>
    </row>
    <row r="200" spans="1:9">
      <c r="A200" s="817"/>
      <c r="B200" s="817"/>
      <c r="C200" s="818"/>
      <c r="D200" s="1713"/>
      <c r="E200" s="1713"/>
      <c r="F200" s="1713"/>
      <c r="G200" s="819"/>
    </row>
    <row r="201" spans="1:9" ht="14.4">
      <c r="A201" s="797"/>
      <c r="B201" s="798" t="s">
        <v>2645</v>
      </c>
      <c r="C201" s="818"/>
      <c r="D201" s="1921" t="s">
        <v>2258</v>
      </c>
      <c r="E201" s="1921"/>
      <c r="F201" s="1921"/>
      <c r="G201" s="819"/>
      <c r="I201" s="1774" t="s">
        <v>2484</v>
      </c>
    </row>
    <row r="202" spans="1:9" ht="14.4">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2645</v>
      </c>
      <c r="C205" s="818"/>
      <c r="D205" s="1889" t="s">
        <v>2259</v>
      </c>
      <c r="E205" s="1889"/>
      <c r="F205" s="1889"/>
      <c r="I205" s="1774" t="s">
        <v>2485</v>
      </c>
    </row>
    <row r="206" spans="1:9">
      <c r="A206" s="818"/>
      <c r="B206" s="818"/>
      <c r="C206" s="818"/>
      <c r="D206" s="1889" t="s">
        <v>2250</v>
      </c>
      <c r="E206" s="1889"/>
      <c r="F206" s="1889"/>
    </row>
    <row r="207" spans="1:9">
      <c r="A207" s="818"/>
      <c r="B207" s="818"/>
      <c r="C207" s="818"/>
      <c r="D207" s="1711" t="s">
        <v>2251</v>
      </c>
      <c r="E207" s="1981" t="s">
        <v>2260</v>
      </c>
      <c r="F207" s="1981"/>
    </row>
    <row r="208" spans="1:9">
      <c r="A208" s="818"/>
      <c r="B208" s="818"/>
      <c r="C208" s="818"/>
      <c r="D208" s="779"/>
      <c r="E208" s="779"/>
      <c r="F208" s="779"/>
    </row>
    <row r="209" spans="1:9" s="618" customFormat="1" ht="14.4">
      <c r="A209" s="797"/>
      <c r="B209" s="798" t="s">
        <v>2645</v>
      </c>
      <c r="C209" s="806"/>
      <c r="D209" s="1921" t="s">
        <v>1425</v>
      </c>
      <c r="E209" s="1921"/>
      <c r="F209" s="1921"/>
      <c r="G209" s="693"/>
      <c r="I209" s="642"/>
    </row>
    <row r="210" spans="1:9" s="618" customFormat="1" ht="14.4" customHeight="1">
      <c r="A210" s="797"/>
      <c r="C210" s="806"/>
      <c r="D210" s="1921"/>
      <c r="E210" s="1921"/>
      <c r="F210" s="1921"/>
      <c r="G210" s="693"/>
      <c r="I210" s="642"/>
    </row>
    <row r="211" spans="1:9" s="618" customFormat="1" ht="14.4">
      <c r="A211" s="797"/>
      <c r="B211" s="818"/>
      <c r="C211" s="806"/>
      <c r="D211" s="1921"/>
      <c r="E211" s="1921"/>
      <c r="F211" s="1921"/>
      <c r="G211" s="693"/>
      <c r="I211" s="642"/>
    </row>
    <row r="212" spans="1:9" s="618" customFormat="1" ht="14.4">
      <c r="A212" s="797"/>
      <c r="B212" s="818"/>
      <c r="C212" s="806"/>
      <c r="D212" s="1921"/>
      <c r="E212" s="1921"/>
      <c r="F212" s="1921"/>
      <c r="G212" s="693"/>
      <c r="I212" s="642"/>
    </row>
    <row r="213" spans="1:9">
      <c r="A213" s="818"/>
      <c r="B213" s="818"/>
      <c r="C213" s="818"/>
      <c r="D213" s="779"/>
      <c r="E213" s="779"/>
      <c r="F213" s="779"/>
    </row>
    <row r="214" spans="1:9">
      <c r="A214" s="1886" t="s">
        <v>1163</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1292</v>
      </c>
      <c r="E217" s="1960"/>
      <c r="F217" s="1960"/>
    </row>
    <row r="218" spans="1:9" ht="12" customHeight="1">
      <c r="A218" s="816"/>
      <c r="B218" s="816"/>
      <c r="C218" s="816"/>
    </row>
    <row r="219" spans="1:9" ht="13.65" customHeight="1">
      <c r="A219" s="816"/>
      <c r="C219" s="816"/>
      <c r="D219" s="1876" t="s">
        <v>578</v>
      </c>
      <c r="E219" s="1876"/>
      <c r="F219" s="1876"/>
      <c r="I219" s="1774" t="s">
        <v>2433</v>
      </c>
    </row>
    <row r="220" spans="1:9" ht="14.4">
      <c r="A220" s="797"/>
      <c r="B220" s="798" t="s">
        <v>2644</v>
      </c>
      <c r="D220" s="1921" t="s">
        <v>2261</v>
      </c>
      <c r="E220" s="1921"/>
      <c r="F220" s="1921"/>
    </row>
    <row r="221" spans="1:9" ht="14.25" customHeight="1">
      <c r="A221" s="797"/>
      <c r="B221" s="797"/>
      <c r="D221" s="1921"/>
      <c r="E221" s="1921"/>
      <c r="F221" s="1921"/>
    </row>
    <row r="222" spans="1:9" ht="14.25" customHeight="1">
      <c r="A222" s="797"/>
      <c r="B222" s="797"/>
      <c r="D222" s="1921"/>
      <c r="E222" s="1921"/>
      <c r="F222" s="1921"/>
    </row>
    <row r="223" spans="1:9" ht="14.4">
      <c r="A223" s="797"/>
      <c r="B223" s="797"/>
      <c r="D223" s="1921"/>
      <c r="E223" s="1921"/>
      <c r="F223" s="1921"/>
    </row>
    <row r="224" spans="1:9" ht="14.4">
      <c r="A224" s="797"/>
      <c r="B224" s="797"/>
      <c r="D224" s="1712"/>
      <c r="E224" s="1712"/>
      <c r="F224" s="1712"/>
    </row>
    <row r="225" spans="1:9" ht="14.4">
      <c r="A225" s="797"/>
      <c r="B225" s="798" t="s">
        <v>2644</v>
      </c>
      <c r="D225" s="1921" t="s">
        <v>2262</v>
      </c>
      <c r="E225" s="1921"/>
      <c r="F225" s="1921"/>
      <c r="I225" s="1774" t="s">
        <v>2434</v>
      </c>
    </row>
    <row r="226" spans="1:9" ht="14.4">
      <c r="A226" s="797"/>
      <c r="B226" s="797"/>
      <c r="D226" s="1921"/>
      <c r="E226" s="1921"/>
      <c r="F226" s="1921"/>
    </row>
    <row r="227" spans="1:9" ht="14.4">
      <c r="A227" s="797"/>
      <c r="B227" s="797"/>
      <c r="D227" s="1921"/>
      <c r="E227" s="1921"/>
      <c r="F227" s="1921"/>
    </row>
    <row r="228" spans="1:9" ht="14.4">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4">
      <c r="A231" s="797"/>
      <c r="B231" s="797"/>
      <c r="D231" s="1921" t="s">
        <v>1288</v>
      </c>
      <c r="E231" s="1921"/>
      <c r="F231" s="1921"/>
      <c r="I231" s="1774" t="s">
        <v>2433</v>
      </c>
    </row>
    <row r="232" spans="1:9" ht="14.4">
      <c r="A232" s="797"/>
      <c r="B232" s="797"/>
      <c r="D232" s="1921"/>
      <c r="E232" s="1921"/>
      <c r="F232" s="1921"/>
    </row>
    <row r="233" spans="1:9" ht="14.4">
      <c r="A233" s="797"/>
      <c r="B233" s="797"/>
      <c r="D233" s="1921"/>
      <c r="E233" s="1921"/>
      <c r="F233" s="1921"/>
    </row>
    <row r="234" spans="1:9" ht="14.4">
      <c r="A234" s="797"/>
      <c r="B234" s="797"/>
      <c r="D234" s="1921"/>
      <c r="E234" s="1921"/>
      <c r="F234" s="1921"/>
    </row>
    <row r="235" spans="1:9" ht="14.4">
      <c r="A235" s="797"/>
      <c r="B235" s="797"/>
      <c r="D235" s="1921"/>
      <c r="E235" s="1921"/>
      <c r="F235" s="1921"/>
    </row>
    <row r="236" spans="1:9" ht="14.4">
      <c r="A236" s="797"/>
      <c r="B236" s="797"/>
      <c r="D236" s="800"/>
      <c r="E236" s="800"/>
      <c r="F236" s="800"/>
    </row>
    <row r="237" spans="1:9" ht="14.4">
      <c r="A237" s="797"/>
      <c r="B237" s="798" t="s">
        <v>2644</v>
      </c>
      <c r="D237" s="1957" t="s">
        <v>2266</v>
      </c>
      <c r="E237" s="1957"/>
      <c r="F237" s="1957"/>
      <c r="I237" s="1774" t="s">
        <v>2472</v>
      </c>
    </row>
    <row r="238" spans="1:9" ht="14.4">
      <c r="A238" s="797"/>
      <c r="B238" s="797"/>
      <c r="D238" s="1957"/>
      <c r="E238" s="1957"/>
      <c r="F238" s="1957"/>
    </row>
    <row r="239" spans="1:9" ht="14.4">
      <c r="A239" s="797"/>
      <c r="B239" s="797"/>
      <c r="D239" s="1957"/>
      <c r="E239" s="1957"/>
      <c r="F239" s="1957"/>
    </row>
    <row r="240" spans="1:9" ht="14.4">
      <c r="A240" s="797"/>
      <c r="B240" s="797"/>
      <c r="D240" s="1958" t="s">
        <v>962</v>
      </c>
      <c r="E240" s="1958"/>
      <c r="F240" s="1958"/>
    </row>
    <row r="241" spans="1:9" ht="14.4">
      <c r="A241" s="797"/>
      <c r="B241" s="797"/>
      <c r="D241" s="800"/>
      <c r="E241" s="800"/>
      <c r="F241" s="800"/>
    </row>
    <row r="242" spans="1:9" ht="14.4" customHeight="1">
      <c r="A242" s="797"/>
      <c r="B242" s="798" t="s">
        <v>2645</v>
      </c>
      <c r="D242" s="1957" t="s">
        <v>1291</v>
      </c>
      <c r="E242" s="1957"/>
      <c r="F242" s="1957"/>
      <c r="I242" s="1774" t="s">
        <v>2492</v>
      </c>
    </row>
    <row r="243" spans="1:9" ht="14.4">
      <c r="A243" s="797"/>
      <c r="B243" s="797"/>
      <c r="D243" s="1957"/>
      <c r="E243" s="1957"/>
      <c r="F243" s="1957"/>
    </row>
    <row r="244" spans="1:9" ht="14.4">
      <c r="A244" s="797"/>
      <c r="B244" s="797"/>
      <c r="D244" s="1957"/>
      <c r="E244" s="1957"/>
      <c r="F244" s="1957"/>
    </row>
    <row r="245" spans="1:9" ht="14.4">
      <c r="A245" s="797"/>
      <c r="B245" s="797"/>
      <c r="D245" s="1957"/>
      <c r="E245" s="1957"/>
      <c r="F245" s="1957"/>
    </row>
    <row r="246" spans="1:9" ht="14.4">
      <c r="A246" s="797"/>
      <c r="B246" s="797"/>
      <c r="D246" s="1957"/>
      <c r="E246" s="1957"/>
      <c r="F246" s="1957"/>
    </row>
    <row r="247" spans="1:9" ht="14.4">
      <c r="A247" s="797"/>
      <c r="B247" s="797"/>
      <c r="D247" s="1724"/>
      <c r="E247" s="1724"/>
      <c r="F247" s="1724"/>
    </row>
    <row r="248" spans="1:9" ht="14.4">
      <c r="A248" s="797"/>
      <c r="B248" s="798" t="s">
        <v>2644</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2644</v>
      </c>
      <c r="D251" s="1921" t="s">
        <v>1290</v>
      </c>
      <c r="E251" s="1921"/>
      <c r="F251" s="1921"/>
    </row>
    <row r="252" spans="1:9" ht="14.4">
      <c r="A252" s="797"/>
      <c r="B252" s="797"/>
      <c r="D252" s="1921"/>
      <c r="E252" s="1921"/>
      <c r="F252" s="1921"/>
    </row>
    <row r="253" spans="1:9">
      <c r="D253" s="821"/>
    </row>
    <row r="254" spans="1:9">
      <c r="A254" s="1886" t="s">
        <v>1164</v>
      </c>
      <c r="B254" s="1886"/>
      <c r="C254" s="1886"/>
      <c r="D254" s="1886"/>
      <c r="E254" s="1886"/>
      <c r="F254" s="1886"/>
      <c r="G254" s="1886"/>
      <c r="H254" s="1853"/>
      <c r="I254" s="1854"/>
    </row>
    <row r="255" spans="1:9">
      <c r="D255" s="821"/>
    </row>
    <row r="256" spans="1:9">
      <c r="C256" s="807"/>
      <c r="D256" s="1876" t="s">
        <v>1293</v>
      </c>
      <c r="E256" s="1876"/>
      <c r="F256" s="1876"/>
    </row>
    <row r="257" spans="1:9">
      <c r="A257" s="793"/>
      <c r="B257" s="793"/>
      <c r="C257" s="793"/>
      <c r="D257" s="800"/>
      <c r="E257" s="800"/>
      <c r="F257" s="800"/>
    </row>
    <row r="258" spans="1:9">
      <c r="A258" s="795"/>
      <c r="B258" s="795"/>
      <c r="C258" s="795"/>
      <c r="D258" s="1876" t="s">
        <v>275</v>
      </c>
      <c r="E258" s="1876"/>
      <c r="F258" s="1876"/>
      <c r="I258" s="1774" t="s">
        <v>2473</v>
      </c>
    </row>
    <row r="259" spans="1:9" ht="14.4" customHeight="1">
      <c r="A259" s="797"/>
      <c r="B259" s="798" t="s">
        <v>2644</v>
      </c>
      <c r="D259" s="1989" t="s">
        <v>1400</v>
      </c>
      <c r="E259" s="1989"/>
      <c r="F259" s="1989"/>
    </row>
    <row r="260" spans="1:9">
      <c r="D260" s="1989"/>
      <c r="E260" s="1989"/>
      <c r="F260" s="1989"/>
    </row>
    <row r="261" spans="1:9">
      <c r="D261" s="1960" t="s">
        <v>953</v>
      </c>
      <c r="E261" s="1960"/>
      <c r="F261" s="1960"/>
    </row>
    <row r="262" spans="1:9">
      <c r="D262" s="800"/>
      <c r="E262" s="800"/>
      <c r="F262" s="800"/>
    </row>
    <row r="263" spans="1:9" ht="14.4" customHeight="1">
      <c r="A263" s="797"/>
      <c r="B263" s="798" t="s">
        <v>2645</v>
      </c>
      <c r="D263" s="1957" t="s">
        <v>2265</v>
      </c>
      <c r="E263" s="1957"/>
      <c r="F263" s="1957"/>
      <c r="I263" s="1774" t="s">
        <v>2493</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4">
      <c r="A270" s="797"/>
      <c r="B270" s="798" t="s">
        <v>2645</v>
      </c>
      <c r="D270" s="1921" t="s">
        <v>1296</v>
      </c>
      <c r="E270" s="1921"/>
      <c r="F270" s="1921"/>
    </row>
    <row r="271" spans="1:9">
      <c r="D271" s="1921"/>
      <c r="E271" s="1921"/>
      <c r="F271" s="1921"/>
    </row>
    <row r="272" spans="1:9">
      <c r="D272" s="1921"/>
      <c r="E272" s="1921"/>
      <c r="F272" s="1921"/>
    </row>
    <row r="273" spans="1:9">
      <c r="D273" s="822"/>
      <c r="E273" s="800"/>
      <c r="F273" s="800"/>
    </row>
    <row r="274" spans="1:9">
      <c r="A274" s="1886" t="s">
        <v>1165</v>
      </c>
      <c r="B274" s="1886"/>
      <c r="C274" s="1886"/>
      <c r="D274" s="1886"/>
      <c r="E274" s="1886"/>
      <c r="F274" s="1886"/>
      <c r="G274" s="1886"/>
      <c r="H274" s="1853"/>
      <c r="I274" s="1854"/>
    </row>
    <row r="275" spans="1:9">
      <c r="D275" s="822"/>
      <c r="E275" s="800"/>
      <c r="F275" s="800"/>
    </row>
    <row r="276" spans="1:9">
      <c r="C276" s="793"/>
      <c r="D276" s="1959" t="s">
        <v>1298</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1299</v>
      </c>
      <c r="E280" s="1969"/>
      <c r="F280" s="1969"/>
    </row>
    <row r="281" spans="1:9">
      <c r="E281" s="800"/>
      <c r="F281" s="800"/>
    </row>
    <row r="282" spans="1:9" ht="14.4">
      <c r="A282" s="797"/>
      <c r="B282" s="798" t="s">
        <v>2645</v>
      </c>
      <c r="D282" s="1921" t="s">
        <v>1300</v>
      </c>
      <c r="E282" s="1921"/>
      <c r="F282" s="1921"/>
      <c r="I282" s="1774" t="s">
        <v>2435</v>
      </c>
    </row>
    <row r="283" spans="1:9" ht="14.4">
      <c r="A283" s="797"/>
      <c r="B283" s="797"/>
      <c r="D283" s="1921"/>
      <c r="E283" s="1921"/>
      <c r="F283" s="1921"/>
    </row>
    <row r="284" spans="1:9">
      <c r="D284" s="800"/>
      <c r="E284" s="800"/>
      <c r="F284" s="800"/>
    </row>
    <row r="285" spans="1:9" ht="14.4">
      <c r="A285" s="797"/>
      <c r="B285" s="798" t="s">
        <v>2645</v>
      </c>
      <c r="D285" s="1957" t="s">
        <v>1301</v>
      </c>
      <c r="E285" s="1957"/>
      <c r="F285" s="1957"/>
      <c r="I285" s="1774" t="s">
        <v>2435</v>
      </c>
    </row>
    <row r="286" spans="1:9" ht="14.4">
      <c r="A286" s="797"/>
      <c r="B286" s="797"/>
      <c r="D286" s="1957"/>
      <c r="E286" s="1957"/>
      <c r="F286" s="1957"/>
    </row>
    <row r="287" spans="1:9" ht="14.4">
      <c r="A287" s="797"/>
      <c r="B287" s="797"/>
      <c r="D287" s="1957"/>
      <c r="E287" s="1957"/>
      <c r="F287" s="1957"/>
    </row>
    <row r="288" spans="1:9">
      <c r="D288" s="800"/>
      <c r="E288" s="800"/>
      <c r="F288" s="800"/>
    </row>
    <row r="289" spans="1:9" ht="14.4">
      <c r="A289" s="797"/>
      <c r="B289" s="798" t="s">
        <v>2645</v>
      </c>
      <c r="D289" s="1921" t="s">
        <v>1302</v>
      </c>
      <c r="E289" s="1921"/>
      <c r="F289" s="1921"/>
      <c r="I289" s="1774" t="s">
        <v>2435</v>
      </c>
    </row>
    <row r="290" spans="1:9" ht="14.4">
      <c r="A290" s="797"/>
      <c r="B290" s="797"/>
      <c r="D290" s="1921"/>
      <c r="E290" s="1921"/>
      <c r="F290" s="1921"/>
    </row>
    <row r="291" spans="1:9">
      <c r="A291" s="816"/>
      <c r="B291" s="816"/>
      <c r="E291" s="800"/>
      <c r="F291" s="800"/>
    </row>
    <row r="292" spans="1:9">
      <c r="A292" s="1886" t="s">
        <v>1166</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1303</v>
      </c>
      <c r="E295" s="1926"/>
      <c r="F295" s="1926"/>
    </row>
    <row r="296" spans="1:9">
      <c r="C296" s="816"/>
      <c r="D296" s="823"/>
    </row>
    <row r="297" spans="1:9">
      <c r="A297" s="801"/>
      <c r="B297" s="798" t="s">
        <v>2645</v>
      </c>
      <c r="D297" s="1926" t="s">
        <v>1304</v>
      </c>
      <c r="E297" s="1926"/>
      <c r="F297" s="1926"/>
      <c r="I297" s="1774" t="s">
        <v>2436</v>
      </c>
    </row>
    <row r="298" spans="1:9" s="791" customFormat="1" ht="14.4">
      <c r="A298" s="805"/>
      <c r="B298" s="805"/>
      <c r="C298" s="801"/>
      <c r="D298" s="824"/>
      <c r="E298" s="825"/>
      <c r="F298" s="825"/>
      <c r="G298" s="802"/>
      <c r="I298" s="1837"/>
    </row>
    <row r="299" spans="1:9" s="791" customFormat="1" ht="13.65" customHeight="1">
      <c r="A299" s="801"/>
      <c r="B299" s="798" t="s">
        <v>2645</v>
      </c>
      <c r="C299" s="801"/>
      <c r="D299" s="1964" t="s">
        <v>1429</v>
      </c>
      <c r="E299" s="1964"/>
      <c r="F299" s="1964"/>
      <c r="G299" s="802"/>
      <c r="I299" s="1837" t="s">
        <v>2436</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65" customHeight="1">
      <c r="A305" s="801"/>
      <c r="B305" s="798" t="s">
        <v>2645</v>
      </c>
      <c r="C305" s="801"/>
      <c r="D305" s="1964" t="s">
        <v>1306</v>
      </c>
      <c r="E305" s="1964"/>
      <c r="F305" s="1964"/>
      <c r="G305" s="802"/>
      <c r="I305" s="1837" t="s">
        <v>2436</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2645</v>
      </c>
      <c r="D308" s="1926" t="s">
        <v>1307</v>
      </c>
      <c r="E308" s="1926"/>
      <c r="F308" s="1926"/>
      <c r="I308" s="1774" t="s">
        <v>2422</v>
      </c>
    </row>
    <row r="309" spans="1:9">
      <c r="E309" s="800"/>
      <c r="F309" s="800"/>
    </row>
    <row r="310" spans="1:9" ht="14.4">
      <c r="A310" s="797"/>
      <c r="B310" s="798" t="s">
        <v>2645</v>
      </c>
      <c r="D310" s="1957" t="s">
        <v>1456</v>
      </c>
      <c r="E310" s="1957"/>
      <c r="F310" s="1957"/>
      <c r="I310" s="1774" t="s">
        <v>2437</v>
      </c>
    </row>
    <row r="311" spans="1:9" ht="14.4">
      <c r="A311" s="797"/>
      <c r="B311" s="797"/>
      <c r="D311" s="1957"/>
      <c r="E311" s="1957"/>
      <c r="F311" s="1957"/>
    </row>
    <row r="312" spans="1:9" ht="14.4">
      <c r="A312" s="797"/>
      <c r="B312" s="797"/>
      <c r="D312" s="1957"/>
      <c r="E312" s="1957"/>
      <c r="F312" s="1957"/>
    </row>
    <row r="313" spans="1:9" ht="14.4">
      <c r="A313" s="797"/>
      <c r="B313" s="797"/>
      <c r="D313" s="1957"/>
      <c r="E313" s="1957"/>
      <c r="F313" s="1957"/>
    </row>
    <row r="314" spans="1:9" ht="14.4">
      <c r="A314" s="797"/>
      <c r="B314" s="797"/>
      <c r="D314" s="1957"/>
      <c r="E314" s="1957"/>
      <c r="F314" s="1957"/>
    </row>
    <row r="315" spans="1:9" ht="14.4">
      <c r="A315" s="797"/>
      <c r="B315" s="797"/>
      <c r="D315" s="1957"/>
      <c r="E315" s="1957"/>
      <c r="F315" s="1957"/>
    </row>
    <row r="316" spans="1:9" ht="14.4">
      <c r="A316" s="797"/>
      <c r="B316" s="797"/>
      <c r="D316" s="1957"/>
      <c r="E316" s="1957"/>
      <c r="F316" s="1957"/>
    </row>
    <row r="317" spans="1:9" ht="14.4">
      <c r="A317" s="797"/>
      <c r="B317" s="797"/>
      <c r="D317" s="1957"/>
      <c r="E317" s="1957"/>
      <c r="F317" s="1957"/>
    </row>
    <row r="318" spans="1:9" ht="14.4">
      <c r="A318" s="797"/>
      <c r="B318" s="797"/>
      <c r="D318" s="1957"/>
      <c r="E318" s="1957"/>
      <c r="F318" s="1957"/>
    </row>
    <row r="319" spans="1:9" ht="14.4">
      <c r="A319" s="797"/>
      <c r="B319" s="797"/>
      <c r="D319" s="1957"/>
      <c r="E319" s="1957"/>
      <c r="F319" s="1957"/>
    </row>
    <row r="320" spans="1:9" ht="14.4">
      <c r="A320" s="797"/>
      <c r="B320" s="797"/>
      <c r="D320" s="1957"/>
      <c r="E320" s="1957"/>
      <c r="F320" s="1957"/>
    </row>
    <row r="321" spans="1:9" ht="14.4">
      <c r="A321" s="797"/>
      <c r="B321" s="797"/>
      <c r="D321" s="1957"/>
      <c r="E321" s="1957"/>
      <c r="F321" s="1957"/>
    </row>
    <row r="322" spans="1:9" ht="14.4">
      <c r="A322" s="797"/>
      <c r="B322" s="797"/>
      <c r="D322" s="1957"/>
      <c r="E322" s="1957"/>
      <c r="F322" s="1957"/>
    </row>
    <row r="323" spans="1:9" ht="14.4">
      <c r="A323" s="797"/>
      <c r="B323" s="797"/>
      <c r="D323" s="1957"/>
      <c r="E323" s="1957"/>
      <c r="F323" s="1957"/>
    </row>
    <row r="324" spans="1:9" ht="14.4">
      <c r="A324" s="797"/>
      <c r="B324" s="797"/>
      <c r="D324" s="1957"/>
      <c r="E324" s="1957"/>
      <c r="F324" s="1957"/>
    </row>
    <row r="325" spans="1:9">
      <c r="D325" s="800"/>
      <c r="E325" s="800"/>
      <c r="F325" s="800"/>
    </row>
    <row r="326" spans="1:9" ht="14.4">
      <c r="A326" s="797"/>
      <c r="B326" s="798" t="s">
        <v>2645</v>
      </c>
      <c r="D326" s="1957" t="s">
        <v>1309</v>
      </c>
      <c r="E326" s="1957"/>
      <c r="F326" s="1957"/>
      <c r="I326" s="1774" t="s">
        <v>2437</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4">
      <c r="A336" s="797"/>
      <c r="B336" s="798" t="s">
        <v>2645</v>
      </c>
      <c r="D336" s="1921" t="s">
        <v>1506</v>
      </c>
      <c r="E336" s="1921"/>
      <c r="F336" s="1921"/>
      <c r="I336" s="1774" t="s">
        <v>2474</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8" thickBot="1">
      <c r="A343" s="1828"/>
      <c r="B343" s="1828"/>
      <c r="C343" s="1828"/>
      <c r="D343" s="1988" t="s">
        <v>1059</v>
      </c>
      <c r="E343" s="1988"/>
      <c r="F343" s="1988"/>
      <c r="G343" s="1851"/>
      <c r="H343" s="1851"/>
      <c r="I343" s="1852"/>
    </row>
    <row r="344" spans="1:9" ht="13.8" thickTop="1">
      <c r="D344" s="1965" t="s">
        <v>1311</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2645</v>
      </c>
      <c r="C347" s="829"/>
      <c r="D347" s="1926" t="s">
        <v>1320</v>
      </c>
      <c r="E347" s="1926"/>
      <c r="F347" s="1926"/>
      <c r="I347" s="1954" t="s">
        <v>2489</v>
      </c>
    </row>
    <row r="348" spans="1:9" ht="12.75" customHeight="1">
      <c r="D348" s="1930" t="s">
        <v>1454</v>
      </c>
      <c r="E348" s="1930"/>
      <c r="F348" s="1930"/>
      <c r="I348" s="1955"/>
    </row>
    <row r="349" spans="1:9">
      <c r="D349" s="1957" t="s">
        <v>1453</v>
      </c>
      <c r="E349" s="1957"/>
      <c r="F349" s="1957"/>
      <c r="I349" s="1955"/>
    </row>
    <row r="350" spans="1:9">
      <c r="D350" s="1957"/>
      <c r="E350" s="1957"/>
      <c r="F350" s="1957"/>
      <c r="I350" s="1955"/>
    </row>
    <row r="351" spans="1:9">
      <c r="D351" s="1957"/>
      <c r="E351" s="1957"/>
      <c r="F351" s="1957"/>
      <c r="I351" s="1956"/>
    </row>
    <row r="352" spans="1:9" ht="14.4">
      <c r="A352" s="797"/>
      <c r="B352" s="798" t="s">
        <v>2645</v>
      </c>
      <c r="C352" s="814"/>
      <c r="D352" s="1933" t="s">
        <v>1312</v>
      </c>
      <c r="E352" s="1933"/>
      <c r="F352" s="1933"/>
      <c r="G352" s="790"/>
      <c r="I352" s="619"/>
    </row>
    <row r="353" spans="1:9">
      <c r="A353" s="814"/>
      <c r="B353" s="814"/>
      <c r="C353" s="814"/>
      <c r="D353" s="786"/>
      <c r="E353" s="786"/>
      <c r="F353" s="800"/>
      <c r="G353" s="790"/>
    </row>
    <row r="354" spans="1:9">
      <c r="A354" s="814"/>
      <c r="B354" s="798" t="s">
        <v>2645</v>
      </c>
      <c r="C354" s="814"/>
      <c r="D354" s="1917" t="s">
        <v>1432</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5" customHeight="1">
      <c r="A367" s="814"/>
      <c r="B367" s="798" t="s">
        <v>2645</v>
      </c>
      <c r="C367" s="814"/>
      <c r="D367" s="1961" t="s">
        <v>1433</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2645</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2645</v>
      </c>
      <c r="C379" s="814"/>
      <c r="D379" s="1936" t="s">
        <v>1314</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1315</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65" customHeight="1">
      <c r="A393" s="814"/>
      <c r="B393" s="814"/>
      <c r="C393" s="814"/>
      <c r="D393" s="1929" t="s">
        <v>1316</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2645</v>
      </c>
      <c r="C412" s="814"/>
      <c r="D412" s="1929" t="s">
        <v>1317</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 customHeight="1">
      <c r="A415" s="797"/>
      <c r="B415" s="798" t="s">
        <v>2645</v>
      </c>
      <c r="D415" s="1929" t="s">
        <v>2475</v>
      </c>
      <c r="E415" s="1929"/>
      <c r="F415" s="1929"/>
    </row>
    <row r="416" spans="1:7" ht="14.4" customHeight="1">
      <c r="A416" s="797"/>
      <c r="D416" s="1929"/>
      <c r="E416" s="1929"/>
      <c r="F416" s="1929"/>
    </row>
    <row r="417" spans="1:7" ht="14.4" customHeight="1">
      <c r="A417" s="797"/>
      <c r="D417" s="1929"/>
      <c r="E417" s="1929"/>
      <c r="F417" s="1929"/>
    </row>
    <row r="418" spans="1:7" ht="14.4" customHeight="1">
      <c r="A418" s="797"/>
      <c r="D418" s="1929"/>
      <c r="E418" s="1929"/>
      <c r="F418" s="1929"/>
    </row>
    <row r="419" spans="1:7" ht="14.4" customHeight="1">
      <c r="A419" s="797"/>
      <c r="D419" s="1929"/>
      <c r="E419" s="1929"/>
      <c r="F419" s="1929"/>
    </row>
    <row r="420" spans="1:7" ht="14.4" customHeight="1">
      <c r="A420" s="797"/>
      <c r="D420" s="878"/>
      <c r="E420" s="878"/>
      <c r="F420" s="878"/>
    </row>
    <row r="421" spans="1:7" ht="13.65" customHeight="1">
      <c r="A421" s="797"/>
      <c r="B421" s="798" t="s">
        <v>2645</v>
      </c>
      <c r="C421" s="814"/>
      <c r="D421" s="1917" t="s">
        <v>1457</v>
      </c>
      <c r="E421" s="1917"/>
      <c r="F421" s="1917"/>
      <c r="G421" s="790"/>
    </row>
    <row r="422" spans="1:7" ht="14.4">
      <c r="A422" s="828"/>
      <c r="B422" s="828"/>
      <c r="C422" s="814"/>
      <c r="D422" s="1917"/>
      <c r="E422" s="1917"/>
      <c r="F422" s="1917"/>
      <c r="G422" s="790"/>
    </row>
    <row r="423" spans="1:7" ht="14.4">
      <c r="A423" s="828"/>
      <c r="B423" s="828"/>
      <c r="C423" s="814"/>
      <c r="D423" s="1917"/>
      <c r="E423" s="1917"/>
      <c r="F423" s="1917"/>
      <c r="G423" s="790"/>
    </row>
    <row r="424" spans="1:7" ht="14.4">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ht="14.4">
      <c r="A427" s="797"/>
      <c r="B427" s="798" t="s">
        <v>2645</v>
      </c>
      <c r="C427" s="829"/>
      <c r="D427" s="1921" t="s">
        <v>1319</v>
      </c>
      <c r="E427" s="1921"/>
      <c r="F427" s="1921"/>
      <c r="G427" s="790"/>
    </row>
    <row r="428" spans="1:7" ht="14.4">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65" customHeight="1">
      <c r="A457" s="788"/>
      <c r="B457" s="788"/>
      <c r="C457" s="788"/>
      <c r="D457" s="1921"/>
      <c r="E457" s="1921"/>
      <c r="F457" s="1921"/>
      <c r="G457" s="830"/>
      <c r="I457" s="1840"/>
    </row>
    <row r="458" spans="1:9">
      <c r="D458" s="800"/>
      <c r="E458" s="800"/>
      <c r="F458" s="800"/>
      <c r="G458" s="790"/>
    </row>
    <row r="459" spans="1:9" ht="14.4">
      <c r="A459" s="797"/>
      <c r="B459" s="798" t="s">
        <v>2645</v>
      </c>
      <c r="C459" s="829"/>
      <c r="D459" s="1921" t="s">
        <v>1322</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4">
      <c r="B463" s="798" t="s">
        <v>2645</v>
      </c>
      <c r="C463" s="797"/>
      <c r="D463" s="1957" t="s">
        <v>1401</v>
      </c>
      <c r="E463" s="1957"/>
      <c r="F463" s="1957"/>
      <c r="G463" s="790"/>
    </row>
    <row r="464" spans="1:9">
      <c r="D464" s="1957"/>
      <c r="E464" s="1957"/>
      <c r="F464" s="1957"/>
      <c r="G464" s="790"/>
    </row>
    <row r="465" spans="1:7">
      <c r="D465" s="800"/>
      <c r="E465" s="800"/>
      <c r="F465" s="800"/>
      <c r="G465" s="790"/>
    </row>
    <row r="466" spans="1:7" ht="14.4">
      <c r="B466" s="798" t="s">
        <v>2645</v>
      </c>
      <c r="C466" s="797"/>
      <c r="D466" s="1957" t="s">
        <v>1324</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2645</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2645</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2645</v>
      </c>
      <c r="C478" s="790"/>
      <c r="D478" s="1957"/>
      <c r="E478" s="1957"/>
      <c r="F478" s="1957"/>
      <c r="G478" s="790"/>
    </row>
    <row r="479" spans="1:7">
      <c r="A479" s="790"/>
      <c r="C479" s="790"/>
      <c r="D479" s="1957"/>
      <c r="E479" s="1957"/>
      <c r="F479" s="1957"/>
      <c r="G479" s="790"/>
    </row>
    <row r="480" spans="1:7">
      <c r="A480" s="790"/>
      <c r="B480" s="798" t="s">
        <v>2645</v>
      </c>
      <c r="C480" s="790"/>
      <c r="D480" s="1957" t="s">
        <v>1325</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2645</v>
      </c>
      <c r="D486" s="1960" t="s">
        <v>1326</v>
      </c>
      <c r="E486" s="1960"/>
      <c r="F486" s="1960"/>
    </row>
    <row r="487" spans="1:9">
      <c r="A487" s="800"/>
      <c r="B487" s="800"/>
    </row>
    <row r="488" spans="1:9">
      <c r="A488" s="1886" t="s">
        <v>1167</v>
      </c>
      <c r="B488" s="1886"/>
      <c r="C488" s="1886"/>
      <c r="D488" s="1886"/>
      <c r="E488" s="1886"/>
      <c r="F488" s="1886"/>
      <c r="G488" s="1886"/>
      <c r="H488" s="1853"/>
      <c r="I488" s="1854"/>
    </row>
    <row r="489" spans="1:9">
      <c r="A489" s="800"/>
      <c r="B489" s="800"/>
    </row>
    <row r="490" spans="1:9">
      <c r="D490" s="1937" t="s">
        <v>947</v>
      </c>
      <c r="E490" s="1937"/>
      <c r="F490" s="1937"/>
    </row>
    <row r="491" spans="1:9" s="791" customFormat="1" ht="14.4">
      <c r="A491" s="805"/>
      <c r="B491" s="805"/>
      <c r="C491" s="801"/>
      <c r="D491" s="1938" t="s">
        <v>1327</v>
      </c>
      <c r="E491" s="1938"/>
      <c r="F491" s="1938"/>
      <c r="G491" s="802"/>
      <c r="I491" s="1837"/>
    </row>
    <row r="492" spans="1:9" s="791" customFormat="1" ht="14.4">
      <c r="A492" s="805"/>
      <c r="B492" s="805"/>
      <c r="C492" s="801"/>
      <c r="D492" s="787"/>
      <c r="E492" s="672"/>
      <c r="F492" s="672"/>
      <c r="G492" s="802"/>
      <c r="I492" s="1837"/>
    </row>
    <row r="493" spans="1:9" s="791" customFormat="1" ht="14.4">
      <c r="A493" s="797"/>
      <c r="B493" s="798" t="s">
        <v>2645</v>
      </c>
      <c r="C493" s="801"/>
      <c r="D493" s="1939" t="s">
        <v>1328</v>
      </c>
      <c r="E493" s="1939"/>
      <c r="F493" s="1939"/>
      <c r="G493" s="802"/>
      <c r="I493" s="1837" t="s">
        <v>2439</v>
      </c>
    </row>
    <row r="494" spans="1:9" s="791" customFormat="1" ht="14.4">
      <c r="A494" s="797"/>
      <c r="B494" s="797"/>
      <c r="C494" s="801"/>
      <c r="D494" s="1939"/>
      <c r="E494" s="1939"/>
      <c r="F494" s="1939"/>
      <c r="G494" s="802"/>
      <c r="I494" s="1837"/>
    </row>
    <row r="495" spans="1:9" s="791" customFormat="1" ht="14.4">
      <c r="A495" s="797"/>
      <c r="B495" s="797"/>
      <c r="C495" s="801"/>
      <c r="D495" s="785"/>
      <c r="E495" s="672"/>
      <c r="F495" s="672"/>
      <c r="G495" s="802"/>
      <c r="I495" s="1837"/>
    </row>
    <row r="496" spans="1:9" ht="12.75" customHeight="1">
      <c r="B496" s="798" t="s">
        <v>2645</v>
      </c>
      <c r="D496" s="1909" t="s">
        <v>1508</v>
      </c>
      <c r="E496" s="1909"/>
      <c r="F496" s="1909"/>
      <c r="I496" s="1774" t="s">
        <v>2440</v>
      </c>
    </row>
    <row r="497" spans="1:9" ht="14.4">
      <c r="A497" s="797"/>
      <c r="D497" s="1909"/>
      <c r="E497" s="1909"/>
      <c r="F497" s="1909"/>
    </row>
    <row r="498" spans="1:9" ht="14.4">
      <c r="A498" s="797"/>
      <c r="B498" s="797"/>
      <c r="D498" s="1909"/>
      <c r="E498" s="1909"/>
      <c r="F498" s="1909"/>
    </row>
    <row r="499" spans="1:9" ht="14.4">
      <c r="A499" s="797"/>
      <c r="B499" s="797"/>
      <c r="D499" s="1909"/>
      <c r="E499" s="1909"/>
      <c r="F499" s="1909"/>
    </row>
    <row r="500" spans="1:9" ht="14.4">
      <c r="A500" s="797"/>
      <c r="D500" s="893"/>
      <c r="E500" s="893"/>
      <c r="F500" s="893"/>
      <c r="G500" s="790"/>
    </row>
    <row r="501" spans="1:9" ht="14.4">
      <c r="A501" s="797"/>
      <c r="B501" s="798" t="s">
        <v>2645</v>
      </c>
      <c r="D501" s="1926" t="s">
        <v>1331</v>
      </c>
      <c r="E501" s="1926"/>
      <c r="F501" s="1926"/>
      <c r="G501" s="790"/>
      <c r="I501" s="1774" t="s">
        <v>2441</v>
      </c>
    </row>
    <row r="502" spans="1:9" ht="14.4">
      <c r="A502" s="797"/>
      <c r="B502" s="797"/>
      <c r="D502" s="785"/>
      <c r="E502" s="672"/>
      <c r="F502" s="672"/>
      <c r="G502" s="790"/>
    </row>
    <row r="503" spans="1:9" ht="14.4">
      <c r="A503" s="797"/>
      <c r="B503" s="798" t="s">
        <v>2645</v>
      </c>
      <c r="D503" s="1921" t="s">
        <v>1332</v>
      </c>
      <c r="E503" s="1921"/>
      <c r="F503" s="1921"/>
      <c r="G503" s="790"/>
      <c r="I503" s="1774" t="s">
        <v>2441</v>
      </c>
    </row>
    <row r="504" spans="1:9" ht="14.4">
      <c r="A504" s="797"/>
      <c r="D504" s="1921"/>
      <c r="E504" s="1921"/>
      <c r="F504" s="1921"/>
      <c r="G504" s="790"/>
    </row>
    <row r="505" spans="1:9">
      <c r="A505" s="816"/>
      <c r="B505" s="816"/>
      <c r="D505" s="733"/>
      <c r="E505" s="672"/>
      <c r="F505" s="672"/>
      <c r="G505" s="790"/>
    </row>
    <row r="506" spans="1:9">
      <c r="A506" s="816"/>
      <c r="B506" s="798" t="s">
        <v>2645</v>
      </c>
      <c r="D506" s="1926" t="s">
        <v>1333</v>
      </c>
      <c r="E506" s="1926"/>
      <c r="F506" s="1926"/>
      <c r="G506" s="790"/>
      <c r="I506" s="1774" t="s">
        <v>2496</v>
      </c>
    </row>
    <row r="507" spans="1:9" ht="14.4">
      <c r="A507" s="797"/>
      <c r="B507" s="797"/>
      <c r="D507" s="800"/>
    </row>
    <row r="508" spans="1:9">
      <c r="A508" s="1886" t="s">
        <v>1168</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2644</v>
      </c>
      <c r="C514" s="799"/>
      <c r="D514" s="1920" t="s">
        <v>2267</v>
      </c>
      <c r="E514" s="1920"/>
      <c r="F514" s="1920"/>
      <c r="G514" s="672"/>
      <c r="I514" s="622" t="s">
        <v>2476</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2645</v>
      </c>
      <c r="C517" s="804"/>
      <c r="D517" s="1920" t="s">
        <v>1206</v>
      </c>
      <c r="E517" s="1920"/>
      <c r="F517" s="1920"/>
      <c r="G517" s="672"/>
      <c r="I517" s="622" t="s">
        <v>2442</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 customHeight="1">
      <c r="A521" s="795"/>
      <c r="B521" s="798" t="s">
        <v>2645</v>
      </c>
      <c r="C521" s="799"/>
      <c r="D521" s="1966" t="s">
        <v>1232</v>
      </c>
      <c r="E521" s="1966"/>
      <c r="F521" s="1966"/>
      <c r="G521" s="672"/>
      <c r="I521" s="622" t="s">
        <v>2442</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1169</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1170</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1227</v>
      </c>
      <c r="E531" s="1926"/>
      <c r="F531" s="1926"/>
    </row>
    <row r="532" spans="1:9">
      <c r="C532" s="829"/>
      <c r="D532" s="785"/>
      <c r="E532" s="785"/>
      <c r="F532" s="785"/>
    </row>
    <row r="533" spans="1:9" ht="13.65" customHeight="1">
      <c r="A533" s="797"/>
      <c r="B533" s="798" t="s">
        <v>2644</v>
      </c>
      <c r="C533" s="829"/>
      <c r="D533" s="1926" t="s">
        <v>948</v>
      </c>
      <c r="E533" s="1926"/>
      <c r="F533" s="1926"/>
      <c r="G533" s="790"/>
      <c r="I533" s="1774" t="s">
        <v>2494</v>
      </c>
    </row>
    <row r="534" spans="1:9" ht="13.65" customHeight="1">
      <c r="A534" s="829"/>
      <c r="B534" s="829"/>
      <c r="C534" s="829"/>
      <c r="D534" s="785"/>
      <c r="E534" s="618"/>
      <c r="F534" s="618"/>
      <c r="G534" s="790"/>
    </row>
    <row r="535" spans="1:9" ht="14.4">
      <c r="A535" s="797"/>
      <c r="B535" s="798" t="s">
        <v>2644</v>
      </c>
      <c r="C535" s="829"/>
      <c r="D535" s="1921" t="s">
        <v>1228</v>
      </c>
      <c r="E535" s="1921"/>
      <c r="F535" s="1921"/>
      <c r="G535" s="790"/>
      <c r="I535" s="1774" t="s">
        <v>2494</v>
      </c>
    </row>
    <row r="536" spans="1:9">
      <c r="A536" s="829"/>
      <c r="B536" s="829"/>
      <c r="C536" s="829"/>
      <c r="D536" s="1921"/>
      <c r="E536" s="1921"/>
      <c r="F536" s="1921"/>
      <c r="G536" s="790"/>
    </row>
    <row r="537" spans="1:9">
      <c r="A537" s="829"/>
      <c r="B537" s="829"/>
      <c r="C537" s="829"/>
      <c r="D537" s="800"/>
      <c r="E537" s="800"/>
      <c r="F537" s="800"/>
      <c r="G537" s="790"/>
    </row>
    <row r="538" spans="1:9" ht="14.4">
      <c r="A538" s="797"/>
      <c r="B538" s="798" t="s">
        <v>2644</v>
      </c>
      <c r="C538" s="829"/>
      <c r="D538" s="1921" t="s">
        <v>1229</v>
      </c>
      <c r="E538" s="1921"/>
      <c r="F538" s="1921"/>
      <c r="G538" s="790"/>
      <c r="I538" s="1774" t="s">
        <v>2443</v>
      </c>
    </row>
    <row r="539" spans="1:9">
      <c r="A539" s="829"/>
      <c r="B539" s="829"/>
      <c r="C539" s="829"/>
      <c r="D539" s="1921"/>
      <c r="E539" s="1921"/>
      <c r="F539" s="1921"/>
      <c r="G539" s="790"/>
    </row>
    <row r="540" spans="1:9">
      <c r="A540" s="829"/>
      <c r="B540" s="829"/>
      <c r="C540" s="829"/>
      <c r="D540" s="800"/>
      <c r="E540" s="800"/>
      <c r="F540" s="800"/>
      <c r="G540" s="790"/>
    </row>
    <row r="541" spans="1:9" ht="14.4">
      <c r="A541" s="797"/>
      <c r="B541" s="798" t="s">
        <v>2644</v>
      </c>
      <c r="C541" s="829"/>
      <c r="D541" s="1921" t="s">
        <v>1230</v>
      </c>
      <c r="E541" s="1921"/>
      <c r="F541" s="1921"/>
      <c r="G541" s="790"/>
      <c r="I541" s="1774" t="s">
        <v>2444</v>
      </c>
    </row>
    <row r="542" spans="1:9">
      <c r="A542" s="829"/>
      <c r="B542" s="829"/>
      <c r="C542" s="829"/>
      <c r="D542" s="1921"/>
      <c r="E542" s="1921"/>
      <c r="F542" s="1921"/>
      <c r="G542" s="790"/>
    </row>
    <row r="543" spans="1:9">
      <c r="A543" s="829"/>
      <c r="B543" s="829"/>
      <c r="C543" s="829"/>
      <c r="D543" s="800"/>
      <c r="E543" s="800"/>
      <c r="F543" s="800"/>
      <c r="G543" s="790"/>
    </row>
    <row r="544" spans="1:9" ht="14.4">
      <c r="A544" s="797"/>
      <c r="B544" s="798" t="s">
        <v>2644</v>
      </c>
      <c r="C544" s="829"/>
      <c r="D544" s="1921" t="s">
        <v>1231</v>
      </c>
      <c r="E544" s="1921"/>
      <c r="F544" s="1921"/>
      <c r="G544" s="790"/>
      <c r="I544" s="1774" t="s">
        <v>2495</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4">
      <c r="A548" s="797"/>
      <c r="B548" s="798" t="s">
        <v>2645</v>
      </c>
      <c r="C548" s="829"/>
      <c r="D548" s="1966" t="s">
        <v>1349</v>
      </c>
      <c r="E548" s="1966"/>
      <c r="F548" s="1966"/>
      <c r="I548" s="1774" t="s">
        <v>2494</v>
      </c>
    </row>
    <row r="549" spans="1:9">
      <c r="A549" s="829"/>
      <c r="B549" s="829"/>
      <c r="C549" s="829"/>
      <c r="D549" s="1966"/>
      <c r="E549" s="1966"/>
      <c r="F549" s="1966"/>
    </row>
    <row r="550" spans="1:9">
      <c r="A550" s="829"/>
      <c r="B550" s="829"/>
      <c r="C550" s="829"/>
      <c r="D550" s="800"/>
      <c r="E550" s="800"/>
      <c r="F550" s="800"/>
    </row>
    <row r="551" spans="1:9" ht="14.4">
      <c r="A551" s="797"/>
      <c r="B551" s="798" t="s">
        <v>2644</v>
      </c>
      <c r="C551" s="829"/>
      <c r="D551" s="1921" t="s">
        <v>1233</v>
      </c>
      <c r="E551" s="1921"/>
      <c r="F551" s="1921"/>
      <c r="I551" s="1774" t="s">
        <v>2494</v>
      </c>
    </row>
    <row r="552" spans="1:9">
      <c r="A552" s="829"/>
      <c r="B552" s="829"/>
      <c r="C552" s="829"/>
      <c r="D552" s="1921"/>
      <c r="E552" s="1921"/>
      <c r="F552" s="1921"/>
      <c r="G552" s="819"/>
    </row>
    <row r="553" spans="1:9">
      <c r="A553" s="829"/>
      <c r="B553" s="829"/>
      <c r="C553" s="829"/>
      <c r="D553" s="800"/>
      <c r="E553" s="800"/>
      <c r="F553" s="800"/>
      <c r="G553" s="819"/>
    </row>
    <row r="554" spans="1:9" ht="14.4">
      <c r="A554" s="797"/>
      <c r="B554" s="798" t="s">
        <v>2644</v>
      </c>
      <c r="C554" s="829"/>
      <c r="D554" s="1926" t="s">
        <v>1234</v>
      </c>
      <c r="E554" s="1926"/>
      <c r="F554" s="1926"/>
      <c r="G554" s="819"/>
      <c r="I554" s="1774" t="s">
        <v>2497</v>
      </c>
    </row>
    <row r="555" spans="1:9">
      <c r="A555" s="816"/>
      <c r="B555" s="816"/>
      <c r="C555" s="829"/>
      <c r="D555" s="1926" t="s">
        <v>880</v>
      </c>
      <c r="E555" s="1926"/>
      <c r="F555" s="1926"/>
      <c r="G555" s="819"/>
    </row>
    <row r="556" spans="1:9">
      <c r="A556" s="816"/>
      <c r="B556" s="816"/>
      <c r="C556" s="829"/>
      <c r="D556" s="672"/>
      <c r="E556" s="1969" t="s">
        <v>1235</v>
      </c>
      <c r="F556" s="1969"/>
      <c r="G556" s="819"/>
    </row>
    <row r="557" spans="1:9" ht="14.4">
      <c r="A557" s="797"/>
      <c r="B557" s="797"/>
      <c r="C557" s="829"/>
      <c r="E557" s="800"/>
      <c r="F557" s="800"/>
      <c r="G557" s="819"/>
    </row>
    <row r="558" spans="1:9" ht="14.4">
      <c r="A558" s="797"/>
      <c r="B558" s="798" t="s">
        <v>2644</v>
      </c>
      <c r="C558" s="829"/>
      <c r="D558" s="1968" t="s">
        <v>1236</v>
      </c>
      <c r="E558" s="1968"/>
      <c r="F558" s="1968"/>
      <c r="G558" s="819"/>
      <c r="I558" s="1774" t="s">
        <v>2445</v>
      </c>
    </row>
    <row r="559" spans="1:9">
      <c r="C559" s="829"/>
      <c r="D559" s="1921" t="s">
        <v>1237</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4">
      <c r="A563" s="797"/>
      <c r="B563" s="798" t="s">
        <v>2644</v>
      </c>
      <c r="C563" s="829"/>
      <c r="D563" s="1921" t="s">
        <v>1238</v>
      </c>
      <c r="E563" s="1921"/>
      <c r="F563" s="1921"/>
      <c r="G563" s="819"/>
      <c r="I563" s="1774" t="s">
        <v>2446</v>
      </c>
    </row>
    <row r="564" spans="1:9" ht="14.4">
      <c r="A564" s="797"/>
      <c r="B564" s="797"/>
      <c r="C564" s="829"/>
      <c r="D564" s="1921"/>
      <c r="E564" s="1921"/>
      <c r="F564" s="1921"/>
      <c r="G564" s="819"/>
    </row>
    <row r="565" spans="1:9" ht="14.4">
      <c r="A565" s="797"/>
      <c r="B565" s="797"/>
      <c r="C565" s="829"/>
      <c r="D565" s="1921"/>
      <c r="E565" s="1921"/>
      <c r="F565" s="1921"/>
      <c r="G565" s="819"/>
    </row>
    <row r="566" spans="1:9" ht="14.4">
      <c r="A566" s="797"/>
      <c r="B566" s="797"/>
      <c r="C566" s="829"/>
      <c r="D566" s="1921"/>
      <c r="E566" s="1921"/>
      <c r="F566" s="1921"/>
      <c r="G566" s="819"/>
    </row>
    <row r="567" spans="1:9" ht="14.4">
      <c r="A567" s="797"/>
      <c r="B567" s="797"/>
      <c r="C567" s="829"/>
      <c r="D567" s="800"/>
      <c r="E567" s="800"/>
      <c r="F567" s="800"/>
      <c r="G567" s="819"/>
    </row>
    <row r="568" spans="1:9">
      <c r="A568" s="1886" t="s">
        <v>1171</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2644</v>
      </c>
      <c r="D573" s="1908" t="s">
        <v>954</v>
      </c>
      <c r="E573" s="1908"/>
      <c r="F573" s="1908"/>
      <c r="G573" s="819"/>
    </row>
    <row r="574" spans="1:9">
      <c r="A574" s="816"/>
      <c r="B574" s="816"/>
      <c r="D574" s="814"/>
    </row>
    <row r="575" spans="1:9">
      <c r="A575" s="816"/>
      <c r="B575" s="798" t="s">
        <v>2644</v>
      </c>
      <c r="D575" s="1909" t="s">
        <v>1188</v>
      </c>
      <c r="E575" s="1909"/>
      <c r="F575" s="1909"/>
      <c r="I575" s="1774" t="s">
        <v>2449</v>
      </c>
    </row>
    <row r="576" spans="1:9">
      <c r="A576" s="816"/>
      <c r="B576" s="816"/>
      <c r="D576" s="1909"/>
      <c r="E576" s="1909"/>
      <c r="F576" s="1909"/>
      <c r="G576" s="790"/>
      <c r="I576" s="1774" t="s">
        <v>2448</v>
      </c>
    </row>
    <row r="577" spans="1:9">
      <c r="A577" s="816"/>
      <c r="B577" s="816"/>
      <c r="D577" s="1909"/>
      <c r="E577" s="1909"/>
      <c r="F577" s="1909"/>
      <c r="G577" s="790"/>
    </row>
    <row r="578" spans="1:9">
      <c r="A578" s="816"/>
      <c r="B578" s="816"/>
      <c r="D578" s="1909"/>
      <c r="E578" s="1909"/>
      <c r="F578" s="1909"/>
      <c r="G578" s="790"/>
    </row>
    <row r="579" spans="1:9">
      <c r="A579" s="816"/>
      <c r="B579" s="798" t="s">
        <v>2645</v>
      </c>
      <c r="D579" s="1909" t="s">
        <v>1189</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2644</v>
      </c>
      <c r="D584" s="1909" t="s">
        <v>1190</v>
      </c>
      <c r="E584" s="1909"/>
      <c r="F584" s="1909"/>
      <c r="G584" s="790"/>
    </row>
    <row r="585" spans="1:9">
      <c r="A585" s="816"/>
      <c r="B585" s="816"/>
      <c r="D585" s="1909"/>
      <c r="E585" s="1909"/>
      <c r="F585" s="1909"/>
      <c r="G585" s="790"/>
    </row>
    <row r="586" spans="1:9">
      <c r="A586" s="816"/>
      <c r="B586" s="816"/>
      <c r="D586" s="837"/>
      <c r="G586" s="790"/>
    </row>
    <row r="587" spans="1:9">
      <c r="A587" s="816"/>
      <c r="B587" s="798" t="s">
        <v>2645</v>
      </c>
      <c r="D587" s="1908" t="s">
        <v>1191</v>
      </c>
      <c r="E587" s="1908"/>
      <c r="F587" s="1908"/>
      <c r="G587" s="790"/>
      <c r="I587" s="1774" t="s">
        <v>2498</v>
      </c>
    </row>
    <row r="588" spans="1:9">
      <c r="A588" s="816"/>
      <c r="B588" s="816"/>
      <c r="D588" s="1908"/>
      <c r="E588" s="1908"/>
      <c r="F588" s="1908"/>
      <c r="G588" s="790"/>
    </row>
    <row r="589" spans="1:9" ht="14.4">
      <c r="A589" s="797"/>
      <c r="B589" s="797"/>
      <c r="D589" s="837"/>
      <c r="G589" s="790"/>
    </row>
    <row r="590" spans="1:9">
      <c r="A590" s="1886" t="s">
        <v>1172</v>
      </c>
      <c r="B590" s="1886"/>
      <c r="C590" s="1886"/>
      <c r="D590" s="1886"/>
      <c r="E590" s="1886"/>
      <c r="F590" s="1886"/>
      <c r="G590" s="1886"/>
      <c r="H590" s="1853"/>
      <c r="I590" s="1854"/>
    </row>
    <row r="591" spans="1:9"/>
    <row r="592" spans="1:9">
      <c r="D592" s="1876" t="s">
        <v>1272</v>
      </c>
      <c r="E592" s="1876"/>
      <c r="F592" s="1876"/>
    </row>
    <row r="593" spans="1:9">
      <c r="D593" s="1877" t="s">
        <v>1273</v>
      </c>
      <c r="E593" s="1877"/>
      <c r="F593" s="1877"/>
    </row>
    <row r="594" spans="1:9">
      <c r="D594" s="780"/>
      <c r="E594" s="722"/>
      <c r="F594" s="722"/>
    </row>
    <row r="595" spans="1:9" s="791" customFormat="1" ht="14.4">
      <c r="A595" s="805"/>
      <c r="B595" s="798" t="s">
        <v>2644</v>
      </c>
      <c r="C595" s="801"/>
      <c r="D595" s="1878" t="s">
        <v>1274</v>
      </c>
      <c r="E595" s="1878"/>
      <c r="F595" s="1878"/>
      <c r="G595" s="802"/>
      <c r="I595" s="1837" t="s">
        <v>2477</v>
      </c>
    </row>
    <row r="596" spans="1:9">
      <c r="D596" s="1878"/>
      <c r="E596" s="1878"/>
      <c r="F596" s="1878"/>
    </row>
    <row r="597" spans="1:9">
      <c r="D597" s="1878"/>
      <c r="E597" s="1878"/>
      <c r="F597" s="1878"/>
    </row>
    <row r="598" spans="1:9"/>
    <row r="599" spans="1:9">
      <c r="A599" s="1886" t="s">
        <v>1173</v>
      </c>
      <c r="B599" s="1886"/>
      <c r="C599" s="1886"/>
      <c r="D599" s="1886"/>
      <c r="E599" s="1886"/>
      <c r="F599" s="1886"/>
      <c r="G599" s="1886"/>
      <c r="H599" s="1853"/>
      <c r="I599" s="1854"/>
    </row>
    <row r="600" spans="1:9">
      <c r="A600" s="800"/>
      <c r="B600" s="800"/>
      <c r="G600" s="819"/>
    </row>
    <row r="601" spans="1:9">
      <c r="A601" s="838"/>
      <c r="B601" s="838"/>
      <c r="C601" s="793"/>
      <c r="D601" s="1879" t="s">
        <v>1275</v>
      </c>
      <c r="E601" s="1879"/>
      <c r="F601" s="1879"/>
      <c r="G601" s="819"/>
    </row>
    <row r="602" spans="1:9">
      <c r="A602" s="838"/>
      <c r="B602" s="838"/>
      <c r="C602" s="793"/>
      <c r="D602" s="1879"/>
      <c r="E602" s="1879"/>
      <c r="F602" s="1879"/>
      <c r="G602" s="819"/>
    </row>
    <row r="603" spans="1:9">
      <c r="C603" s="795"/>
      <c r="D603" s="1877" t="s">
        <v>1276</v>
      </c>
      <c r="E603" s="1877"/>
      <c r="F603" s="1877"/>
      <c r="G603" s="819"/>
    </row>
    <row r="604" spans="1:9">
      <c r="C604" s="795"/>
      <c r="D604" s="780"/>
      <c r="E604" s="780"/>
      <c r="F604" s="780"/>
      <c r="G604" s="819"/>
    </row>
    <row r="605" spans="1:9" ht="12.75" customHeight="1">
      <c r="A605" s="816"/>
      <c r="B605" s="798" t="s">
        <v>2644</v>
      </c>
      <c r="D605" s="1880" t="s">
        <v>1277</v>
      </c>
      <c r="E605" s="1880"/>
      <c r="F605" s="1880"/>
      <c r="G605" s="819"/>
      <c r="I605" s="1774" t="s">
        <v>2499</v>
      </c>
    </row>
    <row r="606" spans="1:9">
      <c r="D606" s="1880"/>
      <c r="E606" s="1880"/>
      <c r="F606" s="1880"/>
      <c r="G606" s="819"/>
    </row>
    <row r="607" spans="1:9">
      <c r="D607" s="790"/>
      <c r="G607" s="819"/>
    </row>
    <row r="608" spans="1:9">
      <c r="B608" s="798" t="s">
        <v>2644</v>
      </c>
      <c r="D608" s="1880" t="s">
        <v>1278</v>
      </c>
      <c r="E608" s="1880"/>
      <c r="F608" s="1880"/>
      <c r="G608" s="819"/>
      <c r="I608" s="1774" t="s">
        <v>2450</v>
      </c>
    </row>
    <row r="609" spans="1:9">
      <c r="C609" s="839"/>
      <c r="D609" s="1880"/>
      <c r="E609" s="1880"/>
      <c r="F609" s="1880"/>
      <c r="G609" s="819"/>
    </row>
    <row r="610" spans="1:9">
      <c r="C610" s="839"/>
      <c r="G610" s="819"/>
    </row>
    <row r="611" spans="1:9">
      <c r="B611" s="798" t="s">
        <v>2645</v>
      </c>
      <c r="C611" s="839"/>
      <c r="D611" s="1880" t="s">
        <v>1279</v>
      </c>
      <c r="E611" s="1880"/>
      <c r="F611" s="1880"/>
      <c r="G611" s="819"/>
      <c r="I611" s="1774" t="s">
        <v>2500</v>
      </c>
    </row>
    <row r="612" spans="1:9">
      <c r="C612" s="839"/>
      <c r="D612" s="1880"/>
      <c r="E612" s="1880"/>
      <c r="F612" s="1880"/>
      <c r="G612" s="819"/>
      <c r="I612" s="1850" t="s">
        <v>2501</v>
      </c>
    </row>
    <row r="613" spans="1:9">
      <c r="C613" s="839"/>
      <c r="G613" s="819"/>
    </row>
    <row r="614" spans="1:9">
      <c r="A614" s="1886" t="s">
        <v>1174</v>
      </c>
      <c r="B614" s="1886"/>
      <c r="C614" s="1886"/>
      <c r="D614" s="1886"/>
      <c r="E614" s="1886"/>
      <c r="F614" s="1886"/>
      <c r="G614" s="1886"/>
      <c r="H614" s="1853"/>
      <c r="I614" s="1854"/>
    </row>
    <row r="615" spans="1:9">
      <c r="A615" s="840"/>
      <c r="B615" s="840"/>
      <c r="C615" s="840"/>
      <c r="G615" s="819"/>
    </row>
    <row r="616" spans="1:9">
      <c r="C616" s="816"/>
      <c r="D616" s="1876" t="s">
        <v>1280</v>
      </c>
      <c r="E616" s="1876"/>
      <c r="F616" s="1876"/>
      <c r="G616" s="819"/>
    </row>
    <row r="617" spans="1:9">
      <c r="A617" s="816"/>
      <c r="B617" s="816"/>
      <c r="C617" s="818"/>
      <c r="D617" s="794"/>
      <c r="G617" s="819"/>
    </row>
    <row r="618" spans="1:9" ht="14.4">
      <c r="A618" s="797"/>
      <c r="B618" s="798" t="s">
        <v>2644</v>
      </c>
      <c r="C618" s="818"/>
      <c r="D618" s="1921" t="s">
        <v>1502</v>
      </c>
      <c r="E618" s="1921"/>
      <c r="F618" s="1921"/>
      <c r="G618" s="819"/>
      <c r="I618" s="1774" t="s">
        <v>2478</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4">
      <c r="A625" s="797"/>
      <c r="B625" s="798" t="s">
        <v>2645</v>
      </c>
      <c r="C625" s="818"/>
      <c r="D625" s="1921" t="s">
        <v>1282</v>
      </c>
      <c r="E625" s="1921"/>
      <c r="F625" s="1921"/>
      <c r="G625" s="819"/>
      <c r="I625" s="1774" t="s">
        <v>2502</v>
      </c>
    </row>
    <row r="626" spans="1:9">
      <c r="A626" s="829"/>
      <c r="B626" s="829"/>
      <c r="C626" s="829"/>
      <c r="D626" s="1921"/>
      <c r="E626" s="1921"/>
      <c r="F626" s="1921"/>
      <c r="G626" s="819"/>
    </row>
    <row r="627" spans="1:9">
      <c r="A627" s="829"/>
      <c r="B627" s="829"/>
      <c r="C627" s="829"/>
      <c r="D627" s="785"/>
      <c r="E627" s="841"/>
      <c r="F627" s="841"/>
      <c r="G627" s="819"/>
    </row>
    <row r="628" spans="1:9" ht="14.4">
      <c r="A628" s="797"/>
      <c r="B628" s="798" t="s">
        <v>2645</v>
      </c>
      <c r="C628" s="829"/>
      <c r="D628" s="1878" t="s">
        <v>1439</v>
      </c>
      <c r="E628" s="1878"/>
      <c r="F628" s="1878"/>
      <c r="G628" s="819"/>
      <c r="I628" s="1774" t="s">
        <v>2451</v>
      </c>
    </row>
    <row r="629" spans="1:9" ht="14.4">
      <c r="A629" s="797"/>
      <c r="B629" s="797"/>
      <c r="C629" s="829"/>
      <c r="D629" s="1878"/>
      <c r="E629" s="1878"/>
      <c r="F629" s="1878"/>
      <c r="G629" s="819"/>
    </row>
    <row r="630" spans="1:9" ht="14.4">
      <c r="A630" s="797"/>
      <c r="B630" s="797"/>
      <c r="C630" s="829"/>
      <c r="D630" s="1878"/>
      <c r="E630" s="1878"/>
      <c r="F630" s="1878"/>
      <c r="G630" s="819"/>
    </row>
    <row r="631" spans="1:9">
      <c r="A631" s="829"/>
      <c r="B631" s="798" t="s">
        <v>2645</v>
      </c>
      <c r="C631" s="829"/>
      <c r="D631" s="1926" t="s">
        <v>1284</v>
      </c>
      <c r="E631" s="1926"/>
      <c r="F631" s="1926"/>
      <c r="G631" s="819"/>
      <c r="I631" s="1774" t="s">
        <v>2451</v>
      </c>
    </row>
    <row r="632" spans="1:9">
      <c r="A632" s="829"/>
      <c r="B632" s="829"/>
      <c r="C632" s="829"/>
      <c r="D632" s="727"/>
      <c r="E632" s="727"/>
      <c r="F632" s="727"/>
      <c r="G632" s="819"/>
    </row>
    <row r="633" spans="1:9">
      <c r="A633" s="1886" t="s">
        <v>1175</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1334</v>
      </c>
      <c r="E635" s="1986"/>
      <c r="F635" s="1986"/>
      <c r="G635" s="819"/>
    </row>
    <row r="636" spans="1:9">
      <c r="A636" s="795"/>
      <c r="B636" s="795"/>
      <c r="C636" s="795"/>
      <c r="D636" s="1987" t="s">
        <v>1335</v>
      </c>
      <c r="E636" s="1987"/>
      <c r="F636" s="1987"/>
      <c r="G636" s="819"/>
    </row>
    <row r="637" spans="1:9">
      <c r="A637" s="795"/>
      <c r="B637" s="795"/>
      <c r="C637" s="795"/>
      <c r="D637" s="727"/>
      <c r="E637" s="727"/>
      <c r="F637" s="727"/>
      <c r="G637" s="819"/>
    </row>
    <row r="638" spans="1:9" ht="12.75" customHeight="1">
      <c r="B638" s="798" t="s">
        <v>2645</v>
      </c>
      <c r="C638" s="829"/>
      <c r="D638" s="1963" t="s">
        <v>1523</v>
      </c>
      <c r="E638" s="1963"/>
      <c r="F638" s="1963"/>
      <c r="I638" s="1774" t="s">
        <v>2505</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2645</v>
      </c>
      <c r="C643" s="829"/>
      <c r="D643" s="1963" t="s">
        <v>1526</v>
      </c>
      <c r="E643" s="1963"/>
      <c r="F643" s="1963"/>
      <c r="G643" s="819"/>
      <c r="I643" s="1774" t="s">
        <v>2505</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2645</v>
      </c>
      <c r="C649" s="829"/>
      <c r="D649" s="1963" t="s">
        <v>1524</v>
      </c>
      <c r="E649" s="1963"/>
      <c r="F649" s="1963"/>
      <c r="G649" s="819"/>
      <c r="I649" s="1774" t="s">
        <v>2505</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2645</v>
      </c>
      <c r="C654" s="829"/>
      <c r="D654" s="1963" t="s">
        <v>1525</v>
      </c>
      <c r="E654" s="1963"/>
      <c r="F654" s="1963"/>
      <c r="G654" s="819"/>
      <c r="I654" s="1774"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1176</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1212</v>
      </c>
      <c r="E668" s="1926"/>
      <c r="F668" s="1926"/>
      <c r="G668" s="819"/>
      <c r="H668" s="842"/>
      <c r="I668" s="1841"/>
      <c r="J668" s="842"/>
      <c r="K668" s="842"/>
    </row>
    <row r="669" spans="1:11">
      <c r="A669" s="795"/>
      <c r="B669" s="795"/>
      <c r="C669" s="795"/>
      <c r="G669" s="819"/>
      <c r="H669" s="842"/>
      <c r="I669" s="1841"/>
      <c r="J669" s="842"/>
      <c r="K669" s="842"/>
    </row>
    <row r="670" spans="1:11" ht="14.4">
      <c r="A670" s="797"/>
      <c r="B670" s="798" t="s">
        <v>2644</v>
      </c>
      <c r="C670" s="795"/>
      <c r="D670" s="1926" t="s">
        <v>950</v>
      </c>
      <c r="E670" s="1926"/>
      <c r="F670" s="1926"/>
      <c r="G670" s="819"/>
      <c r="H670" s="842"/>
      <c r="I670" s="1841" t="s">
        <v>2479</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1213</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2645</v>
      </c>
      <c r="C675" s="795"/>
      <c r="D675" s="1921" t="s">
        <v>1405</v>
      </c>
      <c r="E675" s="1921"/>
      <c r="F675" s="1921"/>
      <c r="G675" s="819"/>
      <c r="H675" s="842"/>
      <c r="I675" s="1841" t="s">
        <v>2503</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2480</v>
      </c>
      <c r="J678" s="842"/>
      <c r="K678" s="842"/>
    </row>
    <row r="679" spans="1:11" ht="14.4">
      <c r="A679" s="797"/>
      <c r="B679" s="798" t="s">
        <v>2644</v>
      </c>
      <c r="C679" s="795"/>
      <c r="D679" s="1926" t="s">
        <v>990</v>
      </c>
      <c r="E679" s="1926"/>
      <c r="F679" s="1926"/>
      <c r="G679" s="819"/>
      <c r="H679" s="842"/>
      <c r="I679" s="1841"/>
      <c r="J679" s="842"/>
      <c r="K679" s="842"/>
    </row>
    <row r="680" spans="1:11" ht="14.4">
      <c r="A680" s="797"/>
      <c r="B680" s="797"/>
      <c r="C680" s="795"/>
      <c r="D680" s="1926" t="s">
        <v>961</v>
      </c>
      <c r="E680" s="1926"/>
      <c r="F680" s="1926"/>
      <c r="G680" s="819"/>
      <c r="H680" s="842"/>
      <c r="I680" s="1841"/>
      <c r="J680" s="842"/>
      <c r="K680" s="842"/>
    </row>
    <row r="681" spans="1:11">
      <c r="A681" s="795"/>
      <c r="B681" s="795"/>
      <c r="C681" s="795"/>
      <c r="D681" s="672"/>
      <c r="E681" s="1969" t="s">
        <v>1215</v>
      </c>
      <c r="F681" s="1969"/>
      <c r="G681" s="819"/>
      <c r="H681" s="842"/>
      <c r="I681" s="1841"/>
      <c r="J681" s="842"/>
      <c r="K681" s="842"/>
    </row>
    <row r="682" spans="1:11">
      <c r="A682" s="795"/>
      <c r="B682" s="795"/>
      <c r="C682" s="795"/>
      <c r="D682" s="794"/>
      <c r="G682" s="819"/>
      <c r="H682" s="842"/>
      <c r="I682" s="1841"/>
      <c r="J682" s="842"/>
      <c r="K682" s="842"/>
    </row>
    <row r="683" spans="1:11" ht="14.4">
      <c r="A683" s="797"/>
      <c r="B683" s="798" t="s">
        <v>2645</v>
      </c>
      <c r="C683" s="795"/>
      <c r="D683" s="1966" t="s">
        <v>1225</v>
      </c>
      <c r="E683" s="1966"/>
      <c r="F683" s="1966"/>
      <c r="G683" s="819"/>
      <c r="H683" s="842"/>
      <c r="I683" s="1841" t="s">
        <v>2452</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2645</v>
      </c>
      <c r="C690" s="834"/>
      <c r="D690" s="1966" t="s">
        <v>1407</v>
      </c>
      <c r="E690" s="1966"/>
      <c r="F690" s="1966"/>
      <c r="G690" s="844"/>
      <c r="H690" s="845"/>
      <c r="I690" s="1842" t="s">
        <v>2452</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2645</v>
      </c>
      <c r="C693" s="795"/>
      <c r="D693" s="1966" t="s">
        <v>1216</v>
      </c>
      <c r="E693" s="1966"/>
      <c r="F693" s="1966"/>
      <c r="G693" s="819"/>
      <c r="H693" s="842"/>
      <c r="I693" s="1841" t="s">
        <v>2452</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2645</v>
      </c>
      <c r="C706" s="795"/>
      <c r="D706" s="1966" t="s">
        <v>1223</v>
      </c>
      <c r="E706" s="1966"/>
      <c r="F706" s="1966"/>
      <c r="G706" s="819"/>
      <c r="H706" s="842"/>
      <c r="I706" s="1841" t="s">
        <v>2504</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2645</v>
      </c>
      <c r="C709" s="795"/>
      <c r="D709" s="1966" t="s">
        <v>1217</v>
      </c>
      <c r="E709" s="1966"/>
      <c r="F709" s="1966"/>
      <c r="G709" s="819"/>
      <c r="H709" s="842"/>
      <c r="I709" s="1841" t="s">
        <v>2504</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2645</v>
      </c>
      <c r="C713" s="795"/>
      <c r="D713" s="1966" t="s">
        <v>1218</v>
      </c>
      <c r="E713" s="1966"/>
      <c r="F713" s="1966"/>
      <c r="G713" s="819"/>
      <c r="H713" s="842"/>
      <c r="I713" s="1841" t="s">
        <v>2504</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4">
      <c r="A717" s="797"/>
      <c r="B717" s="798" t="s">
        <v>2645</v>
      </c>
      <c r="C717" s="795"/>
      <c r="D717" s="1921" t="s">
        <v>1219</v>
      </c>
      <c r="E717" s="1921"/>
      <c r="F717" s="1921"/>
      <c r="G717" s="819"/>
      <c r="H717" s="842"/>
      <c r="I717" s="1841" t="s">
        <v>2453</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4">
      <c r="A722" s="797"/>
      <c r="B722" s="798" t="s">
        <v>2645</v>
      </c>
      <c r="C722" s="795"/>
      <c r="D722" s="1966" t="s">
        <v>1352</v>
      </c>
      <c r="E722" s="1966"/>
      <c r="F722" s="1966"/>
      <c r="G722" s="819"/>
      <c r="H722" s="842"/>
      <c r="I722" s="1841" t="s">
        <v>2469</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1220</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1177</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65" customHeight="1">
      <c r="C733" s="795"/>
      <c r="D733" s="1959" t="s">
        <v>1193</v>
      </c>
      <c r="E733" s="1959"/>
      <c r="F733" s="1959"/>
      <c r="G733" s="847"/>
      <c r="H733" s="842"/>
      <c r="I733" s="1841"/>
      <c r="J733" s="842"/>
      <c r="K733" s="842"/>
    </row>
    <row r="734" spans="1:11">
      <c r="A734" s="795"/>
      <c r="B734" s="795"/>
      <c r="C734" s="795"/>
      <c r="D734" s="1900" t="s">
        <v>1194</v>
      </c>
      <c r="E734" s="1900"/>
      <c r="F734" s="1900"/>
      <c r="G734" s="847"/>
      <c r="H734" s="842"/>
      <c r="I734" s="1841"/>
      <c r="J734" s="842"/>
      <c r="K734" s="842"/>
    </row>
    <row r="735" spans="1:11">
      <c r="A735" s="795"/>
      <c r="B735" s="795"/>
      <c r="C735" s="795"/>
      <c r="G735" s="847"/>
      <c r="H735" s="842"/>
      <c r="I735" s="1841"/>
      <c r="J735" s="842"/>
      <c r="K735" s="842"/>
    </row>
    <row r="736" spans="1:11" s="791" customFormat="1" ht="14.4">
      <c r="A736" s="797"/>
      <c r="B736" s="798" t="s">
        <v>2644</v>
      </c>
      <c r="C736" s="788"/>
      <c r="D736" s="1921" t="s">
        <v>1195</v>
      </c>
      <c r="E736" s="1921"/>
      <c r="F736" s="1921"/>
      <c r="G736" s="847"/>
      <c r="H736" s="845"/>
      <c r="I736" s="1842" t="s">
        <v>2454</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2644</v>
      </c>
      <c r="C743" s="851"/>
      <c r="D743" s="1878" t="s">
        <v>1458</v>
      </c>
      <c r="E743" s="1878"/>
      <c r="F743" s="1878"/>
      <c r="G743" s="852"/>
      <c r="I743" s="1843" t="s">
        <v>2454</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4">
      <c r="A748" s="797"/>
      <c r="B748" s="798" t="s">
        <v>2645</v>
      </c>
      <c r="C748" s="851"/>
      <c r="D748" s="1973" t="s">
        <v>1459</v>
      </c>
      <c r="E748" s="1973"/>
      <c r="F748" s="1973"/>
      <c r="G748" s="852"/>
      <c r="I748" s="1843" t="s">
        <v>2455</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4">
      <c r="A752" s="797"/>
      <c r="B752" s="798" t="s">
        <v>2645</v>
      </c>
      <c r="C752" s="801"/>
      <c r="D752" s="1878" t="s">
        <v>1402</v>
      </c>
      <c r="E752" s="1878"/>
      <c r="F752" s="1878"/>
      <c r="G752" s="848"/>
      <c r="H752" s="842"/>
      <c r="I752" s="1841" t="s">
        <v>2454</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2645</v>
      </c>
      <c r="C755" s="801"/>
      <c r="D755" s="1878" t="s">
        <v>1424</v>
      </c>
      <c r="E755" s="1878"/>
      <c r="F755" s="1878"/>
      <c r="G755" s="848"/>
      <c r="H755" s="842"/>
      <c r="I755" s="1841" t="s">
        <v>2454</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2323</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2382</v>
      </c>
      <c r="E761" s="1971"/>
      <c r="F761" s="1971"/>
      <c r="G761" s="686"/>
    </row>
    <row r="762" spans="1:11">
      <c r="A762" s="93"/>
      <c r="B762" s="93"/>
      <c r="C762" s="1732"/>
      <c r="D762" s="1985" t="s">
        <v>2268</v>
      </c>
      <c r="E762" s="1985"/>
      <c r="F762" s="1985"/>
      <c r="G762" s="686"/>
    </row>
    <row r="763" spans="1:11">
      <c r="A763" s="93"/>
      <c r="B763" s="93"/>
      <c r="C763" s="1732"/>
      <c r="D763" s="733"/>
      <c r="E763" s="733"/>
      <c r="F763" s="733"/>
      <c r="G763" s="686"/>
    </row>
    <row r="764" spans="1:11">
      <c r="A764" s="93"/>
      <c r="B764" s="798" t="s">
        <v>2644</v>
      </c>
      <c r="C764" s="1732"/>
      <c r="D764" s="1905" t="s">
        <v>2269</v>
      </c>
      <c r="E764" s="1905"/>
      <c r="F764" s="1905"/>
      <c r="G764" s="686"/>
      <c r="I764" s="1841" t="s">
        <v>2506</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2645</v>
      </c>
      <c r="C768" s="1735"/>
      <c r="D768" s="1905" t="s">
        <v>2270</v>
      </c>
      <c r="E768" s="1905"/>
      <c r="F768" s="1905"/>
      <c r="G768" s="686"/>
      <c r="I768" s="1841" t="s">
        <v>2506</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4">
      <c r="A772" s="714"/>
      <c r="B772" s="798" t="s">
        <v>2645</v>
      </c>
      <c r="C772" s="1740"/>
      <c r="D772" s="1905" t="s">
        <v>2271</v>
      </c>
      <c r="E772" s="1905"/>
      <c r="F772" s="1905"/>
      <c r="G772" s="1739"/>
      <c r="I772" s="1841" t="s">
        <v>2506</v>
      </c>
    </row>
    <row r="773" spans="1:9" ht="14.4">
      <c r="A773" s="714"/>
      <c r="B773" s="714"/>
      <c r="C773" s="1740"/>
      <c r="D773" s="1905"/>
      <c r="E773" s="1905"/>
      <c r="F773" s="1905"/>
      <c r="G773" s="1739"/>
    </row>
    <row r="774" spans="1:9" ht="14.4">
      <c r="A774" s="714"/>
      <c r="B774" s="714"/>
      <c r="C774" s="1740"/>
      <c r="D774" s="1905"/>
      <c r="E774" s="1905"/>
      <c r="F774" s="1905"/>
      <c r="G774" s="1739"/>
    </row>
    <row r="775" spans="1:9" ht="14.4">
      <c r="A775" s="714"/>
      <c r="B775" s="714"/>
      <c r="C775" s="1740"/>
      <c r="D775" s="1708"/>
      <c r="E775" s="6"/>
      <c r="F775" s="6"/>
      <c r="G775" s="1739"/>
    </row>
    <row r="776" spans="1:9" ht="14.4">
      <c r="A776" s="714"/>
      <c r="B776" s="798" t="s">
        <v>2645</v>
      </c>
      <c r="C776" s="1740"/>
      <c r="D776" s="1905" t="s">
        <v>2272</v>
      </c>
      <c r="E776" s="1905"/>
      <c r="F776" s="1905"/>
      <c r="G776" s="1739"/>
      <c r="I776" s="1841" t="s">
        <v>2506</v>
      </c>
    </row>
    <row r="777" spans="1:9" ht="14.4">
      <c r="A777" s="714"/>
      <c r="B777" s="714"/>
      <c r="C777" s="1740"/>
      <c r="D777" s="1905"/>
      <c r="E777" s="1905"/>
      <c r="F777" s="1905"/>
      <c r="G777" s="1739"/>
    </row>
    <row r="778" spans="1:9" ht="14.4">
      <c r="A778" s="714"/>
      <c r="B778" s="714"/>
      <c r="C778" s="1740"/>
      <c r="D778" s="1905"/>
      <c r="E778" s="1905"/>
      <c r="F778" s="1905"/>
      <c r="G778" s="1739"/>
    </row>
    <row r="779" spans="1:9" ht="14.4">
      <c r="A779" s="714"/>
      <c r="B779" s="714"/>
      <c r="C779" s="1740"/>
      <c r="D779" s="1905"/>
      <c r="E779" s="1905"/>
      <c r="F779" s="1905"/>
      <c r="G779" s="1739"/>
    </row>
    <row r="780" spans="1:9" ht="14.4">
      <c r="A780" s="714"/>
      <c r="B780" s="714"/>
      <c r="C780" s="1740"/>
      <c r="D780" s="1905"/>
      <c r="E780" s="1905"/>
      <c r="F780" s="1905"/>
      <c r="G780" s="1739"/>
    </row>
    <row r="781" spans="1:9" ht="14.4">
      <c r="A781" s="714"/>
      <c r="B781" s="714"/>
      <c r="C781" s="1740"/>
      <c r="D781" s="1905"/>
      <c r="E781" s="1905"/>
      <c r="F781" s="1905"/>
      <c r="G781" s="1739"/>
    </row>
    <row r="782" spans="1:9" ht="14.4">
      <c r="A782" s="714"/>
      <c r="B782" s="714"/>
      <c r="C782" s="1740"/>
      <c r="D782" s="1905" t="s">
        <v>2324</v>
      </c>
      <c r="E782" s="1905"/>
      <c r="F782" s="1905"/>
      <c r="G782" s="1739"/>
    </row>
    <row r="783" spans="1:9" ht="14.4">
      <c r="A783" s="714"/>
      <c r="B783" s="714"/>
      <c r="C783" s="1740"/>
      <c r="D783" s="1905"/>
      <c r="E783" s="1905"/>
      <c r="F783" s="1905"/>
      <c r="G783" s="1739"/>
    </row>
    <row r="784" spans="1:9" ht="14.4">
      <c r="A784" s="714"/>
      <c r="B784" s="714"/>
      <c r="C784" s="1740"/>
      <c r="D784" s="1905"/>
      <c r="E784" s="1905"/>
      <c r="F784" s="1905"/>
      <c r="G784" s="1739"/>
    </row>
    <row r="785" spans="1:9" ht="14.4">
      <c r="A785" s="714"/>
      <c r="B785" s="556"/>
      <c r="C785" s="1740"/>
      <c r="D785" s="1741"/>
      <c r="E785" s="1741"/>
      <c r="F785" s="1741"/>
      <c r="G785" s="1739"/>
    </row>
    <row r="786" spans="1:9" ht="14.4">
      <c r="A786" s="714"/>
      <c r="B786" s="798" t="s">
        <v>2645</v>
      </c>
      <c r="C786" s="1740"/>
      <c r="D786" s="1905" t="s">
        <v>2273</v>
      </c>
      <c r="E786" s="1905"/>
      <c r="F786" s="1905"/>
      <c r="G786" s="1739"/>
      <c r="I786" s="1841" t="s">
        <v>2506</v>
      </c>
    </row>
    <row r="787" spans="1:9" ht="14.4">
      <c r="A787" s="714"/>
      <c r="B787" s="714"/>
      <c r="C787" s="1740"/>
      <c r="D787" s="1905"/>
      <c r="E787" s="1905"/>
      <c r="F787" s="1905"/>
      <c r="G787" s="1739"/>
    </row>
    <row r="788" spans="1:9" ht="14.4">
      <c r="A788" s="714"/>
      <c r="B788" s="714"/>
      <c r="C788" s="1740"/>
      <c r="D788" s="1905"/>
      <c r="E788" s="1905"/>
      <c r="F788" s="1905"/>
      <c r="G788" s="1739"/>
    </row>
    <row r="789" spans="1:9" ht="14.4">
      <c r="A789" s="714"/>
      <c r="B789" s="714"/>
      <c r="C789" s="1740"/>
      <c r="D789" s="1905"/>
      <c r="E789" s="1905"/>
      <c r="F789" s="1905"/>
      <c r="G789" s="1739"/>
    </row>
    <row r="790" spans="1:9" ht="14.4">
      <c r="A790" s="714"/>
      <c r="B790" s="714"/>
      <c r="C790" s="1740"/>
      <c r="D790" s="1905"/>
      <c r="E790" s="1905"/>
      <c r="F790" s="1905"/>
      <c r="G790" s="1739"/>
    </row>
    <row r="791" spans="1:9" ht="14.4">
      <c r="A791" s="714"/>
      <c r="B791" s="714"/>
      <c r="C791" s="1740"/>
      <c r="D791" s="1905"/>
      <c r="E791" s="1905"/>
      <c r="F791" s="1905"/>
      <c r="G791" s="1739"/>
    </row>
    <row r="792" spans="1:9" ht="14.4">
      <c r="A792" s="714"/>
      <c r="B792" s="714"/>
      <c r="C792" s="1740"/>
      <c r="D792" s="1717"/>
      <c r="E792" s="1717"/>
      <c r="F792" s="1717"/>
      <c r="G792" s="1739"/>
    </row>
    <row r="793" spans="1:9" ht="14.4">
      <c r="A793" s="714"/>
      <c r="B793" s="798" t="s">
        <v>2645</v>
      </c>
      <c r="C793" s="1740"/>
      <c r="D793" s="1905" t="s">
        <v>2274</v>
      </c>
      <c r="E793" s="1905"/>
      <c r="F793" s="1905"/>
      <c r="G793" s="1739"/>
      <c r="I793" s="1841" t="s">
        <v>2506</v>
      </c>
    </row>
    <row r="794" spans="1:9" ht="14.4">
      <c r="A794" s="714"/>
      <c r="B794" s="714"/>
      <c r="C794" s="1740"/>
      <c r="D794" s="1905"/>
      <c r="E794" s="1905"/>
      <c r="F794" s="1905"/>
      <c r="G794" s="1739"/>
    </row>
    <row r="795" spans="1:9" ht="14.4">
      <c r="A795" s="714"/>
      <c r="B795" s="714"/>
      <c r="C795" s="1740"/>
      <c r="D795" s="1905"/>
      <c r="E795" s="1905"/>
      <c r="F795" s="1905"/>
      <c r="G795" s="1739"/>
    </row>
    <row r="796" spans="1:9" ht="14.4">
      <c r="A796" s="714"/>
      <c r="B796" s="714"/>
      <c r="C796" s="1740"/>
      <c r="D796" s="1905"/>
      <c r="E796" s="1905"/>
      <c r="F796" s="1905"/>
      <c r="G796" s="1739"/>
    </row>
    <row r="797" spans="1:9" ht="14.4">
      <c r="A797" s="714"/>
      <c r="B797" s="714"/>
      <c r="C797" s="1740"/>
      <c r="D797" s="1905"/>
      <c r="E797" s="1905"/>
      <c r="F797" s="1905"/>
      <c r="G797" s="1739"/>
    </row>
    <row r="798" spans="1:9" ht="14.4">
      <c r="A798" s="714"/>
      <c r="B798" s="714"/>
      <c r="C798" s="1740"/>
      <c r="D798" s="1905"/>
      <c r="E798" s="1905"/>
      <c r="F798" s="1905"/>
      <c r="G798" s="1739"/>
    </row>
    <row r="799" spans="1:9" ht="14.4">
      <c r="A799" s="714"/>
      <c r="B799" s="714"/>
      <c r="C799" s="1740"/>
      <c r="D799" s="1717"/>
      <c r="E799" s="1717"/>
      <c r="F799" s="1717"/>
      <c r="G799" s="1739"/>
    </row>
    <row r="800" spans="1:9" ht="14.4">
      <c r="A800" s="714"/>
      <c r="B800" s="798" t="s">
        <v>2645</v>
      </c>
      <c r="C800" s="1740"/>
      <c r="D800" s="1918" t="s">
        <v>2275</v>
      </c>
      <c r="E800" s="1918"/>
      <c r="F800" s="1918"/>
      <c r="G800" s="1739"/>
      <c r="I800" s="1841" t="s">
        <v>2506</v>
      </c>
    </row>
    <row r="801" spans="1:9" ht="14.4">
      <c r="A801" s="714"/>
      <c r="B801" s="714"/>
      <c r="C801" s="1740"/>
      <c r="D801" s="1918"/>
      <c r="E801" s="1918"/>
      <c r="F801" s="1918"/>
      <c r="G801" s="1739"/>
    </row>
    <row r="802" spans="1:9">
      <c r="A802" s="1725"/>
      <c r="B802" s="1725"/>
      <c r="C802" s="1740"/>
      <c r="D802" s="1918"/>
      <c r="E802" s="1918"/>
      <c r="F802" s="1918"/>
      <c r="G802" s="1739"/>
    </row>
    <row r="803" spans="1:9" ht="14.4">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2276</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2325</v>
      </c>
      <c r="E809" s="1902"/>
      <c r="F809" s="1902"/>
      <c r="G809" s="678"/>
    </row>
    <row r="810" spans="1:9" ht="14.25" customHeight="1">
      <c r="A810" s="714"/>
      <c r="B810" s="714"/>
      <c r="C810" s="556"/>
      <c r="D810" s="1860" t="s">
        <v>2277</v>
      </c>
      <c r="E810" s="1860"/>
      <c r="F810" s="1860"/>
      <c r="G810" s="678"/>
    </row>
    <row r="811" spans="1:9" ht="12.75" customHeight="1">
      <c r="A811" s="714"/>
      <c r="B811" s="714"/>
      <c r="C811" s="556"/>
      <c r="D811" s="1703"/>
      <c r="E811" s="1703"/>
      <c r="F811" s="1703"/>
      <c r="G811" s="678"/>
    </row>
    <row r="812" spans="1:9" ht="12.75" customHeight="1">
      <c r="A812" s="1742"/>
      <c r="B812" s="798" t="s">
        <v>2644</v>
      </c>
      <c r="C812" s="1740"/>
      <c r="D812" s="1860" t="s">
        <v>2278</v>
      </c>
      <c r="E812" s="1860"/>
      <c r="F812" s="1860"/>
      <c r="G812" s="678"/>
      <c r="I812" s="1774" t="s">
        <v>2472</v>
      </c>
    </row>
    <row r="813" spans="1:9" ht="14.25" customHeight="1">
      <c r="A813" s="1725"/>
      <c r="B813" s="1725"/>
      <c r="C813" s="1740"/>
      <c r="D813" s="5" t="s">
        <v>2254</v>
      </c>
      <c r="E813" s="1864" t="s">
        <v>2279</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2280</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2644</v>
      </c>
      <c r="C826" s="1740"/>
      <c r="D826" s="1860" t="s">
        <v>2281</v>
      </c>
      <c r="E826" s="1860"/>
      <c r="F826" s="1860"/>
      <c r="G826" s="678"/>
      <c r="I826" s="1774" t="s">
        <v>2492</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2645</v>
      </c>
      <c r="C830" s="1744"/>
      <c r="D830" s="1991" t="s">
        <v>2282</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2283</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2645</v>
      </c>
      <c r="C839" s="1744"/>
      <c r="D839" s="1862" t="s">
        <v>2284</v>
      </c>
      <c r="E839" s="1862"/>
      <c r="F839" s="1862"/>
      <c r="G839" s="678"/>
      <c r="I839" s="1774" t="s">
        <v>2473</v>
      </c>
    </row>
    <row r="840" spans="1:9" ht="12.75" customHeight="1">
      <c r="A840" s="403"/>
      <c r="B840" s="403"/>
      <c r="C840" s="1744"/>
      <c r="D840" s="1862" t="s">
        <v>2285</v>
      </c>
      <c r="E840" s="1862"/>
      <c r="F840" s="1862"/>
      <c r="G840" s="678"/>
    </row>
    <row r="841" spans="1:9" ht="12.75" customHeight="1">
      <c r="A841" s="403"/>
      <c r="B841" s="403"/>
      <c r="C841" s="1744"/>
      <c r="D841" s="183" t="s">
        <v>2251</v>
      </c>
      <c r="E841" s="1992" t="s">
        <v>2286</v>
      </c>
      <c r="F841" s="1992"/>
      <c r="G841" s="678"/>
    </row>
    <row r="842" spans="1:9" ht="12.75" customHeight="1">
      <c r="A842" s="403"/>
      <c r="B842" s="403"/>
      <c r="C842" s="1744"/>
      <c r="D842" s="1721"/>
      <c r="E842" s="678"/>
      <c r="F842" s="678"/>
      <c r="G842" s="678"/>
    </row>
    <row r="843" spans="1:9" ht="12.75" customHeight="1">
      <c r="A843" s="403"/>
      <c r="B843" s="798" t="s">
        <v>2645</v>
      </c>
      <c r="C843" s="1744"/>
      <c r="D843" s="1862" t="s">
        <v>2287</v>
      </c>
      <c r="E843" s="1862"/>
      <c r="F843" s="1862"/>
      <c r="G843" s="678"/>
      <c r="I843" s="1774" t="s">
        <v>2493</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2326</v>
      </c>
      <c r="E850" s="1884"/>
      <c r="F850" s="1884"/>
      <c r="G850" s="1739"/>
    </row>
    <row r="851" spans="1:9" ht="12.75" customHeight="1">
      <c r="A851" s="1742"/>
      <c r="B851" s="1742"/>
      <c r="C851" s="313"/>
      <c r="D851" s="1993" t="s">
        <v>2289</v>
      </c>
      <c r="E851" s="1993"/>
      <c r="F851" s="1993"/>
      <c r="G851" s="1739"/>
    </row>
    <row r="852" spans="1:9" ht="12.75" customHeight="1">
      <c r="A852" s="1742"/>
      <c r="B852" s="1742"/>
      <c r="C852" s="313"/>
      <c r="D852" s="1750"/>
      <c r="E852" s="1750"/>
      <c r="F852" s="1750"/>
      <c r="G852" s="1739"/>
    </row>
    <row r="853" spans="1:9" ht="12.75" customHeight="1">
      <c r="A853" s="714"/>
      <c r="B853" s="798" t="s">
        <v>2644</v>
      </c>
      <c r="C853" s="556"/>
      <c r="D853" s="1885" t="s">
        <v>2290</v>
      </c>
      <c r="E853" s="1885"/>
      <c r="F853" s="1885"/>
      <c r="G853" s="1739"/>
      <c r="I853" s="1774" t="s">
        <v>2473</v>
      </c>
    </row>
    <row r="854" spans="1:9" ht="12.75" customHeight="1">
      <c r="A854" s="1742"/>
      <c r="B854" s="1742"/>
      <c r="C854" s="556"/>
      <c r="D854" s="5" t="s">
        <v>2251</v>
      </c>
      <c r="E854" s="1995" t="s">
        <v>2286</v>
      </c>
      <c r="F854" s="1995"/>
      <c r="G854" s="1739"/>
    </row>
    <row r="855" spans="1:9" ht="12.75" customHeight="1">
      <c r="A855" s="1742"/>
      <c r="B855" s="1742"/>
      <c r="C855" s="556"/>
      <c r="D855" s="1708"/>
      <c r="E855" s="1738"/>
      <c r="F855" s="1738"/>
      <c r="G855" s="1739"/>
    </row>
    <row r="856" spans="1:9" ht="12.75" customHeight="1">
      <c r="A856" s="714"/>
      <c r="B856" s="798" t="s">
        <v>2644</v>
      </c>
      <c r="C856" s="556"/>
      <c r="D856" s="1860" t="s">
        <v>2291</v>
      </c>
      <c r="E856" s="1934"/>
      <c r="F856" s="1934"/>
      <c r="G856" s="678"/>
      <c r="I856" s="1774" t="s">
        <v>2493</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2645</v>
      </c>
      <c r="C859" s="557"/>
      <c r="D859" s="1996" t="s">
        <v>2292</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2283</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2645</v>
      </c>
      <c r="C868" s="556"/>
      <c r="D868" s="1889" t="s">
        <v>2284</v>
      </c>
      <c r="E868" s="1889"/>
      <c r="F868" s="1889"/>
      <c r="G868" s="1739"/>
      <c r="I868" s="1774" t="s">
        <v>2473</v>
      </c>
    </row>
    <row r="869" spans="1:9" ht="12.75" customHeight="1">
      <c r="A869" s="714"/>
      <c r="B869" s="714"/>
      <c r="C869" s="556"/>
      <c r="D869" s="1889" t="s">
        <v>2285</v>
      </c>
      <c r="E869" s="1889"/>
      <c r="F869" s="1889"/>
      <c r="G869" s="1739"/>
    </row>
    <row r="870" spans="1:9" ht="12.75" customHeight="1">
      <c r="A870" s="714"/>
      <c r="B870" s="714"/>
      <c r="C870" s="556"/>
      <c r="D870" s="5" t="s">
        <v>1503</v>
      </c>
      <c r="E870" s="1997" t="s">
        <v>2286</v>
      </c>
      <c r="F870" s="1997"/>
      <c r="G870" s="1739"/>
    </row>
    <row r="871" spans="1:9" ht="12.75" customHeight="1">
      <c r="A871" s="714"/>
      <c r="B871" s="714"/>
      <c r="C871" s="556"/>
      <c r="D871" s="1708"/>
      <c r="E871" s="1738"/>
      <c r="F871" s="1738"/>
      <c r="G871" s="1739"/>
    </row>
    <row r="872" spans="1:9" ht="12.75" customHeight="1">
      <c r="A872" s="714"/>
      <c r="B872" s="798" t="s">
        <v>2645</v>
      </c>
      <c r="C872" s="556"/>
      <c r="D872" s="1860" t="s">
        <v>2287</v>
      </c>
      <c r="E872" s="1860"/>
      <c r="F872" s="1860"/>
      <c r="G872" s="1739"/>
      <c r="I872" s="1774" t="s">
        <v>2493</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2327</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2333</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2644</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4" t="s">
        <v>2328</v>
      </c>
      <c r="E883" s="1904"/>
      <c r="F883" s="1904"/>
      <c r="G883" s="1739"/>
    </row>
    <row r="884" spans="1:9" ht="12.75" customHeight="1">
      <c r="A884" s="1714"/>
      <c r="B884" s="1714"/>
      <c r="C884" s="1746"/>
      <c r="D884" s="1885" t="s">
        <v>2293</v>
      </c>
      <c r="E884" s="1885"/>
      <c r="F884" s="1885"/>
      <c r="G884" s="1739"/>
    </row>
    <row r="885" spans="1:9" ht="12.75" customHeight="1">
      <c r="A885" s="1756"/>
      <c r="B885" s="1756"/>
      <c r="C885" s="1740"/>
      <c r="D885" s="5"/>
      <c r="E885" s="1738"/>
      <c r="F885" s="1738"/>
      <c r="G885" s="1739"/>
    </row>
    <row r="886" spans="1:9" ht="12.75" customHeight="1">
      <c r="A886" s="714"/>
      <c r="B886" s="798" t="s">
        <v>2644</v>
      </c>
      <c r="C886" s="556"/>
      <c r="D886" s="1860" t="s">
        <v>2297</v>
      </c>
      <c r="E886" s="1860"/>
      <c r="F886" s="1860"/>
      <c r="G886" s="678"/>
      <c r="I886" s="1774" t="s">
        <v>2457</v>
      </c>
    </row>
    <row r="887" spans="1:9" ht="12.75" customHeight="1">
      <c r="A887" s="1742"/>
      <c r="B887" s="1742"/>
      <c r="C887" s="556"/>
      <c r="D887" s="1860"/>
      <c r="E887" s="1860"/>
      <c r="F887" s="1860"/>
      <c r="G887" s="678"/>
    </row>
    <row r="888" spans="1:9" s="1772" customFormat="1" ht="12.75" customHeight="1">
      <c r="A888" s="1846"/>
      <c r="B888" s="1846"/>
      <c r="C888" s="1746"/>
      <c r="D888" s="1860" t="s">
        <v>2296</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2644</v>
      </c>
      <c r="C891" s="486"/>
      <c r="D891" s="1992" t="s">
        <v>2294</v>
      </c>
      <c r="E891" s="1992"/>
      <c r="F891" s="1992"/>
      <c r="G891" s="1739"/>
      <c r="I891" s="1774" t="s">
        <v>2456</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2645</v>
      </c>
      <c r="C900" s="1740"/>
      <c r="D900" s="1860" t="s">
        <v>2298</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2645</v>
      </c>
      <c r="C903" s="1740"/>
      <c r="D903" s="1918" t="s">
        <v>2299</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2645</v>
      </c>
      <c r="C908" s="1740"/>
      <c r="D908" s="1885" t="s">
        <v>2300</v>
      </c>
      <c r="E908" s="1885"/>
      <c r="F908" s="1885"/>
      <c r="G908" s="1739"/>
    </row>
    <row r="909" spans="1:9" ht="12.75" customHeight="1">
      <c r="A909" s="1756"/>
      <c r="B909" s="1756"/>
      <c r="C909" s="1740"/>
      <c r="D909" s="1708"/>
      <c r="E909" s="1738"/>
      <c r="F909" s="1738"/>
      <c r="G909" s="1739"/>
    </row>
    <row r="910" spans="1:9" ht="12.75" customHeight="1">
      <c r="A910" s="1756"/>
      <c r="B910" s="798" t="s">
        <v>2645</v>
      </c>
      <c r="C910" s="1740"/>
      <c r="D910" s="1885" t="s">
        <v>2301</v>
      </c>
      <c r="E910" s="1885"/>
      <c r="F910" s="1885"/>
      <c r="G910" s="1739"/>
    </row>
    <row r="911" spans="1:9" ht="12.75" customHeight="1">
      <c r="A911" s="487"/>
      <c r="B911" s="487"/>
      <c r="C911" s="486"/>
      <c r="D911" s="183"/>
      <c r="E911" s="678"/>
      <c r="F911" s="1739"/>
      <c r="G911" s="1739"/>
    </row>
    <row r="912" spans="1:9" ht="12.75" customHeight="1">
      <c r="A912" s="1752"/>
      <c r="B912" s="798" t="s">
        <v>2644</v>
      </c>
      <c r="C912" s="1753"/>
      <c r="D912" s="1992" t="s">
        <v>2295</v>
      </c>
      <c r="E912" s="1992"/>
      <c r="F912" s="1992"/>
      <c r="G912" s="1754"/>
      <c r="I912" s="1774" t="s">
        <v>2508</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2644</v>
      </c>
      <c r="C922" s="486"/>
      <c r="D922" s="1994" t="s">
        <v>2511</v>
      </c>
      <c r="E922" s="1994"/>
      <c r="F922" s="1994"/>
      <c r="G922" s="1739"/>
      <c r="I922" s="1774" t="s">
        <v>2508</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2645</v>
      </c>
      <c r="C930" s="486"/>
      <c r="D930" s="1920" t="s">
        <v>2509</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2645</v>
      </c>
      <c r="C937" s="1740"/>
      <c r="D937" s="1998" t="s">
        <v>2302</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2645</v>
      </c>
      <c r="C942" s="486"/>
      <c r="D942" s="1992" t="s">
        <v>2510</v>
      </c>
      <c r="E942" s="1992"/>
      <c r="F942" s="1992"/>
      <c r="G942" s="1739"/>
      <c r="I942" s="1774" t="s">
        <v>2508</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2303</v>
      </c>
      <c r="E947" s="1884"/>
      <c r="F947" s="1884"/>
      <c r="G947" s="678"/>
    </row>
    <row r="948" spans="1:9" ht="12.75" customHeight="1">
      <c r="A948" s="714"/>
      <c r="B948" s="798" t="s">
        <v>2645</v>
      </c>
      <c r="C948" s="556"/>
      <c r="D948" s="1885" t="s">
        <v>2329</v>
      </c>
      <c r="E948" s="1885"/>
      <c r="F948" s="1885"/>
      <c r="G948" s="678"/>
      <c r="I948" s="1774" t="s">
        <v>2508</v>
      </c>
    </row>
    <row r="949" spans="1:9" ht="12.75" customHeight="1">
      <c r="A949" s="1742"/>
      <c r="B949" s="1742"/>
      <c r="C949" s="556"/>
      <c r="D949" s="6"/>
      <c r="E949" s="6"/>
      <c r="F949" s="6"/>
      <c r="G949" s="678"/>
    </row>
    <row r="950" spans="1:9" ht="12.75" customHeight="1">
      <c r="A950" s="1742"/>
      <c r="B950" s="1742"/>
      <c r="C950" s="556"/>
      <c r="D950" s="1884" t="s">
        <v>2304</v>
      </c>
      <c r="E950" s="1884"/>
      <c r="F950" s="1884"/>
      <c r="G950" s="677"/>
    </row>
    <row r="951" spans="1:9" ht="12.75" customHeight="1">
      <c r="A951" s="714"/>
      <c r="B951" s="798" t="s">
        <v>2645</v>
      </c>
      <c r="C951" s="556"/>
      <c r="D951" s="1860" t="s">
        <v>2305</v>
      </c>
      <c r="E951" s="1860"/>
      <c r="F951" s="1860"/>
      <c r="G951" s="677"/>
      <c r="I951" s="1774" t="s">
        <v>2508</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2306</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2330</v>
      </c>
      <c r="E969" s="1884"/>
      <c r="F969" s="1884"/>
      <c r="G969" s="678"/>
    </row>
    <row r="970" spans="1:9" ht="12.75" customHeight="1">
      <c r="A970" s="1714"/>
      <c r="B970" s="1714"/>
      <c r="C970" s="1746"/>
      <c r="D970" s="1885" t="s">
        <v>2307</v>
      </c>
      <c r="E970" s="1885"/>
      <c r="F970" s="1885"/>
      <c r="G970" s="678"/>
    </row>
    <row r="971" spans="1:9" ht="12.75" customHeight="1">
      <c r="A971" s="1714"/>
      <c r="B971" s="1714"/>
      <c r="C971" s="1746"/>
      <c r="D971" s="6"/>
      <c r="E971" s="6"/>
      <c r="F971" s="1738"/>
      <c r="G971" s="677"/>
    </row>
    <row r="972" spans="1:9" ht="12.75" customHeight="1">
      <c r="A972" s="1742"/>
      <c r="B972" s="798" t="s">
        <v>2644</v>
      </c>
      <c r="C972" s="556"/>
      <c r="D972" s="1864" t="s">
        <v>2308</v>
      </c>
      <c r="E972" s="1864"/>
      <c r="F972" s="1864"/>
      <c r="G972" s="677"/>
      <c r="I972" s="1774" t="s">
        <v>2486</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2645</v>
      </c>
      <c r="C981" s="313"/>
      <c r="D981" s="1862" t="s">
        <v>2309</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2645</v>
      </c>
      <c r="C986" s="313"/>
      <c r="D986" s="1862" t="s">
        <v>2310</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2645</v>
      </c>
      <c r="C989" s="556"/>
      <c r="D989" s="1885" t="s">
        <v>2311</v>
      </c>
      <c r="E989" s="1885"/>
      <c r="F989" s="1885"/>
      <c r="G989" s="677"/>
    </row>
    <row r="990" spans="1:7" ht="12.75" customHeight="1">
      <c r="A990" s="1742"/>
      <c r="B990" s="1742"/>
      <c r="C990" s="556"/>
      <c r="D990" s="6"/>
      <c r="E990" s="6"/>
      <c r="F990" s="6"/>
      <c r="G990" s="677"/>
    </row>
    <row r="991" spans="1:7" ht="12.75" customHeight="1">
      <c r="A991" s="714"/>
      <c r="B991" s="798" t="s">
        <v>2645</v>
      </c>
      <c r="C991" s="556"/>
      <c r="D991" s="1885" t="s">
        <v>2312</v>
      </c>
      <c r="E991" s="1885"/>
      <c r="F991" s="1885"/>
      <c r="G991" s="677"/>
    </row>
    <row r="992" spans="1:7" ht="12.75" customHeight="1">
      <c r="A992" s="1742"/>
      <c r="B992" s="1742"/>
      <c r="C992" s="556"/>
      <c r="D992" s="1708"/>
      <c r="E992" s="6"/>
      <c r="F992" s="6"/>
      <c r="G992" s="677"/>
    </row>
    <row r="993" spans="1:9" ht="12.75" customHeight="1">
      <c r="A993" s="714"/>
      <c r="B993" s="798" t="s">
        <v>2644</v>
      </c>
      <c r="C993" s="556"/>
      <c r="D993" s="1885" t="s">
        <v>2313</v>
      </c>
      <c r="E993" s="1885"/>
      <c r="F993" s="1885"/>
      <c r="G993" s="677"/>
    </row>
    <row r="994" spans="1:9" ht="12.75" customHeight="1">
      <c r="A994" s="1742"/>
      <c r="B994" s="1742"/>
      <c r="C994" s="556"/>
      <c r="D994" s="1708"/>
      <c r="E994" s="6"/>
      <c r="F994" s="6"/>
      <c r="G994" s="677"/>
    </row>
    <row r="995" spans="1:9" ht="12.75" customHeight="1">
      <c r="A995" s="714"/>
      <c r="B995" s="798" t="s">
        <v>2644</v>
      </c>
      <c r="C995" s="556"/>
      <c r="D995" s="1860" t="s">
        <v>2314</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2645</v>
      </c>
      <c r="C998" s="1759"/>
      <c r="D998" s="1903" t="s">
        <v>2315</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2645</v>
      </c>
      <c r="C1001" s="1759"/>
      <c r="D1001" s="2004" t="s">
        <v>2316</v>
      </c>
      <c r="E1001" s="2004"/>
      <c r="F1001" s="2004"/>
      <c r="G1001" s="1760"/>
    </row>
    <row r="1002" spans="1:9" ht="12.75" customHeight="1">
      <c r="A1002" s="1759"/>
      <c r="B1002" s="1759"/>
      <c r="C1002" s="1759"/>
      <c r="D1002" s="1761"/>
      <c r="E1002" s="1762"/>
      <c r="F1002" s="1762"/>
      <c r="G1002" s="1760"/>
    </row>
    <row r="1003" spans="1:9" ht="12.75" customHeight="1">
      <c r="A1003" s="714"/>
      <c r="B1003" s="798" t="s">
        <v>2645</v>
      </c>
      <c r="C1003" s="556"/>
      <c r="D1003" s="1885" t="s">
        <v>2317</v>
      </c>
      <c r="E1003" s="1885"/>
      <c r="F1003" s="1885"/>
      <c r="G1003" s="678"/>
    </row>
    <row r="1004" spans="1:9" ht="12.75" customHeight="1">
      <c r="A1004" s="714"/>
      <c r="B1004" s="714"/>
      <c r="C1004" s="556"/>
      <c r="D1004" s="1708"/>
      <c r="E1004" s="6"/>
      <c r="F1004" s="6"/>
      <c r="G1004" s="678"/>
    </row>
    <row r="1005" spans="1:9" ht="12.75" customHeight="1">
      <c r="A1005" s="714"/>
      <c r="B1005" s="798" t="s">
        <v>2645</v>
      </c>
      <c r="C1005" s="556"/>
      <c r="D1005" s="1860" t="s">
        <v>2318</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2319</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2320</v>
      </c>
      <c r="E1010" s="1904"/>
      <c r="F1010" s="1904"/>
      <c r="G1010" s="678"/>
    </row>
    <row r="1011" spans="1:9" ht="12.75" customHeight="1">
      <c r="A1011" s="1726"/>
      <c r="B1011" s="1726"/>
      <c r="C1011" s="557"/>
      <c r="D1011" s="2003" t="s">
        <v>2321</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2335</v>
      </c>
      <c r="E1013" s="1904"/>
      <c r="F1013" s="1904"/>
      <c r="G1013" s="678"/>
      <c r="I1013" s="1774" t="s">
        <v>2458</v>
      </c>
    </row>
    <row r="1014" spans="1:9" ht="12.75" customHeight="1">
      <c r="A1014" s="1742"/>
      <c r="B1014" s="798" t="s">
        <v>2644</v>
      </c>
      <c r="C1014" s="556"/>
      <c r="D1014" s="2003" t="s">
        <v>1504</v>
      </c>
      <c r="E1014" s="2003"/>
      <c r="F1014" s="2003"/>
      <c r="G1014" s="678"/>
    </row>
    <row r="1015" spans="1:9" s="1772" customFormat="1" ht="12.75" customHeight="1">
      <c r="A1015" s="1742"/>
      <c r="B1015" s="714"/>
      <c r="C1015" s="556"/>
      <c r="D1015" s="1999" t="s">
        <v>2322</v>
      </c>
      <c r="E1015" s="1999"/>
      <c r="F1015" s="1999"/>
      <c r="G1015" s="678"/>
      <c r="I1015" s="1774"/>
    </row>
    <row r="1016" spans="1:9" ht="12.75" customHeight="1">
      <c r="A1016" s="1742"/>
      <c r="B1016" s="1742"/>
      <c r="C1016" s="556"/>
      <c r="D1016" s="2003"/>
      <c r="E1016" s="2003"/>
      <c r="F1016" s="2003"/>
      <c r="G1016" s="678"/>
    </row>
    <row r="1017" spans="1:9" ht="12.75" customHeight="1">
      <c r="A1017" s="2000" t="s">
        <v>2331</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1505</v>
      </c>
      <c r="E1019" s="1898"/>
      <c r="F1019" s="1898"/>
      <c r="G1019" s="686"/>
    </row>
    <row r="1020" spans="1:9" ht="12.75" customHeight="1">
      <c r="A1020" s="254"/>
      <c r="B1020" s="1775" t="s">
        <v>2644</v>
      </c>
      <c r="C1020" s="1776"/>
      <c r="D1020" s="1877" t="s">
        <v>1504</v>
      </c>
      <c r="E1020" s="1877"/>
      <c r="F1020" s="1877"/>
      <c r="G1020" s="686"/>
    </row>
    <row r="1021" spans="1:9" ht="12.75" customHeight="1">
      <c r="A1021" s="254"/>
      <c r="B1021" s="1772"/>
      <c r="C1021" s="1776"/>
      <c r="D1021" s="1877" t="s">
        <v>2332</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1184</v>
      </c>
      <c r="E1023" s="2001"/>
      <c r="F1023" s="2001"/>
      <c r="G1023" s="686"/>
      <c r="I1023" s="1774" t="s">
        <v>2487</v>
      </c>
    </row>
    <row r="1024" spans="1:9" ht="12.75" customHeight="1">
      <c r="A1024" s="503"/>
      <c r="B1024" s="503"/>
      <c r="C1024" s="502"/>
      <c r="D1024" s="2002" t="s">
        <v>1201</v>
      </c>
      <c r="E1024" s="2002"/>
      <c r="F1024" s="2002"/>
      <c r="G1024" s="1763"/>
    </row>
    <row r="1025" spans="1:9" ht="12.75" customHeight="1">
      <c r="A1025" s="714"/>
      <c r="B1025" s="1775" t="s">
        <v>2645</v>
      </c>
      <c r="C1025" s="557"/>
      <c r="D1025" s="1889" t="s">
        <v>1069</v>
      </c>
      <c r="E1025" s="1889"/>
      <c r="F1025" s="1889"/>
      <c r="G1025" s="678"/>
    </row>
    <row r="1026" spans="1:9" ht="12.75" customHeight="1">
      <c r="A1026" s="1726"/>
      <c r="B1026" s="1726"/>
      <c r="C1026" s="557"/>
      <c r="D1026" s="6"/>
      <c r="E1026" s="1976" t="s">
        <v>1185</v>
      </c>
      <c r="F1026" s="1976"/>
      <c r="G1026" s="678"/>
    </row>
    <row r="1027" spans="1:9">
      <c r="A1027" s="790"/>
      <c r="B1027" s="790"/>
      <c r="C1027" s="790"/>
      <c r="D1027" s="790"/>
      <c r="E1027" s="790"/>
      <c r="F1027" s="790"/>
      <c r="G1027" s="790"/>
    </row>
    <row r="1028" spans="1:9">
      <c r="A1028" s="2000" t="s">
        <v>2352</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2645</v>
      </c>
      <c r="C1033" s="790"/>
      <c r="D1033" s="2007" t="s">
        <v>2336</v>
      </c>
      <c r="E1033" s="2007"/>
      <c r="F1033" s="2007"/>
      <c r="G1033" s="790"/>
      <c r="I1033" s="1774" t="s">
        <v>2459</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2007" t="s">
        <v>2340</v>
      </c>
      <c r="E1043" s="2007"/>
      <c r="F1043" s="2007"/>
      <c r="G1043" s="790"/>
      <c r="I1043" s="1774" t="s">
        <v>2461</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2341</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2645</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2645</v>
      </c>
      <c r="C1058" s="790"/>
      <c r="D1058" s="1766" t="s">
        <v>2350</v>
      </c>
      <c r="E1058" s="1771"/>
      <c r="F1058" s="790"/>
      <c r="G1058" s="790"/>
      <c r="I1058" s="1774" t="s">
        <v>2464</v>
      </c>
    </row>
    <row r="1059" spans="1:9" s="1772" customFormat="1">
      <c r="D1059" s="2008" t="s">
        <v>2351</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2645</v>
      </c>
      <c r="C1066" s="790"/>
      <c r="D1066" s="2005" t="s">
        <v>2343</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0" t="s">
        <v>2353</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2645</v>
      </c>
      <c r="C1076" s="790"/>
      <c r="D1076" s="2005" t="s">
        <v>2354</v>
      </c>
      <c r="E1076" s="2005"/>
      <c r="F1076" s="2005"/>
      <c r="G1076" s="790"/>
      <c r="I1076" s="1774" t="s">
        <v>2466</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2645</v>
      </c>
      <c r="C1080" s="790"/>
      <c r="D1080" s="2005" t="s">
        <v>2355</v>
      </c>
      <c r="E1080" s="2005"/>
      <c r="F1080" s="2005"/>
      <c r="G1080" s="790"/>
      <c r="I1080" s="1774" t="s">
        <v>2467</v>
      </c>
    </row>
    <row r="1081" spans="1:9" s="1772" customFormat="1">
      <c r="D1081" s="2005"/>
      <c r="E1081" s="2005"/>
      <c r="F1081" s="2005"/>
      <c r="I1081" s="1774"/>
    </row>
    <row r="1082" spans="1:9" s="1772" customFormat="1">
      <c r="D1082" s="1767"/>
      <c r="I1082" s="1774"/>
    </row>
    <row r="1083" spans="1:9">
      <c r="A1083" s="790"/>
      <c r="B1083" s="1775" t="s">
        <v>2645</v>
      </c>
      <c r="C1083" s="790"/>
      <c r="D1083" s="2005" t="s">
        <v>2514</v>
      </c>
      <c r="E1083" s="2005"/>
      <c r="F1083" s="2005"/>
      <c r="G1083" s="790"/>
      <c r="I1083" s="1774" t="s">
        <v>2512</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2513</v>
      </c>
    </row>
    <row r="1090" spans="1:9">
      <c r="A1090" s="790"/>
      <c r="B1090" s="1775" t="s">
        <v>2645</v>
      </c>
      <c r="C1090" s="790"/>
      <c r="D1090" s="2005" t="s">
        <v>2356</v>
      </c>
      <c r="E1090" s="2005"/>
      <c r="F1090" s="2005"/>
      <c r="G1090" s="790"/>
      <c r="I1090" s="1837" t="s">
        <v>2468</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2645</v>
      </c>
      <c r="C1094" s="790"/>
      <c r="D1094" s="2006" t="s">
        <v>2515</v>
      </c>
      <c r="E1094" s="2006"/>
      <c r="F1094" s="2006"/>
      <c r="G1094" s="790"/>
      <c r="I1094" s="1774" t="s">
        <v>2469</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2645</v>
      </c>
      <c r="D1098" s="1862" t="s">
        <v>2517</v>
      </c>
      <c r="E1098" s="1862"/>
      <c r="F1098" s="1862"/>
      <c r="I1098" s="1774" t="s">
        <v>2516</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1"/>
      <c r="AN8" s="1571"/>
      <c r="AO8" s="1571"/>
      <c r="AP8" s="1571"/>
      <c r="AQ8" s="1571"/>
      <c r="AR8" s="1571"/>
      <c r="AS8" s="1571"/>
      <c r="AT8" s="1571"/>
      <c r="AU8" s="1571"/>
      <c r="AV8" s="1571"/>
      <c r="AW8" s="1571"/>
      <c r="AX8" s="1571"/>
      <c r="AY8" s="1571"/>
    </row>
    <row r="9" spans="1:96" s="719" customFormat="1" ht="13.2">
      <c r="A9" s="2088" t="s">
        <v>1990</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0"/>
      <c r="AN9" s="1510"/>
      <c r="AO9" s="1510"/>
      <c r="AP9" s="1510"/>
      <c r="AQ9" s="1510"/>
      <c r="AR9" s="1510"/>
      <c r="AS9" s="1510"/>
      <c r="AT9" s="1510"/>
      <c r="AU9" s="1510"/>
      <c r="AV9" s="1510"/>
      <c r="AW9" s="1510"/>
      <c r="AX9" s="1510"/>
      <c r="AY9" s="1510"/>
      <c r="CR9" s="25"/>
    </row>
    <row r="10" spans="1:96" ht="15" customHeight="1">
      <c r="A10" s="2226" t="s">
        <v>1991</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88" t="s">
        <v>2011</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0"/>
      <c r="AN11" s="1510"/>
      <c r="AO11" s="1510"/>
      <c r="AP11" s="1510"/>
      <c r="AQ11" s="1510"/>
      <c r="AR11" s="1510"/>
      <c r="AS11" s="1510"/>
      <c r="AT11" s="1510"/>
      <c r="AU11" s="1510"/>
      <c r="AV11" s="1510"/>
      <c r="AW11" s="1510"/>
      <c r="AX11" s="1510"/>
      <c r="AY11" s="1510"/>
    </row>
    <row r="12" spans="1:96" ht="13.2">
      <c r="A12" s="2233" t="s">
        <v>2519</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3.2">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5" t="s">
        <v>2540</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214" t="s">
        <v>2522</v>
      </c>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row>
    <row r="19" spans="1:96" ht="12.75"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1115</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1369564</v>
      </c>
      <c r="N26" s="2236"/>
      <c r="O26" s="2236"/>
      <c r="P26" s="2236"/>
      <c r="Q26" s="223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4">
        <f>'Basis &amp; Credits'!AB77</f>
        <v>1558402</v>
      </c>
      <c r="N27" s="2144"/>
      <c r="O27" s="2144"/>
      <c r="P27" s="2144"/>
      <c r="Q27" s="2144"/>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8" t="s">
        <v>705</v>
      </c>
      <c r="P33" s="203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9"/>
      <c r="H122" s="2229"/>
      <c r="I122" s="239" t="s">
        <v>187</v>
      </c>
      <c r="L122" s="2229"/>
      <c r="M122" s="2229"/>
      <c r="N122" s="222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2" t="s">
        <v>2525</v>
      </c>
      <c r="D124" s="2202"/>
      <c r="E124" s="2202"/>
      <c r="F124" s="2202"/>
      <c r="G124" s="2202"/>
      <c r="H124" s="2202"/>
      <c r="I124" s="2202"/>
      <c r="J124" s="2202"/>
      <c r="K124" s="220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229"/>
      <c r="Z126" s="2229"/>
      <c r="AA126" s="2229"/>
      <c r="AB126" s="2229"/>
      <c r="AC126" s="2229"/>
      <c r="AD126" s="2229"/>
      <c r="AE126" s="2229"/>
      <c r="AF126" s="2229"/>
      <c r="AG126" s="2229"/>
      <c r="AH126" s="2229"/>
      <c r="AI126" s="2229"/>
      <c r="AJ126" s="2229"/>
      <c r="AK126" s="2229"/>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35" t="s">
        <v>2523</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2524</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14" t="s">
        <v>2527</v>
      </c>
      <c r="P153" s="2212"/>
      <c r="Q153" s="2212"/>
      <c r="R153" s="2212"/>
      <c r="S153" s="2212"/>
      <c r="T153" s="2212"/>
      <c r="U153" s="2212"/>
      <c r="V153" s="2212"/>
      <c r="W153" s="2212"/>
      <c r="X153" s="2212"/>
      <c r="Y153" s="2212"/>
      <c r="Z153" s="2212"/>
      <c r="AA153" s="2212"/>
      <c r="AB153" s="2212"/>
      <c r="AC153" s="2212"/>
      <c r="AD153" s="2212"/>
      <c r="AE153" s="2212"/>
      <c r="AF153" s="2212"/>
      <c r="AG153" s="2212"/>
      <c r="AH153" s="2212"/>
    </row>
    <row r="154" spans="1:96" ht="12.75" customHeight="1">
      <c r="D154" s="466" t="s">
        <v>462</v>
      </c>
      <c r="F154" s="32"/>
      <c r="G154" s="32"/>
      <c r="H154" s="32"/>
      <c r="I154" s="32"/>
      <c r="J154" s="32"/>
      <c r="K154" s="32"/>
      <c r="L154" s="32"/>
      <c r="M154" s="32"/>
      <c r="N154" s="32"/>
      <c r="O154" s="2175" t="s">
        <v>2526</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3.2">
      <c r="D155" s="13" t="s">
        <v>463</v>
      </c>
      <c r="F155" s="13"/>
      <c r="G155" s="13"/>
      <c r="H155" s="13"/>
      <c r="I155" s="13"/>
      <c r="J155" s="13"/>
      <c r="K155" s="13"/>
      <c r="L155" s="13"/>
      <c r="M155" s="13"/>
      <c r="N155" s="13"/>
      <c r="O155" s="2239" t="s">
        <v>2528</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3.2">
      <c r="D156" s="32" t="s">
        <v>322</v>
      </c>
      <c r="F156" s="32"/>
      <c r="G156" s="32"/>
      <c r="H156" s="32"/>
      <c r="I156" s="32"/>
      <c r="J156" s="32"/>
      <c r="K156" s="32"/>
      <c r="L156" s="32"/>
      <c r="M156" s="32"/>
      <c r="N156" s="32"/>
      <c r="O156" s="2039" t="s">
        <v>2529</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2">
      <c r="D157" s="32" t="s">
        <v>323</v>
      </c>
      <c r="F157" s="32"/>
      <c r="G157" s="32"/>
      <c r="H157" s="32"/>
      <c r="I157" s="32"/>
      <c r="J157" s="32"/>
      <c r="K157" s="32"/>
      <c r="L157" s="32"/>
      <c r="M157" s="32"/>
      <c r="N157" s="32"/>
      <c r="O157" s="2214" t="s">
        <v>2530</v>
      </c>
      <c r="P157" s="2212"/>
      <c r="Q157" s="2212"/>
      <c r="R157" s="2212"/>
      <c r="S157" s="2212"/>
      <c r="T157" s="2212"/>
      <c r="U157" s="2212"/>
      <c r="V157" s="2212"/>
      <c r="W157" s="2212"/>
      <c r="X157" s="2212"/>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241">
        <v>93550</v>
      </c>
      <c r="P158" s="2241"/>
      <c r="Q158" s="2241"/>
      <c r="R158" s="2241"/>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203" t="s">
        <v>2532</v>
      </c>
      <c r="P159" s="2203"/>
      <c r="Q159" s="2203"/>
      <c r="R159" s="2203"/>
      <c r="S159" s="2203"/>
      <c r="T159" s="2203"/>
      <c r="V159" s="146" t="s">
        <v>277</v>
      </c>
      <c r="W159" s="2242"/>
      <c r="X159" s="2242"/>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203" t="s">
        <v>2531</v>
      </c>
      <c r="P160" s="2203"/>
      <c r="Q160" s="2203"/>
      <c r="R160" s="2203"/>
      <c r="S160" s="2203"/>
      <c r="T160" s="2203"/>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204" t="s">
        <v>2533</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205" t="s">
        <v>1455</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083" t="s">
        <v>571</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709</v>
      </c>
      <c r="BT169" s="12" t="s">
        <v>520</v>
      </c>
    </row>
    <row r="170" spans="1:72" ht="13.8"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2">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2">
      <c r="A174" s="25"/>
      <c r="C174" s="38"/>
      <c r="D174" s="58" t="s">
        <v>1408</v>
      </c>
      <c r="E174" s="25"/>
      <c r="F174" s="25"/>
      <c r="G174" s="25"/>
      <c r="H174" s="25"/>
      <c r="I174" s="25"/>
      <c r="J174" s="2039" t="s">
        <v>2534</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2">
      <c r="A175" s="25"/>
      <c r="C175" s="13"/>
      <c r="D175" s="58" t="s">
        <v>331</v>
      </c>
      <c r="F175" s="719"/>
      <c r="G175" s="719"/>
      <c r="H175" s="719"/>
      <c r="I175" s="719"/>
      <c r="J175" s="719"/>
      <c r="K175" s="719"/>
      <c r="L175" s="719"/>
      <c r="M175" s="719"/>
      <c r="N175" s="719"/>
      <c r="O175" s="42"/>
      <c r="Q175" s="25"/>
      <c r="R175" s="25"/>
      <c r="T175" s="719"/>
      <c r="U175" s="2038" t="s">
        <v>705</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c r="V176" s="2155"/>
      <c r="W176" s="4" t="s">
        <v>315</v>
      </c>
      <c r="X176" s="2223"/>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2">
      <c r="A177" s="25"/>
      <c r="B177" s="12"/>
      <c r="C177" s="43"/>
      <c r="D177" s="25" t="s">
        <v>255</v>
      </c>
      <c r="E177" s="12"/>
      <c r="F177" s="12"/>
      <c r="G177" s="12"/>
      <c r="H177" s="12"/>
      <c r="I177" s="12"/>
      <c r="J177" s="12"/>
      <c r="K177" s="12"/>
      <c r="L177" s="12"/>
      <c r="M177" s="25"/>
      <c r="N177" s="12"/>
      <c r="O177" s="12"/>
      <c r="P177" s="12"/>
      <c r="Q177" s="12"/>
      <c r="R177" s="2038"/>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190"/>
      <c r="AJ178" s="2190"/>
      <c r="AK178" s="219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464</v>
      </c>
      <c r="E180" s="25"/>
      <c r="X180" s="2038" t="s">
        <v>705</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612</v>
      </c>
      <c r="E184" s="25"/>
      <c r="F184" s="25"/>
      <c r="G184" s="25"/>
      <c r="H184" s="25"/>
      <c r="I184" s="2040" t="str">
        <f>H18</f>
        <v>Juniper Valley Townhomes</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2">
      <c r="A185" s="25"/>
      <c r="C185" s="45"/>
      <c r="D185" s="25" t="s">
        <v>613</v>
      </c>
      <c r="E185" s="25"/>
      <c r="F185" s="25"/>
      <c r="G185" s="25"/>
      <c r="H185" s="25"/>
      <c r="I185" s="2042" t="s">
        <v>2630</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6" t="s">
        <v>2598</v>
      </c>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614</v>
      </c>
      <c r="E189" s="25"/>
      <c r="I189" s="2039" t="s">
        <v>2530</v>
      </c>
      <c r="J189" s="2039"/>
      <c r="K189" s="2039"/>
      <c r="L189" s="2039"/>
      <c r="M189" s="2039"/>
      <c r="N189" s="2039"/>
      <c r="O189" s="2039"/>
      <c r="P189" s="2039"/>
      <c r="Q189" s="25" t="s">
        <v>616</v>
      </c>
      <c r="T189" s="2039" t="s">
        <v>526</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2">
      <c r="A190" s="25"/>
      <c r="C190" s="46"/>
      <c r="D190" s="25" t="s">
        <v>617</v>
      </c>
      <c r="E190" s="25"/>
      <c r="F190" s="25"/>
      <c r="G190" s="25"/>
      <c r="I190" s="2042">
        <v>93550</v>
      </c>
      <c r="J190" s="2042"/>
      <c r="K190" s="2042"/>
      <c r="L190" s="2042"/>
      <c r="M190" s="2042"/>
      <c r="N190" s="2042"/>
      <c r="O190" s="25" t="s">
        <v>619</v>
      </c>
      <c r="P190" s="25"/>
      <c r="Q190" s="25"/>
      <c r="R190" s="25"/>
      <c r="S190" s="25"/>
      <c r="T190" s="2231">
        <v>9106.01</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086" t="s">
        <v>2535</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224" t="s">
        <v>2631</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2038" t="s">
        <v>705</v>
      </c>
      <c r="U194" s="2038"/>
      <c r="W194" s="25" t="s">
        <v>721</v>
      </c>
      <c r="X194" s="25"/>
      <c r="Y194" s="25"/>
      <c r="Z194" s="25"/>
      <c r="AA194" s="25"/>
      <c r="AB194" s="25"/>
      <c r="AC194" s="25"/>
      <c r="AD194" s="25"/>
      <c r="AE194" s="25"/>
      <c r="AF194" s="25"/>
      <c r="AG194" s="25"/>
      <c r="AH194" s="2038">
        <v>25</v>
      </c>
      <c r="AI194" s="2038"/>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58" t="s">
        <v>577</v>
      </c>
      <c r="U195" s="2058"/>
      <c r="V195" s="12"/>
      <c r="W195" s="25" t="s">
        <v>722</v>
      </c>
      <c r="X195" s="25"/>
      <c r="Y195" s="25"/>
      <c r="Z195" s="25"/>
      <c r="AA195" s="25"/>
      <c r="AB195" s="25"/>
      <c r="AC195" s="25"/>
      <c r="AD195" s="25"/>
      <c r="AE195" s="25"/>
      <c r="AF195" s="25"/>
      <c r="AG195" s="25"/>
      <c r="AH195" s="2038">
        <v>36</v>
      </c>
      <c r="AI195" s="2038"/>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058" t="s">
        <v>705</v>
      </c>
      <c r="U196" s="2058"/>
      <c r="W196" s="25" t="s">
        <v>723</v>
      </c>
      <c r="X196" s="25"/>
      <c r="Y196" s="25"/>
      <c r="Z196" s="25"/>
      <c r="AA196" s="25"/>
      <c r="AB196" s="25"/>
      <c r="AC196" s="25"/>
      <c r="AD196" s="25"/>
      <c r="AE196" s="25"/>
      <c r="AF196" s="25"/>
      <c r="AG196" s="25"/>
      <c r="AH196" s="2038">
        <v>21</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8"/>
      <c r="U197" s="205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8" t="s">
        <v>705</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27">
        <f>M26</f>
        <v>1369564</v>
      </c>
      <c r="Q203" s="2222"/>
      <c r="R203" s="2222"/>
      <c r="S203" s="2222"/>
      <c r="T203" s="2222"/>
      <c r="U203" s="2222"/>
      <c r="V203" s="25"/>
      <c r="W203" s="25"/>
      <c r="X203" s="25"/>
      <c r="Y203" s="25"/>
      <c r="Z203" s="2220" t="s">
        <v>2633</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5" t="s">
        <v>1476</v>
      </c>
      <c r="E204" s="2040"/>
      <c r="F204" s="2040"/>
      <c r="G204" s="2040"/>
      <c r="H204" s="2040"/>
      <c r="I204" s="2040"/>
      <c r="J204" s="2040"/>
      <c r="K204" s="2040"/>
      <c r="L204" s="2040"/>
      <c r="M204" s="2040"/>
      <c r="P204" s="2222">
        <f>M27</f>
        <v>1558402</v>
      </c>
      <c r="Q204" s="2222"/>
      <c r="R204" s="2222"/>
      <c r="S204" s="2222"/>
      <c r="T204" s="2222"/>
      <c r="U204" s="2222"/>
      <c r="V204" s="47"/>
      <c r="W204" s="58" t="s">
        <v>2218</v>
      </c>
      <c r="Z204" s="2220"/>
      <c r="AA204" s="2220"/>
      <c r="AB204" s="2220"/>
      <c r="AC204" s="2220"/>
      <c r="AD204" s="2220"/>
      <c r="AE204" s="2220"/>
      <c r="AF204" s="2220"/>
      <c r="AG204" s="25" t="s">
        <v>1477</v>
      </c>
      <c r="AH204" s="25"/>
      <c r="AI204" s="25"/>
      <c r="AJ204" s="25"/>
      <c r="AK204" s="25"/>
      <c r="AL204" s="25"/>
      <c r="AM204" s="25"/>
      <c r="AN204" s="25"/>
      <c r="AO204" s="25"/>
      <c r="AP204" s="2038" t="s">
        <v>705</v>
      </c>
      <c r="AQ204" s="2038"/>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212" t="s">
        <v>2632</v>
      </c>
      <c r="E207" s="2212"/>
      <c r="F207" s="2212"/>
      <c r="G207" s="2212"/>
      <c r="H207" s="2212"/>
      <c r="I207" s="2212"/>
      <c r="J207" s="2212"/>
      <c r="K207" s="2212"/>
      <c r="L207" s="2212"/>
      <c r="M207" s="22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2">
      <c r="C210" s="45"/>
      <c r="D210" s="2212" t="s">
        <v>1154</v>
      </c>
      <c r="E210" s="2212"/>
      <c r="F210" s="2212"/>
      <c r="G210" s="2212"/>
      <c r="H210" s="2212"/>
      <c r="I210" s="2212"/>
      <c r="J210" s="2212"/>
      <c r="K210" s="2212"/>
      <c r="L210" s="2212"/>
      <c r="M210" s="221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0" t="s">
        <v>625</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2" t="s">
        <v>938</v>
      </c>
      <c r="E219" s="2212"/>
      <c r="F219" s="2212"/>
      <c r="G219" s="2212"/>
      <c r="H219" s="2212"/>
      <c r="I219" s="2212"/>
      <c r="J219" s="2212"/>
      <c r="K219" s="2212"/>
      <c r="L219" s="2212"/>
      <c r="M219" s="2212"/>
      <c r="N219" s="2212"/>
      <c r="O219" s="2212"/>
      <c r="P219" s="2212"/>
      <c r="Q219" s="2212"/>
      <c r="R219" s="2212"/>
      <c r="S219" s="2212"/>
      <c r="T219" s="2212"/>
      <c r="U219" s="2212"/>
      <c r="V219" s="2212"/>
      <c r="W219" s="2212"/>
      <c r="X219" s="2212"/>
      <c r="Y219" s="2212"/>
      <c r="Z219" s="221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3" t="s">
        <v>572</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8"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625</v>
      </c>
      <c r="AJ225" s="2038"/>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577</v>
      </c>
      <c r="AJ226" s="203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625</v>
      </c>
      <c r="AJ227" s="203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625</v>
      </c>
      <c r="AJ228" s="203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232" t="str">
        <f>H16</f>
        <v>JCL GP LLC</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2">
      <c r="D232" s="57" t="s">
        <v>90</v>
      </c>
      <c r="E232" s="57"/>
      <c r="F232" s="57"/>
      <c r="G232" s="57"/>
      <c r="H232" s="57"/>
      <c r="I232" s="57"/>
      <c r="J232" s="57"/>
      <c r="K232" s="7"/>
      <c r="M232" s="2214" t="s">
        <v>2536</v>
      </c>
      <c r="N232" s="2212"/>
      <c r="O232" s="2212"/>
      <c r="P232" s="2212"/>
      <c r="Q232" s="2212"/>
      <c r="R232" s="2212"/>
      <c r="S232" s="2212"/>
      <c r="T232" s="2212"/>
      <c r="U232" s="2212"/>
      <c r="V232" s="2212"/>
      <c r="W232" s="2212"/>
      <c r="X232" s="2212"/>
      <c r="Y232" s="2212"/>
      <c r="Z232" s="2212"/>
      <c r="AA232" s="2212"/>
      <c r="AB232" s="2212"/>
      <c r="AC232" s="2212"/>
      <c r="AD232" s="2212"/>
      <c r="AE232" s="2212"/>
      <c r="AZ232" s="7"/>
      <c r="BA232" s="58"/>
      <c r="BB232" s="334" t="s">
        <v>570</v>
      </c>
      <c r="BG232" s="389">
        <f>IF(AND(AND($M$248="nonprofit",$M$256="nonprofit",$M$264="for profit")),2,0)</f>
        <v>0</v>
      </c>
      <c r="BQ232" s="61"/>
    </row>
    <row r="233" spans="1:69" ht="13.2">
      <c r="D233" s="57" t="s">
        <v>614</v>
      </c>
      <c r="E233" s="57"/>
      <c r="M233" s="2214" t="s">
        <v>2525</v>
      </c>
      <c r="N233" s="2212"/>
      <c r="O233" s="2212"/>
      <c r="P233" s="2212"/>
      <c r="Q233" s="2212"/>
      <c r="R233" s="2212"/>
      <c r="S233" s="2212"/>
      <c r="T233" s="2212"/>
      <c r="V233" s="59" t="s">
        <v>91</v>
      </c>
      <c r="W233" s="2175" t="s">
        <v>2537</v>
      </c>
      <c r="X233" s="2030"/>
      <c r="Y233" s="57" t="s">
        <v>617</v>
      </c>
      <c r="AC233" s="2212">
        <v>92618</v>
      </c>
      <c r="AD233" s="2212"/>
      <c r="AE233" s="2212"/>
      <c r="BB233" s="334" t="s">
        <v>570</v>
      </c>
      <c r="BG233" s="389">
        <f>IF(AND(AND($M$248="nonprofit",$M$256="for profit",$M$264="nonprofit")),2,0)</f>
        <v>0</v>
      </c>
    </row>
    <row r="234" spans="1:69" ht="13.2">
      <c r="D234" s="60" t="s">
        <v>92</v>
      </c>
      <c r="E234" s="7"/>
      <c r="F234" s="7"/>
      <c r="G234" s="7"/>
      <c r="H234" s="7"/>
      <c r="I234" s="7"/>
      <c r="J234" s="7"/>
      <c r="K234" s="29"/>
      <c r="M234" s="2214" t="s">
        <v>2523</v>
      </c>
      <c r="N234" s="2212"/>
      <c r="O234" s="2212"/>
      <c r="P234" s="2212"/>
      <c r="Q234" s="2212"/>
      <c r="R234" s="2212"/>
      <c r="S234" s="2212"/>
      <c r="T234" s="2212"/>
      <c r="U234" s="2212"/>
      <c r="V234" s="2212"/>
      <c r="W234" s="2212"/>
      <c r="X234" s="2212"/>
      <c r="Y234" s="2212"/>
      <c r="Z234" s="2212"/>
      <c r="AA234" s="2212"/>
      <c r="AB234" s="2212"/>
      <c r="AC234" s="2212"/>
      <c r="AD234" s="2212"/>
      <c r="AE234" s="221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177" t="s">
        <v>2538</v>
      </c>
      <c r="N235" s="2063"/>
      <c r="O235" s="2063"/>
      <c r="P235" s="2063"/>
      <c r="Q235" s="2063"/>
      <c r="R235" s="2063"/>
      <c r="S235" s="7" t="s">
        <v>212</v>
      </c>
      <c r="T235" s="7"/>
      <c r="U235" s="2030"/>
      <c r="V235" s="2030"/>
      <c r="W235" s="2030"/>
      <c r="X235" s="7" t="s">
        <v>94</v>
      </c>
      <c r="Z235" s="2063"/>
      <c r="AA235" s="2063"/>
      <c r="AB235" s="2063"/>
      <c r="AC235" s="2063"/>
      <c r="AD235" s="2063"/>
      <c r="AE235" s="2063"/>
      <c r="BB235" s="385"/>
      <c r="BG235" s="386"/>
    </row>
    <row r="236" spans="1:69" ht="13.2">
      <c r="D236" s="60" t="s">
        <v>95</v>
      </c>
      <c r="E236" s="7"/>
      <c r="F236" s="7"/>
      <c r="M236" s="2204" t="s">
        <v>2539</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42" t="s">
        <v>308</v>
      </c>
      <c r="N237" s="2042"/>
      <c r="O237" s="2042"/>
      <c r="P237" s="2042"/>
      <c r="Q237" s="2042"/>
      <c r="R237" s="2042"/>
      <c r="S237" s="2042"/>
      <c r="T237" s="2042"/>
      <c r="U237" s="387" t="s">
        <v>974</v>
      </c>
      <c r="V237" s="325"/>
      <c r="W237" s="325"/>
      <c r="X237" s="325"/>
      <c r="Y237" s="325"/>
      <c r="Z237" s="325"/>
      <c r="AA237" s="2217"/>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39" t="s">
        <v>2599</v>
      </c>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215" t="s">
        <v>2540</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2541</v>
      </c>
      <c r="AG242" s="2216"/>
      <c r="AH242" s="2216"/>
      <c r="AI242" s="2216"/>
      <c r="AJ242" s="2216"/>
      <c r="AK242" s="221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14" t="s">
        <v>2536</v>
      </c>
      <c r="N243" s="2212"/>
      <c r="O243" s="2212"/>
      <c r="P243" s="2212"/>
      <c r="Q243" s="2212"/>
      <c r="R243" s="2212"/>
      <c r="S243" s="2212"/>
      <c r="T243" s="2212"/>
      <c r="U243" s="2212"/>
      <c r="V243" s="2212"/>
      <c r="W243" s="2212"/>
      <c r="X243" s="2212"/>
      <c r="Y243" s="2212"/>
      <c r="Z243" s="2212"/>
      <c r="AA243" s="2212"/>
      <c r="AB243" s="2212"/>
      <c r="AC243" s="2212"/>
      <c r="AD243" s="2212"/>
      <c r="AE243" s="221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214" t="s">
        <v>2525</v>
      </c>
      <c r="N244" s="2212"/>
      <c r="O244" s="2212"/>
      <c r="P244" s="2212"/>
      <c r="Q244" s="2212"/>
      <c r="R244" s="2212"/>
      <c r="S244" s="2212"/>
      <c r="T244" s="2212"/>
      <c r="V244" s="59" t="s">
        <v>91</v>
      </c>
      <c r="W244" s="2175" t="s">
        <v>2537</v>
      </c>
      <c r="X244" s="2030"/>
      <c r="Y244" s="57" t="s">
        <v>617</v>
      </c>
      <c r="AC244" s="2212">
        <v>92618</v>
      </c>
      <c r="AD244" s="2212"/>
      <c r="AE244" s="2212"/>
      <c r="AF244" s="58" t="s">
        <v>1379</v>
      </c>
      <c r="AG244" s="719"/>
      <c r="AH244" s="719"/>
      <c r="AI244" s="719"/>
      <c r="AJ244" s="719"/>
      <c r="AK244" s="719"/>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214" t="s">
        <v>2523</v>
      </c>
      <c r="N245" s="2212"/>
      <c r="O245" s="2212"/>
      <c r="P245" s="2212"/>
      <c r="Q245" s="2212"/>
      <c r="R245" s="2212"/>
      <c r="S245" s="2212"/>
      <c r="T245" s="2212"/>
      <c r="U245" s="2212"/>
      <c r="V245" s="2212"/>
      <c r="W245" s="2212"/>
      <c r="X245" s="2212"/>
      <c r="Y245" s="2212"/>
      <c r="Z245" s="2212"/>
      <c r="AA245" s="2212"/>
      <c r="AB245" s="2212"/>
      <c r="AC245" s="2212"/>
      <c r="AD245" s="2212"/>
      <c r="AE245" s="2212"/>
      <c r="AH245" s="2104">
        <v>8.9999999999999993E-3</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177" t="s">
        <v>2538</v>
      </c>
      <c r="N246" s="2063"/>
      <c r="O246" s="2063"/>
      <c r="P246" s="2063"/>
      <c r="Q246" s="2063"/>
      <c r="R246" s="2063"/>
      <c r="S246" s="7" t="s">
        <v>212</v>
      </c>
      <c r="T246" s="7"/>
      <c r="U246" s="2030"/>
      <c r="V246" s="2030"/>
      <c r="W246" s="2030"/>
      <c r="X246" s="7" t="s">
        <v>94</v>
      </c>
      <c r="Z246" s="2063"/>
      <c r="AA246" s="2063"/>
      <c r="AB246" s="2063"/>
      <c r="AC246" s="2063"/>
      <c r="AD246" s="2063"/>
      <c r="AE246" s="2063"/>
      <c r="BB246" s="7" t="s">
        <v>178</v>
      </c>
      <c r="BG246" s="12">
        <v>3</v>
      </c>
      <c r="BH246" s="12" t="s">
        <v>568</v>
      </c>
      <c r="BN246" s="390"/>
      <c r="BO246" s="39"/>
    </row>
    <row r="247" spans="1:72" ht="13.2">
      <c r="A247" s="29"/>
      <c r="B247" s="7"/>
      <c r="C247" s="7"/>
      <c r="D247" s="60" t="s">
        <v>95</v>
      </c>
      <c r="E247" s="7"/>
      <c r="F247" s="7"/>
      <c r="M247" s="2204" t="s">
        <v>2539</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42" t="s">
        <v>568</v>
      </c>
      <c r="N248" s="2042"/>
      <c r="O248" s="2042"/>
      <c r="P248" s="2042"/>
      <c r="Q248" s="2042"/>
      <c r="R248" s="2042"/>
      <c r="S248" s="2042"/>
      <c r="T248" s="2042"/>
      <c r="U248" s="387" t="s">
        <v>974</v>
      </c>
      <c r="V248" s="325"/>
      <c r="W248" s="325"/>
      <c r="X248" s="325"/>
      <c r="Y248" s="325"/>
      <c r="Z248" s="325"/>
      <c r="AA248" s="2217"/>
      <c r="AB248" s="2217"/>
      <c r="AC248" s="2217"/>
      <c r="AD248" s="2217"/>
      <c r="AE248" s="2217"/>
      <c r="AF248" s="2217"/>
      <c r="AG248" s="2217"/>
      <c r="AH248" s="2217"/>
      <c r="AI248" s="2217"/>
      <c r="AJ248" s="2217"/>
      <c r="AK248" s="221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215" t="s">
        <v>2542</v>
      </c>
      <c r="N250" s="2216"/>
      <c r="O250" s="2216"/>
      <c r="P250" s="2216"/>
      <c r="Q250" s="2216"/>
      <c r="R250" s="2216"/>
      <c r="S250" s="2216"/>
      <c r="T250" s="2216"/>
      <c r="U250" s="2216"/>
      <c r="V250" s="2216"/>
      <c r="W250" s="2216"/>
      <c r="X250" s="2216"/>
      <c r="Y250" s="2216"/>
      <c r="Z250" s="2216"/>
      <c r="AA250" s="2216"/>
      <c r="AB250" s="2216"/>
      <c r="AC250" s="2216"/>
      <c r="AD250" s="2216"/>
      <c r="AE250" s="2216"/>
      <c r="AF250" s="2216" t="s">
        <v>2543</v>
      </c>
      <c r="AG250" s="2216"/>
      <c r="AH250" s="2216"/>
      <c r="AI250" s="2216"/>
      <c r="AJ250" s="2216"/>
      <c r="AK250" s="2216"/>
      <c r="BN250" s="61"/>
    </row>
    <row r="251" spans="1:72" ht="13.2">
      <c r="A251" s="29"/>
      <c r="B251" s="7"/>
      <c r="C251" s="7"/>
      <c r="D251" s="57" t="s">
        <v>90</v>
      </c>
      <c r="E251" s="57"/>
      <c r="F251" s="57"/>
      <c r="G251" s="57"/>
      <c r="H251" s="57"/>
      <c r="I251" s="57"/>
      <c r="J251" s="57"/>
      <c r="K251" s="57"/>
      <c r="L251" s="7"/>
      <c r="M251" s="2214" t="s">
        <v>2544</v>
      </c>
      <c r="N251" s="2212"/>
      <c r="O251" s="2212"/>
      <c r="P251" s="2212"/>
      <c r="Q251" s="2212"/>
      <c r="R251" s="2212"/>
      <c r="S251" s="2212"/>
      <c r="T251" s="2212"/>
      <c r="U251" s="2212"/>
      <c r="V251" s="2212"/>
      <c r="W251" s="2212"/>
      <c r="X251" s="2212"/>
      <c r="Y251" s="2212"/>
      <c r="Z251" s="2212"/>
      <c r="AA251" s="2212"/>
      <c r="AB251" s="2212"/>
      <c r="AC251" s="2212"/>
      <c r="AD251" s="2212"/>
      <c r="AE251" s="221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14" t="s">
        <v>2525</v>
      </c>
      <c r="N252" s="2212"/>
      <c r="O252" s="2212"/>
      <c r="P252" s="2212"/>
      <c r="Q252" s="2212"/>
      <c r="R252" s="2212"/>
      <c r="S252" s="2212"/>
      <c r="T252" s="2212"/>
      <c r="V252" s="59" t="s">
        <v>91</v>
      </c>
      <c r="W252" s="2175" t="s">
        <v>2537</v>
      </c>
      <c r="X252" s="2030"/>
      <c r="Y252" s="57" t="s">
        <v>617</v>
      </c>
      <c r="AC252" s="2212">
        <v>92618</v>
      </c>
      <c r="AD252" s="2212"/>
      <c r="AE252" s="2212"/>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14" t="s">
        <v>2545</v>
      </c>
      <c r="N253" s="2212"/>
      <c r="O253" s="2212"/>
      <c r="P253" s="2212"/>
      <c r="Q253" s="2212"/>
      <c r="R253" s="2212"/>
      <c r="S253" s="2212"/>
      <c r="T253" s="2212"/>
      <c r="U253" s="2212"/>
      <c r="V253" s="2212"/>
      <c r="W253" s="2212"/>
      <c r="X253" s="2212"/>
      <c r="Y253" s="2212"/>
      <c r="Z253" s="2212"/>
      <c r="AA253" s="2212"/>
      <c r="AB253" s="2212"/>
      <c r="AC253" s="2212"/>
      <c r="AD253" s="2212"/>
      <c r="AE253" s="2212"/>
      <c r="AF253" s="719"/>
      <c r="AG253" s="719"/>
      <c r="AH253" s="2104">
        <v>1E-3</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7" t="s">
        <v>2546</v>
      </c>
      <c r="N254" s="2063"/>
      <c r="O254" s="2063"/>
      <c r="P254" s="2063"/>
      <c r="Q254" s="2063"/>
      <c r="R254" s="2063"/>
      <c r="S254" s="7" t="s">
        <v>212</v>
      </c>
      <c r="T254" s="7"/>
      <c r="U254" s="2030"/>
      <c r="V254" s="2030"/>
      <c r="W254" s="2030"/>
      <c r="X254" s="7" t="s">
        <v>94</v>
      </c>
      <c r="Z254" s="2063"/>
      <c r="AA254" s="2063"/>
      <c r="AB254" s="2063"/>
      <c r="AC254" s="2063"/>
      <c r="AD254" s="2063"/>
      <c r="AE254" s="2063"/>
    </row>
    <row r="255" spans="1:72" ht="13.2">
      <c r="A255" s="29"/>
      <c r="B255" s="7"/>
      <c r="C255" s="7"/>
      <c r="D255" s="60" t="s">
        <v>95</v>
      </c>
      <c r="E255" s="7"/>
      <c r="F255" s="7"/>
      <c r="M255" s="2204" t="s">
        <v>2547</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42" t="s">
        <v>566</v>
      </c>
      <c r="N256" s="2042"/>
      <c r="O256" s="2042"/>
      <c r="P256" s="2042"/>
      <c r="Q256" s="2042"/>
      <c r="R256" s="2042"/>
      <c r="S256" s="2042"/>
      <c r="T256" s="2042"/>
      <c r="U256" s="387" t="s">
        <v>974</v>
      </c>
      <c r="V256" s="325"/>
      <c r="W256" s="325"/>
      <c r="X256" s="325"/>
      <c r="Y256" s="325"/>
      <c r="Z256" s="325"/>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2"/>
      <c r="N259" s="2212"/>
      <c r="O259" s="2212"/>
      <c r="P259" s="2212"/>
      <c r="Q259" s="2212"/>
      <c r="R259" s="2212"/>
      <c r="S259" s="2212"/>
      <c r="T259" s="2212"/>
      <c r="U259" s="2212"/>
      <c r="V259" s="2212"/>
      <c r="W259" s="2212"/>
      <c r="X259" s="2212"/>
      <c r="Y259" s="2212"/>
      <c r="Z259" s="2212"/>
      <c r="AA259" s="2212"/>
      <c r="AB259" s="2212"/>
      <c r="AC259" s="2212"/>
      <c r="AD259" s="2212"/>
      <c r="AE259" s="2212"/>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2"/>
      <c r="N260" s="2212"/>
      <c r="O260" s="2212"/>
      <c r="P260" s="2212"/>
      <c r="Q260" s="2212"/>
      <c r="R260" s="2212"/>
      <c r="S260" s="2212"/>
      <c r="T260" s="2212"/>
      <c r="V260" s="59" t="s">
        <v>91</v>
      </c>
      <c r="W260" s="2030"/>
      <c r="X260" s="2030"/>
      <c r="Y260" s="57" t="s">
        <v>617</v>
      </c>
      <c r="AC260" s="2212"/>
      <c r="AD260" s="2212"/>
      <c r="AE260" s="2212"/>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2"/>
      <c r="N261" s="2212"/>
      <c r="O261" s="2212"/>
      <c r="P261" s="2212"/>
      <c r="Q261" s="2212"/>
      <c r="R261" s="2212"/>
      <c r="S261" s="2212"/>
      <c r="T261" s="2212"/>
      <c r="U261" s="2212"/>
      <c r="V261" s="2212"/>
      <c r="W261" s="2212"/>
      <c r="X261" s="2212"/>
      <c r="Y261" s="2212"/>
      <c r="Z261" s="2212"/>
      <c r="AA261" s="2212"/>
      <c r="AB261" s="2212"/>
      <c r="AC261" s="2212"/>
      <c r="AD261" s="2212"/>
      <c r="AE261" s="2212"/>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3"/>
      <c r="N262" s="2063"/>
      <c r="O262" s="2063"/>
      <c r="P262" s="2063"/>
      <c r="Q262" s="2063"/>
      <c r="R262" s="2063"/>
      <c r="S262" s="7" t="s">
        <v>212</v>
      </c>
      <c r="T262" s="7"/>
      <c r="U262" s="2030"/>
      <c r="V262" s="2030"/>
      <c r="W262" s="2030"/>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42" t="s">
        <v>316</v>
      </c>
      <c r="N264" s="2042"/>
      <c r="O264" s="2042"/>
      <c r="P264" s="2042"/>
      <c r="Q264" s="2042"/>
      <c r="R264" s="2042"/>
      <c r="S264" s="2042"/>
      <c r="T264" s="2042"/>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2" t="s">
        <v>178</v>
      </c>
      <c r="E269" s="2212"/>
      <c r="F269" s="2212"/>
      <c r="G269" s="2212"/>
      <c r="H269" s="2212"/>
      <c r="J269" s="12" t="s">
        <v>285</v>
      </c>
      <c r="X269" s="2218">
        <v>44469</v>
      </c>
      <c r="Y269" s="2218"/>
      <c r="Z269" s="2218"/>
      <c r="AA269" s="2218"/>
      <c r="AB269" s="2218"/>
      <c r="AC269" s="221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5" t="s">
        <v>2548</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14" t="s">
        <v>2536</v>
      </c>
      <c r="M274" s="2212"/>
      <c r="N274" s="2212"/>
      <c r="O274" s="2212"/>
      <c r="P274" s="2212"/>
      <c r="Q274" s="2212"/>
      <c r="R274" s="2212"/>
      <c r="S274" s="2212"/>
      <c r="T274" s="2212"/>
      <c r="U274" s="2212"/>
      <c r="V274" s="2212"/>
      <c r="W274" s="2212"/>
      <c r="X274" s="2212"/>
      <c r="Y274" s="2212"/>
      <c r="Z274" s="2212"/>
      <c r="AA274" s="2212"/>
      <c r="AB274" s="2212"/>
      <c r="AC274" s="2212"/>
      <c r="AD274" s="2212"/>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14" t="s">
        <v>2525</v>
      </c>
      <c r="M275" s="2212"/>
      <c r="N275" s="2212"/>
      <c r="O275" s="2212"/>
      <c r="P275" s="2212"/>
      <c r="Q275" s="2212"/>
      <c r="R275" s="2212"/>
      <c r="S275" s="2212"/>
      <c r="U275" s="59" t="s">
        <v>91</v>
      </c>
      <c r="V275" s="2175" t="s">
        <v>2537</v>
      </c>
      <c r="W275" s="2030"/>
      <c r="X275" s="57" t="s">
        <v>617</v>
      </c>
      <c r="AB275" s="2212">
        <v>92618</v>
      </c>
      <c r="AC275" s="2212"/>
      <c r="AD275" s="22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4" t="s">
        <v>2523</v>
      </c>
      <c r="M276" s="2212"/>
      <c r="N276" s="2212"/>
      <c r="O276" s="2212"/>
      <c r="P276" s="2212"/>
      <c r="Q276" s="2212"/>
      <c r="R276" s="2212"/>
      <c r="S276" s="2212"/>
      <c r="T276" s="2212"/>
      <c r="U276" s="2212"/>
      <c r="V276" s="2212"/>
      <c r="W276" s="2212"/>
      <c r="X276" s="2212"/>
      <c r="Y276" s="2212"/>
      <c r="Z276" s="2212"/>
      <c r="AA276" s="2212"/>
      <c r="AB276" s="2212"/>
      <c r="AC276" s="2212"/>
      <c r="AD276" s="221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7" t="s">
        <v>2538</v>
      </c>
      <c r="M277" s="2063"/>
      <c r="N277" s="2063"/>
      <c r="O277" s="2063"/>
      <c r="P277" s="2063"/>
      <c r="Q277" s="2063"/>
      <c r="R277" s="7" t="s">
        <v>212</v>
      </c>
      <c r="S277" s="7"/>
      <c r="T277" s="2030"/>
      <c r="U277" s="2030"/>
      <c r="V277" s="2030"/>
      <c r="W277" s="7" t="s">
        <v>94</v>
      </c>
      <c r="Y277" s="2063"/>
      <c r="Z277" s="2063"/>
      <c r="AA277" s="2063"/>
      <c r="AB277" s="2063"/>
      <c r="AC277" s="2063"/>
      <c r="AD277" s="2063"/>
      <c r="BN277" s="61"/>
    </row>
    <row r="278" spans="1:66" ht="13.2">
      <c r="D278" s="60" t="s">
        <v>95</v>
      </c>
      <c r="E278" s="7"/>
      <c r="F278" s="7"/>
      <c r="L278" s="2204" t="s">
        <v>2539</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3.2">
      <c r="D279" s="58" t="s">
        <v>657</v>
      </c>
      <c r="E279" s="58"/>
      <c r="F279" s="58"/>
      <c r="G279" s="58"/>
      <c r="H279" s="58"/>
      <c r="I279" s="58"/>
      <c r="L279" s="2175" t="s">
        <v>2549</v>
      </c>
      <c r="M279" s="2175"/>
      <c r="N279" s="2175"/>
      <c r="O279" s="2175"/>
      <c r="P279" s="2175"/>
      <c r="Q279" s="2175"/>
      <c r="R279" s="2175"/>
      <c r="S279" s="2175"/>
      <c r="T279" s="2175"/>
      <c r="U279" s="2175"/>
      <c r="V279" s="2175"/>
      <c r="W279" s="2175"/>
      <c r="X279" s="2175"/>
      <c r="Y279" s="2175"/>
      <c r="Z279" s="2175"/>
      <c r="AA279" s="2175"/>
      <c r="AB279" s="2175"/>
      <c r="AC279" s="2175"/>
      <c r="AD279" s="2175"/>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083" t="s">
        <v>573</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8"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39" t="s">
        <v>2548</v>
      </c>
      <c r="I286" s="2039"/>
      <c r="J286" s="2039"/>
      <c r="K286" s="2039"/>
      <c r="L286" s="2039"/>
      <c r="M286" s="2039"/>
      <c r="N286" s="2039"/>
      <c r="O286" s="2039"/>
      <c r="P286" s="2039"/>
      <c r="Q286" s="2039"/>
      <c r="R286" s="2039"/>
      <c r="T286" s="58" t="s">
        <v>599</v>
      </c>
      <c r="V286" s="58"/>
      <c r="W286" s="58"/>
      <c r="X286" s="58"/>
      <c r="Y286" s="58"/>
      <c r="AA286" s="2039" t="s">
        <v>2600</v>
      </c>
      <c r="AB286" s="2039"/>
      <c r="AC286" s="2039"/>
      <c r="AD286" s="2039"/>
      <c r="AE286" s="2039"/>
      <c r="AF286" s="2039"/>
      <c r="AG286" s="2039"/>
      <c r="AH286" s="2039"/>
      <c r="AI286" s="2039"/>
      <c r="AJ286" s="2039"/>
      <c r="AK286" s="2039"/>
      <c r="BN286" s="61"/>
    </row>
    <row r="287" spans="1:66" ht="13.2">
      <c r="B287" s="58" t="s">
        <v>503</v>
      </c>
      <c r="C287" s="58"/>
      <c r="D287" s="58"/>
      <c r="E287" s="58"/>
      <c r="F287" s="58"/>
      <c r="H287" s="2042" t="s">
        <v>2536</v>
      </c>
      <c r="I287" s="2042"/>
      <c r="J287" s="2042"/>
      <c r="K287" s="2042"/>
      <c r="L287" s="2042"/>
      <c r="M287" s="2042"/>
      <c r="N287" s="2042"/>
      <c r="O287" s="2042"/>
      <c r="P287" s="2042"/>
      <c r="Q287" s="2042"/>
      <c r="R287" s="2042"/>
      <c r="T287" s="58" t="s">
        <v>503</v>
      </c>
      <c r="V287" s="58"/>
      <c r="W287" s="58"/>
      <c r="X287" s="58"/>
      <c r="Y287" s="58"/>
      <c r="AA287" s="2042" t="s">
        <v>2578</v>
      </c>
      <c r="AB287" s="2042"/>
      <c r="AC287" s="2042"/>
      <c r="AD287" s="2042"/>
      <c r="AE287" s="2042"/>
      <c r="AF287" s="2042"/>
      <c r="AG287" s="2042"/>
      <c r="AH287" s="2042"/>
      <c r="AI287" s="2042"/>
      <c r="AJ287" s="2042"/>
      <c r="AK287" s="2042"/>
      <c r="BN287" s="61"/>
    </row>
    <row r="288" spans="1:66" ht="13.2">
      <c r="B288" s="58" t="s">
        <v>504</v>
      </c>
      <c r="C288" s="58"/>
      <c r="D288" s="58"/>
      <c r="E288" s="58"/>
      <c r="F288" s="58"/>
      <c r="H288" s="2042" t="s">
        <v>2550</v>
      </c>
      <c r="I288" s="2042"/>
      <c r="J288" s="2042"/>
      <c r="K288" s="2042"/>
      <c r="L288" s="2042"/>
      <c r="M288" s="2042"/>
      <c r="N288" s="2042"/>
      <c r="O288" s="2042"/>
      <c r="P288" s="2042"/>
      <c r="Q288" s="2042"/>
      <c r="R288" s="2042"/>
      <c r="T288" s="58" t="s">
        <v>79</v>
      </c>
      <c r="V288" s="58"/>
      <c r="W288" s="58"/>
      <c r="X288" s="58"/>
      <c r="Y288" s="58"/>
      <c r="AA288" s="2042" t="s">
        <v>2579</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2523</v>
      </c>
      <c r="I289" s="2042"/>
      <c r="J289" s="2042"/>
      <c r="K289" s="2042"/>
      <c r="L289" s="2042"/>
      <c r="M289" s="2042"/>
      <c r="N289" s="2042"/>
      <c r="O289" s="2042"/>
      <c r="P289" s="2042"/>
      <c r="Q289" s="2042"/>
      <c r="R289" s="2042"/>
      <c r="T289" s="58" t="s">
        <v>92</v>
      </c>
      <c r="V289" s="58"/>
      <c r="W289" s="58"/>
      <c r="X289" s="58"/>
      <c r="Y289" s="58"/>
      <c r="AA289" s="2042" t="s">
        <v>2601</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213" t="s">
        <v>2538</v>
      </c>
      <c r="I290" s="2191"/>
      <c r="J290" s="2191"/>
      <c r="K290" s="2191"/>
      <c r="L290" s="2191"/>
      <c r="M290" s="2191"/>
      <c r="N290" s="7" t="s">
        <v>212</v>
      </c>
      <c r="O290" s="7"/>
      <c r="P290" s="2212"/>
      <c r="Q290" s="2212"/>
      <c r="R290" s="2212"/>
      <c r="S290" s="58"/>
      <c r="T290" s="58" t="s">
        <v>93</v>
      </c>
      <c r="V290" s="58"/>
      <c r="W290" s="58"/>
      <c r="X290" s="58"/>
      <c r="Y290" s="58"/>
      <c r="AA290" s="2213" t="s">
        <v>2580</v>
      </c>
      <c r="AB290" s="2191"/>
      <c r="AC290" s="2191"/>
      <c r="AD290" s="2191"/>
      <c r="AE290" s="2191"/>
      <c r="AF290" s="2191"/>
      <c r="AG290" s="7" t="s">
        <v>212</v>
      </c>
      <c r="AH290" s="7"/>
      <c r="AI290" s="2212">
        <v>208</v>
      </c>
      <c r="AJ290" s="2212"/>
      <c r="AK290" s="2212"/>
      <c r="BN290" s="61"/>
    </row>
    <row r="291" spans="2:66" ht="12.75" customHeight="1">
      <c r="B291" s="58" t="s">
        <v>94</v>
      </c>
      <c r="C291" s="58"/>
      <c r="D291" s="58"/>
      <c r="E291" s="58"/>
      <c r="F291" s="58"/>
      <c r="G291" s="58"/>
      <c r="H291" s="2063"/>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42" t="s">
        <v>2539</v>
      </c>
      <c r="I292" s="2042"/>
      <c r="J292" s="2042"/>
      <c r="K292" s="2042"/>
      <c r="L292" s="2042"/>
      <c r="M292" s="2042"/>
      <c r="N292" s="2039"/>
      <c r="O292" s="2039"/>
      <c r="P292" s="2039"/>
      <c r="Q292" s="2039"/>
      <c r="R292" s="2039"/>
      <c r="S292" s="58"/>
      <c r="T292" s="58" t="s">
        <v>80</v>
      </c>
      <c r="V292" s="58"/>
      <c r="W292" s="58"/>
      <c r="X292" s="58"/>
      <c r="Y292" s="58"/>
      <c r="AA292" s="2042" t="s">
        <v>2602</v>
      </c>
      <c r="AB292" s="2042"/>
      <c r="AC292" s="2042"/>
      <c r="AD292" s="2042"/>
      <c r="AE292" s="2042"/>
      <c r="AF292" s="2042"/>
      <c r="AG292" s="2039"/>
      <c r="AH292" s="2039"/>
      <c r="AI292" s="2039"/>
      <c r="AJ292" s="2039"/>
      <c r="AK292" s="203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9" t="s">
        <v>2551</v>
      </c>
      <c r="I294" s="2039"/>
      <c r="J294" s="2039"/>
      <c r="K294" s="2039"/>
      <c r="L294" s="2039"/>
      <c r="M294" s="2039"/>
      <c r="N294" s="2039"/>
      <c r="O294" s="2039"/>
      <c r="P294" s="2039"/>
      <c r="Q294" s="2039"/>
      <c r="R294" s="2039"/>
      <c r="T294" s="58" t="s">
        <v>374</v>
      </c>
      <c r="V294" s="58"/>
      <c r="W294" s="58"/>
      <c r="X294" s="58"/>
      <c r="Y294" s="58"/>
      <c r="AA294" s="2039" t="s">
        <v>2563</v>
      </c>
      <c r="AB294" s="2039"/>
      <c r="AC294" s="2039"/>
      <c r="AD294" s="2039"/>
      <c r="AE294" s="2039"/>
      <c r="AF294" s="2039"/>
      <c r="AG294" s="2039"/>
      <c r="AH294" s="2039"/>
      <c r="AI294" s="2039"/>
      <c r="AJ294" s="2039"/>
      <c r="AK294" s="2039"/>
      <c r="BN294" s="61"/>
    </row>
    <row r="295" spans="2:66" ht="13.2">
      <c r="B295" s="58" t="s">
        <v>503</v>
      </c>
      <c r="C295" s="58"/>
      <c r="D295" s="58"/>
      <c r="E295" s="58"/>
      <c r="F295" s="58"/>
      <c r="H295" s="2042" t="s">
        <v>2552</v>
      </c>
      <c r="I295" s="2042"/>
      <c r="J295" s="2042"/>
      <c r="K295" s="2042"/>
      <c r="L295" s="2042"/>
      <c r="M295" s="2042"/>
      <c r="N295" s="2042"/>
      <c r="O295" s="2042"/>
      <c r="P295" s="2042"/>
      <c r="Q295" s="2042"/>
      <c r="R295" s="2042"/>
      <c r="T295" s="58" t="s">
        <v>503</v>
      </c>
      <c r="V295" s="58"/>
      <c r="W295" s="58"/>
      <c r="X295" s="58"/>
      <c r="Y295" s="58"/>
      <c r="AA295" s="2042" t="s">
        <v>2536</v>
      </c>
      <c r="AB295" s="2042"/>
      <c r="AC295" s="2042"/>
      <c r="AD295" s="2042"/>
      <c r="AE295" s="2042"/>
      <c r="AF295" s="2042"/>
      <c r="AG295" s="2042"/>
      <c r="AH295" s="2042"/>
      <c r="AI295" s="2042"/>
      <c r="AJ295" s="2042"/>
      <c r="AK295" s="2042"/>
      <c r="BN295" s="61"/>
    </row>
    <row r="296" spans="2:66" ht="13.2">
      <c r="B296" s="58" t="s">
        <v>504</v>
      </c>
      <c r="C296" s="58"/>
      <c r="D296" s="58"/>
      <c r="E296" s="58"/>
      <c r="F296" s="58"/>
      <c r="H296" s="2042" t="s">
        <v>2553</v>
      </c>
      <c r="I296" s="2042"/>
      <c r="J296" s="2042"/>
      <c r="K296" s="2042"/>
      <c r="L296" s="2042"/>
      <c r="M296" s="2042"/>
      <c r="N296" s="2042"/>
      <c r="O296" s="2042"/>
      <c r="P296" s="2042"/>
      <c r="Q296" s="2042"/>
      <c r="R296" s="2042"/>
      <c r="T296" s="58" t="s">
        <v>79</v>
      </c>
      <c r="V296" s="58"/>
      <c r="W296" s="58"/>
      <c r="X296" s="58"/>
      <c r="Y296" s="58"/>
      <c r="AA296" s="2042" t="s">
        <v>2550</v>
      </c>
      <c r="AB296" s="2042"/>
      <c r="AC296" s="2042"/>
      <c r="AD296" s="2042"/>
      <c r="AE296" s="2042"/>
      <c r="AF296" s="2042"/>
      <c r="AG296" s="2042"/>
      <c r="AH296" s="2042"/>
      <c r="AI296" s="2042"/>
      <c r="AJ296" s="2042"/>
      <c r="AK296" s="2042"/>
      <c r="BN296" s="61"/>
    </row>
    <row r="297" spans="2:66" ht="13.2">
      <c r="B297" s="58" t="s">
        <v>92</v>
      </c>
      <c r="C297" s="58"/>
      <c r="D297" s="58"/>
      <c r="E297" s="58"/>
      <c r="F297" s="58"/>
      <c r="H297" s="2042" t="s">
        <v>2554</v>
      </c>
      <c r="I297" s="2042"/>
      <c r="J297" s="2042"/>
      <c r="K297" s="2042"/>
      <c r="L297" s="2042"/>
      <c r="M297" s="2042"/>
      <c r="N297" s="2042"/>
      <c r="O297" s="2042"/>
      <c r="P297" s="2042"/>
      <c r="Q297" s="2042"/>
      <c r="R297" s="2042"/>
      <c r="T297" s="58" t="s">
        <v>92</v>
      </c>
      <c r="V297" s="58"/>
      <c r="W297" s="58"/>
      <c r="X297" s="58"/>
      <c r="Y297" s="58"/>
      <c r="AA297" s="2042" t="s">
        <v>2564</v>
      </c>
      <c r="AB297" s="2042"/>
      <c r="AC297" s="2042"/>
      <c r="AD297" s="2042"/>
      <c r="AE297" s="2042"/>
      <c r="AF297" s="2042"/>
      <c r="AG297" s="2042"/>
      <c r="AH297" s="2042"/>
      <c r="AI297" s="2042"/>
      <c r="AJ297" s="2042"/>
      <c r="AK297" s="2042"/>
      <c r="BN297" s="61"/>
    </row>
    <row r="298" spans="2:66" ht="13.2">
      <c r="B298" s="58" t="s">
        <v>93</v>
      </c>
      <c r="C298" s="58"/>
      <c r="D298" s="58"/>
      <c r="E298" s="58"/>
      <c r="F298" s="58"/>
      <c r="G298" s="58"/>
      <c r="H298" s="2213" t="s">
        <v>2555</v>
      </c>
      <c r="I298" s="2191"/>
      <c r="J298" s="2191"/>
      <c r="K298" s="2191"/>
      <c r="L298" s="2191"/>
      <c r="M298" s="2191"/>
      <c r="N298" s="7" t="s">
        <v>212</v>
      </c>
      <c r="O298" s="7"/>
      <c r="P298" s="2212"/>
      <c r="Q298" s="2212"/>
      <c r="R298" s="2212"/>
      <c r="S298" s="58"/>
      <c r="T298" s="58" t="s">
        <v>93</v>
      </c>
      <c r="V298" s="58"/>
      <c r="W298" s="58"/>
      <c r="X298" s="58"/>
      <c r="Y298" s="58"/>
      <c r="AA298" s="2213" t="s">
        <v>2565</v>
      </c>
      <c r="AB298" s="2191"/>
      <c r="AC298" s="2191"/>
      <c r="AD298" s="2191"/>
      <c r="AE298" s="2191"/>
      <c r="AF298" s="2191"/>
      <c r="AG298" s="7" t="s">
        <v>212</v>
      </c>
      <c r="AH298" s="7"/>
      <c r="AI298" s="2212"/>
      <c r="AJ298" s="2212"/>
      <c r="AK298" s="2212"/>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42" t="s">
        <v>2556</v>
      </c>
      <c r="I300" s="2042"/>
      <c r="J300" s="2042"/>
      <c r="K300" s="2042"/>
      <c r="L300" s="2042"/>
      <c r="M300" s="2042"/>
      <c r="N300" s="2039"/>
      <c r="O300" s="2039"/>
      <c r="P300" s="2039"/>
      <c r="Q300" s="2039"/>
      <c r="R300" s="2039"/>
      <c r="S300" s="58"/>
      <c r="T300" s="58" t="s">
        <v>80</v>
      </c>
      <c r="V300" s="58"/>
      <c r="W300" s="58"/>
      <c r="X300" s="58"/>
      <c r="Y300" s="58"/>
      <c r="AA300" s="2042" t="s">
        <v>2566</v>
      </c>
      <c r="AB300" s="2042"/>
      <c r="AC300" s="2042"/>
      <c r="AD300" s="2042"/>
      <c r="AE300" s="2042"/>
      <c r="AF300" s="2042"/>
      <c r="AG300" s="2039"/>
      <c r="AH300" s="2039"/>
      <c r="AI300" s="2039"/>
      <c r="AJ300" s="2039"/>
      <c r="AK300" s="2039"/>
      <c r="BN300" s="61"/>
    </row>
    <row r="301" spans="2:66" ht="12.75" customHeight="1">
      <c r="BN301" s="61"/>
    </row>
    <row r="302" spans="2:66" ht="12.75" customHeight="1">
      <c r="B302" s="58" t="s">
        <v>81</v>
      </c>
      <c r="C302" s="58"/>
      <c r="D302" s="58"/>
      <c r="E302" s="58"/>
      <c r="F302" s="58"/>
      <c r="H302" s="2039" t="s">
        <v>2557</v>
      </c>
      <c r="I302" s="2039"/>
      <c r="J302" s="2039"/>
      <c r="K302" s="2039"/>
      <c r="L302" s="2039"/>
      <c r="M302" s="2039"/>
      <c r="N302" s="2039"/>
      <c r="O302" s="2039"/>
      <c r="P302" s="2039"/>
      <c r="Q302" s="2039"/>
      <c r="R302" s="2039"/>
      <c r="T302" s="7" t="s">
        <v>942</v>
      </c>
      <c r="V302" s="58"/>
      <c r="W302" s="58"/>
      <c r="X302" s="58"/>
      <c r="Y302" s="58"/>
      <c r="AA302" s="2039"/>
      <c r="AB302" s="2039"/>
      <c r="AC302" s="2039"/>
      <c r="AD302" s="2039"/>
      <c r="AE302" s="2039"/>
      <c r="AF302" s="2039"/>
      <c r="AG302" s="2039"/>
      <c r="AH302" s="2039"/>
      <c r="AI302" s="2039"/>
      <c r="AJ302" s="2039"/>
      <c r="AK302" s="2039"/>
      <c r="BN302" s="61"/>
    </row>
    <row r="303" spans="2:66" ht="13.2">
      <c r="B303" s="58" t="s">
        <v>503</v>
      </c>
      <c r="C303" s="58"/>
      <c r="D303" s="58"/>
      <c r="E303" s="58"/>
      <c r="F303" s="58"/>
      <c r="H303" s="2042" t="s">
        <v>2558</v>
      </c>
      <c r="I303" s="2042"/>
      <c r="J303" s="2042"/>
      <c r="K303" s="2042"/>
      <c r="L303" s="2042"/>
      <c r="M303" s="2042"/>
      <c r="N303" s="2042"/>
      <c r="O303" s="2042"/>
      <c r="P303" s="2042"/>
      <c r="Q303" s="2042"/>
      <c r="R303" s="2042"/>
      <c r="T303" s="58" t="s">
        <v>503</v>
      </c>
      <c r="V303" s="58"/>
      <c r="W303" s="58"/>
      <c r="X303" s="58"/>
      <c r="Y303" s="58"/>
      <c r="AA303" s="2042"/>
      <c r="AB303" s="2042"/>
      <c r="AC303" s="2042"/>
      <c r="AD303" s="2042"/>
      <c r="AE303" s="2042"/>
      <c r="AF303" s="2042"/>
      <c r="AG303" s="2042"/>
      <c r="AH303" s="2042"/>
      <c r="AI303" s="2042"/>
      <c r="AJ303" s="2042"/>
      <c r="AK303" s="2042"/>
      <c r="BN303" s="61"/>
    </row>
    <row r="304" spans="2:66" ht="13.2">
      <c r="B304" s="58" t="s">
        <v>504</v>
      </c>
      <c r="C304" s="58"/>
      <c r="D304" s="58"/>
      <c r="E304" s="58"/>
      <c r="F304" s="58"/>
      <c r="H304" s="2042" t="s">
        <v>2559</v>
      </c>
      <c r="I304" s="2042"/>
      <c r="J304" s="2042"/>
      <c r="K304" s="2042"/>
      <c r="L304" s="2042"/>
      <c r="M304" s="2042"/>
      <c r="N304" s="2042"/>
      <c r="O304" s="2042"/>
      <c r="P304" s="2042"/>
      <c r="Q304" s="2042"/>
      <c r="R304" s="2042"/>
      <c r="T304" s="58" t="s">
        <v>79</v>
      </c>
      <c r="V304" s="58"/>
      <c r="W304" s="58"/>
      <c r="X304" s="58"/>
      <c r="Y304" s="58"/>
      <c r="AA304" s="2042"/>
      <c r="AB304" s="2042"/>
      <c r="AC304" s="2042"/>
      <c r="AD304" s="2042"/>
      <c r="AE304" s="2042"/>
      <c r="AF304" s="2042"/>
      <c r="AG304" s="2042"/>
      <c r="AH304" s="2042"/>
      <c r="AI304" s="2042"/>
      <c r="AJ304" s="2042"/>
      <c r="AK304" s="2042"/>
      <c r="BN304" s="61"/>
    </row>
    <row r="305" spans="2:66" ht="13.2">
      <c r="B305" s="58" t="s">
        <v>92</v>
      </c>
      <c r="C305" s="58"/>
      <c r="D305" s="58"/>
      <c r="E305" s="58"/>
      <c r="F305" s="58"/>
      <c r="H305" s="2042" t="s">
        <v>2560</v>
      </c>
      <c r="I305" s="2042"/>
      <c r="J305" s="2042"/>
      <c r="K305" s="2042"/>
      <c r="L305" s="2042"/>
      <c r="M305" s="2042"/>
      <c r="N305" s="2042"/>
      <c r="O305" s="2042"/>
      <c r="P305" s="2042"/>
      <c r="Q305" s="2042"/>
      <c r="R305" s="2042"/>
      <c r="T305" s="58" t="s">
        <v>92</v>
      </c>
      <c r="V305" s="58"/>
      <c r="W305" s="58"/>
      <c r="X305" s="58"/>
      <c r="Y305" s="58"/>
      <c r="AA305" s="2042"/>
      <c r="AB305" s="2042"/>
      <c r="AC305" s="2042"/>
      <c r="AD305" s="2042"/>
      <c r="AE305" s="2042"/>
      <c r="AF305" s="2042"/>
      <c r="AG305" s="2042"/>
      <c r="AH305" s="2042"/>
      <c r="AI305" s="2042"/>
      <c r="AJ305" s="2042"/>
      <c r="AK305" s="2042"/>
      <c r="BN305" s="61"/>
    </row>
    <row r="306" spans="2:66" ht="13.2">
      <c r="B306" s="58" t="s">
        <v>93</v>
      </c>
      <c r="C306" s="58"/>
      <c r="D306" s="58"/>
      <c r="E306" s="58"/>
      <c r="F306" s="58"/>
      <c r="G306" s="58"/>
      <c r="H306" s="2213" t="s">
        <v>2561</v>
      </c>
      <c r="I306" s="2191"/>
      <c r="J306" s="2191"/>
      <c r="K306" s="2191"/>
      <c r="L306" s="2191"/>
      <c r="M306" s="2191"/>
      <c r="N306" s="7" t="s">
        <v>212</v>
      </c>
      <c r="O306" s="7"/>
      <c r="P306" s="2212"/>
      <c r="Q306" s="2212"/>
      <c r="R306" s="2212"/>
      <c r="S306" s="58"/>
      <c r="T306" s="58" t="s">
        <v>93</v>
      </c>
      <c r="V306" s="58"/>
      <c r="W306" s="58"/>
      <c r="X306" s="58"/>
      <c r="Y306" s="58"/>
      <c r="AA306" s="2191"/>
      <c r="AB306" s="2191"/>
      <c r="AC306" s="2191"/>
      <c r="AD306" s="2191"/>
      <c r="AE306" s="2191"/>
      <c r="AF306" s="2191"/>
      <c r="AG306" s="7" t="s">
        <v>212</v>
      </c>
      <c r="AH306" s="7"/>
      <c r="AI306" s="2212"/>
      <c r="AJ306" s="2212"/>
      <c r="AK306" s="2212"/>
      <c r="BN306" s="61"/>
    </row>
    <row r="307" spans="2:66" ht="13.2">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3.2">
      <c r="B308" s="58" t="s">
        <v>80</v>
      </c>
      <c r="C308" s="58"/>
      <c r="D308" s="58"/>
      <c r="E308" s="58"/>
      <c r="F308" s="58"/>
      <c r="G308" s="58"/>
      <c r="H308" s="2042" t="s">
        <v>2562</v>
      </c>
      <c r="I308" s="2042"/>
      <c r="J308" s="2042"/>
      <c r="K308" s="2042"/>
      <c r="L308" s="2042"/>
      <c r="M308" s="2042"/>
      <c r="N308" s="2039"/>
      <c r="O308" s="2039"/>
      <c r="P308" s="2039"/>
      <c r="Q308" s="2039"/>
      <c r="R308" s="2039"/>
      <c r="S308" s="58"/>
      <c r="T308" s="58" t="s">
        <v>80</v>
      </c>
      <c r="V308" s="58"/>
      <c r="W308" s="58"/>
      <c r="X308" s="58"/>
      <c r="Y308" s="58"/>
      <c r="AA308" s="2042"/>
      <c r="AB308" s="2042"/>
      <c r="AC308" s="2042"/>
      <c r="AD308" s="2042"/>
      <c r="AE308" s="2042"/>
      <c r="AF308" s="2042"/>
      <c r="AG308" s="2039"/>
      <c r="AH308" s="2039"/>
      <c r="AI308" s="2039"/>
      <c r="AJ308" s="2039"/>
      <c r="AK308" s="203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39" t="s">
        <v>2557</v>
      </c>
      <c r="I310" s="2039"/>
      <c r="J310" s="2039"/>
      <c r="K310" s="2039"/>
      <c r="L310" s="2039"/>
      <c r="M310" s="2039"/>
      <c r="N310" s="2039"/>
      <c r="O310" s="2039"/>
      <c r="P310" s="2039"/>
      <c r="Q310" s="2039"/>
      <c r="R310" s="2039"/>
      <c r="S310" s="58"/>
      <c r="T310" s="58" t="s">
        <v>375</v>
      </c>
      <c r="V310" s="58"/>
      <c r="W310" s="58"/>
      <c r="X310" s="58"/>
      <c r="Y310" s="58"/>
      <c r="AA310" s="2039" t="s">
        <v>2567</v>
      </c>
      <c r="AB310" s="2039"/>
      <c r="AC310" s="2039"/>
      <c r="AD310" s="2039"/>
      <c r="AE310" s="2039"/>
      <c r="AF310" s="2039"/>
      <c r="AG310" s="2039"/>
      <c r="AH310" s="2039"/>
      <c r="AI310" s="2039"/>
      <c r="AJ310" s="2039"/>
      <c r="AK310" s="2039"/>
      <c r="BN310" s="61"/>
    </row>
    <row r="311" spans="2:66" ht="13.2">
      <c r="B311" s="58" t="s">
        <v>503</v>
      </c>
      <c r="C311" s="58"/>
      <c r="D311" s="58"/>
      <c r="E311" s="58"/>
      <c r="F311" s="58"/>
      <c r="H311" s="2042" t="s">
        <v>2558</v>
      </c>
      <c r="I311" s="2042"/>
      <c r="J311" s="2042"/>
      <c r="K311" s="2042"/>
      <c r="L311" s="2042"/>
      <c r="M311" s="2042"/>
      <c r="N311" s="2042"/>
      <c r="O311" s="2042"/>
      <c r="P311" s="2042"/>
      <c r="Q311" s="2042"/>
      <c r="R311" s="2042"/>
      <c r="S311" s="58"/>
      <c r="T311" s="58" t="s">
        <v>503</v>
      </c>
      <c r="V311" s="58"/>
      <c r="W311" s="58"/>
      <c r="X311" s="58"/>
      <c r="Y311" s="58"/>
      <c r="AA311" s="2042" t="s">
        <v>2568</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042" t="s">
        <v>2559</v>
      </c>
      <c r="I312" s="2042"/>
      <c r="J312" s="2042"/>
      <c r="K312" s="2042"/>
      <c r="L312" s="2042"/>
      <c r="M312" s="2042"/>
      <c r="N312" s="2042"/>
      <c r="O312" s="2042"/>
      <c r="P312" s="2042"/>
      <c r="Q312" s="2042"/>
      <c r="R312" s="2042"/>
      <c r="S312" s="58"/>
      <c r="T312" s="58" t="s">
        <v>79</v>
      </c>
      <c r="V312" s="58"/>
      <c r="W312" s="58"/>
      <c r="X312" s="58"/>
      <c r="Y312" s="58"/>
      <c r="AA312" s="2042" t="s">
        <v>2569</v>
      </c>
      <c r="AB312" s="2042"/>
      <c r="AC312" s="2042"/>
      <c r="AD312" s="2042"/>
      <c r="AE312" s="2042"/>
      <c r="AF312" s="2042"/>
      <c r="AG312" s="2042"/>
      <c r="AH312" s="2042"/>
      <c r="AI312" s="2042"/>
      <c r="AJ312" s="2042"/>
      <c r="AK312" s="2042"/>
      <c r="BN312" s="61"/>
    </row>
    <row r="313" spans="2:66" ht="13.2">
      <c r="B313" s="58" t="s">
        <v>92</v>
      </c>
      <c r="C313" s="58"/>
      <c r="D313" s="58"/>
      <c r="E313" s="58"/>
      <c r="F313" s="58"/>
      <c r="H313" s="2042" t="s">
        <v>2560</v>
      </c>
      <c r="I313" s="2042"/>
      <c r="J313" s="2042"/>
      <c r="K313" s="2042"/>
      <c r="L313" s="2042"/>
      <c r="M313" s="2042"/>
      <c r="N313" s="2042"/>
      <c r="O313" s="2042"/>
      <c r="P313" s="2042"/>
      <c r="Q313" s="2042"/>
      <c r="R313" s="2042"/>
      <c r="S313" s="58"/>
      <c r="T313" s="58" t="s">
        <v>92</v>
      </c>
      <c r="V313" s="58"/>
      <c r="W313" s="58"/>
      <c r="X313" s="58"/>
      <c r="Y313" s="58"/>
      <c r="AA313" s="2042" t="s">
        <v>2570</v>
      </c>
      <c r="AB313" s="2042"/>
      <c r="AC313" s="2042"/>
      <c r="AD313" s="2042"/>
      <c r="AE313" s="2042"/>
      <c r="AF313" s="2042"/>
      <c r="AG313" s="2042"/>
      <c r="AH313" s="2042"/>
      <c r="AI313" s="2042"/>
      <c r="AJ313" s="2042"/>
      <c r="AK313" s="2042"/>
      <c r="BN313" s="61"/>
    </row>
    <row r="314" spans="2:66" ht="13.2">
      <c r="B314" s="58" t="s">
        <v>93</v>
      </c>
      <c r="C314" s="58"/>
      <c r="D314" s="58"/>
      <c r="E314" s="58"/>
      <c r="F314" s="58"/>
      <c r="G314" s="58"/>
      <c r="H314" s="2213" t="s">
        <v>2561</v>
      </c>
      <c r="I314" s="2191"/>
      <c r="J314" s="2191"/>
      <c r="K314" s="2191"/>
      <c r="L314" s="2191"/>
      <c r="M314" s="2191"/>
      <c r="N314" s="7" t="s">
        <v>212</v>
      </c>
      <c r="O314" s="7"/>
      <c r="P314" s="2212"/>
      <c r="Q314" s="2212"/>
      <c r="R314" s="2212"/>
      <c r="S314" s="58"/>
      <c r="T314" s="58" t="s">
        <v>93</v>
      </c>
      <c r="V314" s="58"/>
      <c r="W314" s="58"/>
      <c r="X314" s="58"/>
      <c r="Y314" s="58"/>
      <c r="AA314" s="2213" t="s">
        <v>2571</v>
      </c>
      <c r="AB314" s="2191"/>
      <c r="AC314" s="2191"/>
      <c r="AD314" s="2191"/>
      <c r="AE314" s="2191"/>
      <c r="AF314" s="2191"/>
      <c r="AG314" s="7" t="s">
        <v>212</v>
      </c>
      <c r="AH314" s="7"/>
      <c r="AI314" s="2212"/>
      <c r="AJ314" s="2212"/>
      <c r="AK314" s="2212"/>
      <c r="BN314" s="61"/>
    </row>
    <row r="315" spans="2:66" ht="13.2">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3.2">
      <c r="B316" s="58" t="s">
        <v>80</v>
      </c>
      <c r="C316" s="58"/>
      <c r="D316" s="58"/>
      <c r="E316" s="58"/>
      <c r="F316" s="58"/>
      <c r="G316" s="58"/>
      <c r="H316" s="2042" t="s">
        <v>2562</v>
      </c>
      <c r="I316" s="2042"/>
      <c r="J316" s="2042"/>
      <c r="K316" s="2042"/>
      <c r="L316" s="2042"/>
      <c r="M316" s="2042"/>
      <c r="N316" s="2039"/>
      <c r="O316" s="2039"/>
      <c r="P316" s="2039"/>
      <c r="Q316" s="2039"/>
      <c r="R316" s="2039"/>
      <c r="S316" s="58"/>
      <c r="T316" s="58" t="s">
        <v>80</v>
      </c>
      <c r="V316" s="58"/>
      <c r="W316" s="58"/>
      <c r="X316" s="58"/>
      <c r="Y316" s="58"/>
      <c r="AA316" s="2042" t="s">
        <v>2572</v>
      </c>
      <c r="AB316" s="2042"/>
      <c r="AC316" s="2042"/>
      <c r="AD316" s="2042"/>
      <c r="AE316" s="2042"/>
      <c r="AF316" s="2042"/>
      <c r="AG316" s="2039"/>
      <c r="AH316" s="2039"/>
      <c r="AI316" s="2039"/>
      <c r="AJ316" s="2039"/>
      <c r="AK316" s="2039"/>
      <c r="BN316" s="61"/>
    </row>
    <row r="317" spans="2:66" ht="13.2">
      <c r="BN317" s="61"/>
    </row>
    <row r="318" spans="2:66" ht="13.2">
      <c r="B318" s="7" t="s">
        <v>976</v>
      </c>
      <c r="C318" s="58"/>
      <c r="D318" s="58"/>
      <c r="E318" s="58"/>
      <c r="F318" s="58"/>
      <c r="H318" s="2039"/>
      <c r="I318" s="2039"/>
      <c r="J318" s="2039"/>
      <c r="K318" s="2039"/>
      <c r="L318" s="2039"/>
      <c r="M318" s="2039"/>
      <c r="N318" s="2039"/>
      <c r="O318" s="2039"/>
      <c r="P318" s="2039"/>
      <c r="Q318" s="2039"/>
      <c r="R318" s="2039"/>
      <c r="T318" s="58" t="s">
        <v>376</v>
      </c>
      <c r="V318" s="58"/>
      <c r="W318" s="58"/>
      <c r="X318" s="58"/>
      <c r="Y318" s="58"/>
      <c r="AA318" s="2039" t="s">
        <v>2581</v>
      </c>
      <c r="AB318" s="2039"/>
      <c r="AC318" s="2039"/>
      <c r="AD318" s="2039"/>
      <c r="AE318" s="2039"/>
      <c r="AF318" s="2039"/>
      <c r="AG318" s="2039"/>
      <c r="AH318" s="2039"/>
      <c r="AI318" s="2039"/>
      <c r="AJ318" s="2039"/>
      <c r="AK318" s="2039"/>
      <c r="BN318" s="61"/>
    </row>
    <row r="319" spans="2:66" ht="13.2">
      <c r="B319" s="58" t="s">
        <v>503</v>
      </c>
      <c r="C319" s="58"/>
      <c r="D319" s="58"/>
      <c r="E319" s="58"/>
      <c r="F319" s="58"/>
      <c r="H319" s="2042"/>
      <c r="I319" s="2042"/>
      <c r="J319" s="2042"/>
      <c r="K319" s="2042"/>
      <c r="L319" s="2042"/>
      <c r="M319" s="2042"/>
      <c r="N319" s="2042"/>
      <c r="O319" s="2042"/>
      <c r="P319" s="2042"/>
      <c r="Q319" s="2042"/>
      <c r="R319" s="2042"/>
      <c r="T319" s="58" t="s">
        <v>503</v>
      </c>
      <c r="V319" s="58"/>
      <c r="W319" s="58"/>
      <c r="X319" s="58"/>
      <c r="Y319" s="58"/>
      <c r="AA319" s="2042" t="s">
        <v>2582</v>
      </c>
      <c r="AB319" s="2042"/>
      <c r="AC319" s="2042"/>
      <c r="AD319" s="2042"/>
      <c r="AE319" s="2042"/>
      <c r="AF319" s="2042"/>
      <c r="AG319" s="2042"/>
      <c r="AH319" s="2042"/>
      <c r="AI319" s="2042"/>
      <c r="AJ319" s="2042"/>
      <c r="AK319" s="2042"/>
      <c r="BN319" s="61"/>
    </row>
    <row r="320" spans="2:66" ht="13.2">
      <c r="B320" s="58" t="s">
        <v>504</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042" t="s">
        <v>2583</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042" t="s">
        <v>2584</v>
      </c>
      <c r="AB321" s="2042"/>
      <c r="AC321" s="2042"/>
      <c r="AD321" s="2042"/>
      <c r="AE321" s="2042"/>
      <c r="AF321" s="2042"/>
      <c r="AG321" s="2042"/>
      <c r="AH321" s="2042"/>
      <c r="AI321" s="2042"/>
      <c r="AJ321" s="2042"/>
      <c r="AK321" s="2042"/>
      <c r="AL321" s="39"/>
      <c r="BN321" s="61"/>
    </row>
    <row r="322" spans="1:66" ht="13.2">
      <c r="A322" s="39"/>
      <c r="B322" s="58" t="s">
        <v>93</v>
      </c>
      <c r="C322" s="58"/>
      <c r="D322" s="58"/>
      <c r="E322" s="58"/>
      <c r="F322" s="58"/>
      <c r="G322" s="58"/>
      <c r="H322" s="2191"/>
      <c r="I322" s="2191"/>
      <c r="J322" s="2191"/>
      <c r="K322" s="2191"/>
      <c r="L322" s="2191"/>
      <c r="M322" s="2191"/>
      <c r="N322" s="7" t="s">
        <v>212</v>
      </c>
      <c r="O322" s="7"/>
      <c r="P322" s="2212"/>
      <c r="Q322" s="2212"/>
      <c r="R322" s="2212"/>
      <c r="S322" s="58"/>
      <c r="T322" s="58" t="s">
        <v>93</v>
      </c>
      <c r="V322" s="58"/>
      <c r="W322" s="58"/>
      <c r="X322" s="58"/>
      <c r="Y322" s="58"/>
      <c r="AA322" s="2213" t="s">
        <v>2585</v>
      </c>
      <c r="AB322" s="2191"/>
      <c r="AC322" s="2191"/>
      <c r="AD322" s="2191"/>
      <c r="AE322" s="2191"/>
      <c r="AF322" s="2191"/>
      <c r="AG322" s="7" t="s">
        <v>212</v>
      </c>
      <c r="AH322" s="7"/>
      <c r="AI322" s="2212"/>
      <c r="AJ322" s="2212"/>
      <c r="AK322" s="2212"/>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3.2">
      <c r="A324" s="39"/>
      <c r="B324" s="58" t="s">
        <v>80</v>
      </c>
      <c r="C324" s="58"/>
      <c r="D324" s="58"/>
      <c r="E324" s="58"/>
      <c r="F324" s="58"/>
      <c r="G324" s="58"/>
      <c r="H324" s="2042"/>
      <c r="I324" s="2042"/>
      <c r="J324" s="2042"/>
      <c r="K324" s="2042"/>
      <c r="L324" s="2042"/>
      <c r="M324" s="2042"/>
      <c r="N324" s="2039"/>
      <c r="O324" s="2039"/>
      <c r="P324" s="2039"/>
      <c r="Q324" s="2039"/>
      <c r="R324" s="2039"/>
      <c r="S324" s="58"/>
      <c r="T324" s="58" t="s">
        <v>80</v>
      </c>
      <c r="V324" s="58"/>
      <c r="W324" s="58"/>
      <c r="X324" s="58"/>
      <c r="Y324" s="58"/>
      <c r="AA324" s="2042" t="s">
        <v>2586</v>
      </c>
      <c r="AB324" s="2042"/>
      <c r="AC324" s="2042"/>
      <c r="AD324" s="2042"/>
      <c r="AE324" s="2042"/>
      <c r="AF324" s="2042"/>
      <c r="AG324" s="2039"/>
      <c r="AH324" s="2039"/>
      <c r="AI324" s="2039"/>
      <c r="AJ324" s="2039"/>
      <c r="AK324" s="203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9"/>
      <c r="I326" s="2039"/>
      <c r="J326" s="2039"/>
      <c r="K326" s="2039"/>
      <c r="L326" s="2039"/>
      <c r="M326" s="2039"/>
      <c r="N326" s="2039"/>
      <c r="O326" s="2039"/>
      <c r="P326" s="2039"/>
      <c r="Q326" s="2039"/>
      <c r="R326" s="2039"/>
      <c r="T326" s="58" t="s">
        <v>378</v>
      </c>
      <c r="V326" s="58"/>
      <c r="W326" s="58"/>
      <c r="X326" s="58"/>
      <c r="Y326" s="58"/>
      <c r="AA326" s="2039"/>
      <c r="AB326" s="2039"/>
      <c r="AC326" s="2039"/>
      <c r="AD326" s="2039"/>
      <c r="AE326" s="2039"/>
      <c r="AF326" s="2039"/>
      <c r="AG326" s="2039"/>
      <c r="AH326" s="2039"/>
      <c r="AI326" s="2039"/>
      <c r="AJ326" s="2039"/>
      <c r="AK326" s="2039"/>
      <c r="AL326" s="39"/>
    </row>
    <row r="327" spans="1:66" ht="13.2">
      <c r="A327" s="39"/>
      <c r="B327" s="58" t="s">
        <v>503</v>
      </c>
      <c r="C327" s="58"/>
      <c r="D327" s="58"/>
      <c r="E327" s="58"/>
      <c r="F327" s="58"/>
      <c r="H327" s="2042"/>
      <c r="I327" s="2042"/>
      <c r="J327" s="2042"/>
      <c r="K327" s="2042"/>
      <c r="L327" s="2042"/>
      <c r="M327" s="2042"/>
      <c r="N327" s="2042"/>
      <c r="O327" s="2042"/>
      <c r="P327" s="2042"/>
      <c r="Q327" s="2042"/>
      <c r="R327" s="2042"/>
      <c r="T327" s="58" t="s">
        <v>503</v>
      </c>
      <c r="V327" s="58"/>
      <c r="W327" s="58"/>
      <c r="X327" s="58"/>
      <c r="Y327" s="58"/>
      <c r="AA327" s="2042"/>
      <c r="AB327" s="2042"/>
      <c r="AC327" s="2042"/>
      <c r="AD327" s="2042"/>
      <c r="AE327" s="2042"/>
      <c r="AF327" s="2042"/>
      <c r="AG327" s="2042"/>
      <c r="AH327" s="2042"/>
      <c r="AI327" s="2042"/>
      <c r="AJ327" s="2042"/>
      <c r="AK327" s="2042"/>
      <c r="AL327" s="39"/>
    </row>
    <row r="328" spans="1:66" ht="13.2">
      <c r="A328" s="39"/>
      <c r="B328" s="58" t="s">
        <v>504</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3.2">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91"/>
      <c r="I330" s="2191"/>
      <c r="J330" s="2191"/>
      <c r="K330" s="2191"/>
      <c r="L330" s="2191"/>
      <c r="M330" s="2191"/>
      <c r="N330" s="7" t="s">
        <v>212</v>
      </c>
      <c r="O330" s="7"/>
      <c r="P330" s="2212"/>
      <c r="Q330" s="2212"/>
      <c r="R330" s="2212"/>
      <c r="S330" s="58"/>
      <c r="T330" s="58" t="s">
        <v>93</v>
      </c>
      <c r="V330" s="58"/>
      <c r="W330" s="58"/>
      <c r="X330" s="58"/>
      <c r="Y330" s="58"/>
      <c r="AA330" s="2191"/>
      <c r="AB330" s="2191"/>
      <c r="AC330" s="2191"/>
      <c r="AD330" s="2191"/>
      <c r="AE330" s="2191"/>
      <c r="AF330" s="2191"/>
      <c r="AG330" s="7" t="s">
        <v>212</v>
      </c>
      <c r="AH330" s="7"/>
      <c r="AI330" s="2212"/>
      <c r="AJ330" s="2212"/>
      <c r="AK330" s="2212"/>
      <c r="AL330" s="39"/>
    </row>
    <row r="331" spans="1:66" ht="13.2">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3.2">
      <c r="A332" s="39"/>
      <c r="B332" s="58" t="s">
        <v>80</v>
      </c>
      <c r="C332" s="58"/>
      <c r="D332" s="58"/>
      <c r="E332" s="58"/>
      <c r="F332" s="58"/>
      <c r="G332" s="58"/>
      <c r="H332" s="2042"/>
      <c r="I332" s="2042"/>
      <c r="J332" s="2042"/>
      <c r="K332" s="2042"/>
      <c r="L332" s="2042"/>
      <c r="M332" s="2042"/>
      <c r="N332" s="2039"/>
      <c r="O332" s="2039"/>
      <c r="P332" s="2039"/>
      <c r="Q332" s="2039"/>
      <c r="R332" s="2039"/>
      <c r="S332" s="58"/>
      <c r="T332" s="58" t="s">
        <v>80</v>
      </c>
      <c r="V332" s="58"/>
      <c r="W332" s="58"/>
      <c r="X332" s="58"/>
      <c r="Y332" s="58"/>
      <c r="AA332" s="2042"/>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2603</v>
      </c>
      <c r="I334" s="2039"/>
      <c r="J334" s="2039"/>
      <c r="K334" s="2039"/>
      <c r="L334" s="2039"/>
      <c r="M334" s="2039"/>
      <c r="N334" s="2039"/>
      <c r="O334" s="2039"/>
      <c r="P334" s="2039"/>
      <c r="Q334" s="2039"/>
      <c r="R334" s="2039"/>
      <c r="T334" s="405" t="s">
        <v>951</v>
      </c>
      <c r="V334" s="58"/>
      <c r="W334" s="58"/>
      <c r="X334" s="58"/>
      <c r="Y334" s="58"/>
      <c r="AA334" s="2039" t="s">
        <v>2573</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2" t="s">
        <v>2604</v>
      </c>
      <c r="I335" s="2042"/>
      <c r="J335" s="2042"/>
      <c r="K335" s="2042"/>
      <c r="L335" s="2042"/>
      <c r="M335" s="2042"/>
      <c r="N335" s="2042"/>
      <c r="O335" s="2042"/>
      <c r="P335" s="2042"/>
      <c r="Q335" s="2042"/>
      <c r="R335" s="2042"/>
      <c r="T335" s="58" t="s">
        <v>503</v>
      </c>
      <c r="V335" s="58"/>
      <c r="W335" s="58"/>
      <c r="X335" s="58"/>
      <c r="Y335" s="58"/>
      <c r="AA335" s="2042" t="s">
        <v>2574</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2605</v>
      </c>
      <c r="I336" s="2042"/>
      <c r="J336" s="2042"/>
      <c r="K336" s="2042"/>
      <c r="L336" s="2042"/>
      <c r="M336" s="2042"/>
      <c r="N336" s="2042"/>
      <c r="O336" s="2042"/>
      <c r="P336" s="2042"/>
      <c r="Q336" s="2042"/>
      <c r="R336" s="2042"/>
      <c r="T336" s="58" t="s">
        <v>79</v>
      </c>
      <c r="V336" s="58"/>
      <c r="W336" s="58"/>
      <c r="X336" s="58"/>
      <c r="Y336" s="58"/>
      <c r="AA336" s="2042" t="s">
        <v>2575</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2606</v>
      </c>
      <c r="I337" s="2042"/>
      <c r="J337" s="2042"/>
      <c r="K337" s="2042"/>
      <c r="L337" s="2042"/>
      <c r="M337" s="2042"/>
      <c r="N337" s="2042"/>
      <c r="O337" s="2042"/>
      <c r="P337" s="2042"/>
      <c r="Q337" s="2042"/>
      <c r="R337" s="2042"/>
      <c r="T337" s="58" t="s">
        <v>92</v>
      </c>
      <c r="V337" s="58"/>
      <c r="W337" s="58"/>
      <c r="X337" s="58"/>
      <c r="Y337" s="58"/>
      <c r="AA337" s="2042" t="s">
        <v>2576</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213" t="s">
        <v>2607</v>
      </c>
      <c r="I338" s="2191"/>
      <c r="J338" s="2191"/>
      <c r="K338" s="2191"/>
      <c r="L338" s="2191"/>
      <c r="M338" s="2191"/>
      <c r="N338" s="7" t="s">
        <v>212</v>
      </c>
      <c r="O338" s="7"/>
      <c r="P338" s="2212"/>
      <c r="Q338" s="2212"/>
      <c r="R338" s="2212"/>
      <c r="S338" s="58"/>
      <c r="T338" s="58" t="s">
        <v>93</v>
      </c>
      <c r="V338" s="58"/>
      <c r="W338" s="58"/>
      <c r="X338" s="58"/>
      <c r="Y338" s="58"/>
      <c r="AA338" s="2213" t="s">
        <v>2609</v>
      </c>
      <c r="AB338" s="2191"/>
      <c r="AC338" s="2191"/>
      <c r="AD338" s="2191"/>
      <c r="AE338" s="2191"/>
      <c r="AF338" s="2191"/>
      <c r="AG338" s="7" t="s">
        <v>212</v>
      </c>
      <c r="AH338" s="7"/>
      <c r="AI338" s="2212">
        <v>104</v>
      </c>
      <c r="AJ338" s="2212"/>
      <c r="AK338" s="2212"/>
      <c r="AL338" s="39"/>
    </row>
    <row r="339" spans="1:66" ht="13.2">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063"/>
      <c r="AB339" s="2063"/>
      <c r="AC339" s="2063"/>
      <c r="AD339" s="2063"/>
      <c r="AE339" s="2063"/>
      <c r="AF339" s="2063"/>
      <c r="AG339" s="60"/>
      <c r="AH339" s="60"/>
      <c r="AI339" s="62"/>
      <c r="AJ339" s="62"/>
      <c r="AK339" s="62"/>
      <c r="AL339" s="39"/>
    </row>
    <row r="340" spans="1:66" ht="13.2">
      <c r="A340" s="39"/>
      <c r="B340" s="58" t="s">
        <v>80</v>
      </c>
      <c r="C340" s="237"/>
      <c r="D340" s="237"/>
      <c r="E340" s="237"/>
      <c r="F340" s="237"/>
      <c r="G340" s="237"/>
      <c r="H340" s="2042" t="s">
        <v>2608</v>
      </c>
      <c r="I340" s="2042"/>
      <c r="J340" s="2042"/>
      <c r="K340" s="2042"/>
      <c r="L340" s="2042"/>
      <c r="M340" s="2042"/>
      <c r="N340" s="2039"/>
      <c r="O340" s="2039"/>
      <c r="P340" s="2039"/>
      <c r="Q340" s="2039"/>
      <c r="R340" s="2039"/>
      <c r="S340" s="58"/>
      <c r="T340" s="58" t="s">
        <v>80</v>
      </c>
      <c r="V340" s="58"/>
      <c r="W340" s="58"/>
      <c r="X340" s="58"/>
      <c r="Y340" s="58"/>
      <c r="AA340" s="2042" t="s">
        <v>2577</v>
      </c>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3.2">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3.2">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3.2">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2">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3.2">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3" t="s">
        <v>574</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8"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8" t="s">
        <v>577</v>
      </c>
      <c r="N354" s="2038"/>
      <c r="P354" s="12" t="s">
        <v>2003</v>
      </c>
      <c r="AJ354" s="2038" t="s">
        <v>705</v>
      </c>
      <c r="AK354" s="2038"/>
    </row>
    <row r="355" spans="1:37" ht="12.75" customHeight="1">
      <c r="D355" s="58" t="s">
        <v>1992</v>
      </c>
      <c r="M355" s="2038" t="s">
        <v>625</v>
      </c>
      <c r="N355" s="2038"/>
      <c r="P355" s="58" t="s">
        <v>2217</v>
      </c>
      <c r="AJ355" s="2133"/>
      <c r="AK355" s="2133"/>
    </row>
    <row r="356" spans="1:37" ht="12.75" customHeight="1">
      <c r="D356" s="12" t="s">
        <v>744</v>
      </c>
      <c r="M356" s="2038" t="s">
        <v>625</v>
      </c>
      <c r="N356" s="2038"/>
      <c r="P356" s="719" t="s">
        <v>2002</v>
      </c>
      <c r="AJ356" s="2038" t="s">
        <v>625</v>
      </c>
      <c r="AK356" s="2038"/>
    </row>
    <row r="357" spans="1:37" ht="12.75" customHeight="1">
      <c r="D357" s="12" t="s">
        <v>745</v>
      </c>
      <c r="M357" s="2038" t="s">
        <v>625</v>
      </c>
      <c r="N357" s="203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625</v>
      </c>
      <c r="O362" s="2038"/>
      <c r="P362" s="69"/>
      <c r="Q362" s="69"/>
      <c r="R362" s="69"/>
      <c r="S362" s="69"/>
      <c r="T362" s="69"/>
      <c r="U362" s="69"/>
      <c r="V362" s="69"/>
      <c r="W362" s="69"/>
      <c r="X362" s="69"/>
      <c r="Y362" s="70"/>
      <c r="Z362" s="70"/>
      <c r="AC362" s="69"/>
      <c r="AD362" s="69"/>
      <c r="AE362" s="69"/>
    </row>
    <row r="363" spans="1:37" ht="12.75" customHeight="1">
      <c r="E363" s="12" t="s">
        <v>381</v>
      </c>
      <c r="Y363" s="2038" t="s">
        <v>625</v>
      </c>
      <c r="Z363" s="2038"/>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625</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746</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478</v>
      </c>
      <c r="F369" s="7"/>
      <c r="G369" s="7"/>
      <c r="H369" s="7"/>
      <c r="I369" s="7"/>
      <c r="J369" s="7"/>
      <c r="K369" s="7"/>
      <c r="L369" s="7"/>
      <c r="N369" s="2062"/>
      <c r="O369" s="2062"/>
      <c r="P369" s="2062"/>
      <c r="Q369" s="2062"/>
      <c r="R369" s="7"/>
      <c r="U369" s="7" t="s">
        <v>479</v>
      </c>
      <c r="V369" s="7"/>
      <c r="W369" s="7"/>
      <c r="X369" s="7"/>
      <c r="Y369" s="7"/>
      <c r="Z369" s="7"/>
      <c r="AA369" s="7"/>
      <c r="AB369" s="7"/>
      <c r="AC369" s="2062"/>
      <c r="AD369" s="2062"/>
      <c r="AE369" s="2062"/>
      <c r="AF369" s="2062"/>
    </row>
    <row r="370" spans="1:36" ht="12.75" customHeight="1">
      <c r="E370" s="7" t="s">
        <v>480</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5"/>
      <c r="T376" s="2085"/>
      <c r="U376" s="4" t="s">
        <v>315</v>
      </c>
      <c r="V376" s="2085"/>
      <c r="W376" s="2085"/>
      <c r="Y376" s="25" t="s">
        <v>313</v>
      </c>
      <c r="AA376" s="25"/>
      <c r="AB376" s="25" t="s">
        <v>314</v>
      </c>
      <c r="AD376" s="2085"/>
      <c r="AE376" s="2085"/>
      <c r="AF376" s="4" t="s">
        <v>315</v>
      </c>
      <c r="AG376" s="2085"/>
      <c r="AH376" s="2085"/>
    </row>
    <row r="377" spans="1:36" ht="12.75" customHeight="1">
      <c r="E377" s="7" t="s">
        <v>1089</v>
      </c>
      <c r="F377" s="7"/>
      <c r="G377" s="7"/>
      <c r="H377" s="7"/>
      <c r="I377" s="7"/>
      <c r="J377" s="7"/>
      <c r="K377" s="7"/>
      <c r="L377" s="7"/>
      <c r="N377" s="2085"/>
      <c r="O377" s="2085"/>
      <c r="P377" s="2085"/>
    </row>
    <row r="378" spans="1:36" ht="12.75" customHeight="1">
      <c r="E378" s="382" t="s">
        <v>1090</v>
      </c>
      <c r="F378" s="7"/>
      <c r="G378" s="7"/>
      <c r="H378" s="7"/>
      <c r="I378" s="7"/>
      <c r="J378" s="7"/>
      <c r="K378" s="7"/>
      <c r="L378" s="7"/>
      <c r="AG378" s="2190" t="s">
        <v>625</v>
      </c>
      <c r="AH378" s="2190"/>
    </row>
    <row r="379" spans="1:36" ht="12.75" customHeight="1">
      <c r="E379" s="7"/>
      <c r="F379" s="7"/>
      <c r="G379" s="7" t="s">
        <v>1111</v>
      </c>
      <c r="H379" s="7"/>
      <c r="I379" s="7"/>
      <c r="J379" s="7"/>
      <c r="K379" s="7"/>
      <c r="L379" s="7"/>
      <c r="AG379" s="2190" t="s">
        <v>625</v>
      </c>
      <c r="AH379" s="2190"/>
    </row>
    <row r="380" spans="1:36" ht="12.75" customHeight="1">
      <c r="E380" s="7"/>
      <c r="F380" s="7"/>
      <c r="G380" s="509" t="s">
        <v>1091</v>
      </c>
      <c r="H380" s="7"/>
      <c r="I380" s="7"/>
      <c r="J380" s="7"/>
      <c r="K380" s="7"/>
      <c r="L380" s="7"/>
      <c r="V380" s="2038" t="s">
        <v>625</v>
      </c>
      <c r="W380" s="2038"/>
      <c r="Y380" s="35" t="s">
        <v>1060</v>
      </c>
    </row>
    <row r="381" spans="1:36" ht="12.75" customHeight="1">
      <c r="E381" s="7" t="s">
        <v>1061</v>
      </c>
      <c r="F381" s="7"/>
      <c r="G381" s="7"/>
      <c r="H381" s="7"/>
      <c r="I381" s="7"/>
      <c r="J381" s="7"/>
      <c r="K381" s="7"/>
      <c r="L381" s="7"/>
      <c r="V381" s="2038" t="s">
        <v>625</v>
      </c>
      <c r="W381" s="2038"/>
      <c r="Y381" s="7" t="s">
        <v>1062</v>
      </c>
    </row>
    <row r="382" spans="1:36" ht="12.75" customHeight="1"/>
    <row r="383" spans="1:36" ht="12.75" customHeight="1">
      <c r="A383" s="50" t="s">
        <v>82</v>
      </c>
      <c r="B383" s="50"/>
    </row>
    <row r="384" spans="1:36" ht="12.75" customHeight="1">
      <c r="D384" s="12" t="s">
        <v>449</v>
      </c>
      <c r="J384" s="2039" t="s">
        <v>2610</v>
      </c>
      <c r="K384" s="2039"/>
      <c r="L384" s="2039"/>
      <c r="M384" s="2039"/>
      <c r="N384" s="2039"/>
      <c r="O384" s="2039"/>
      <c r="P384" s="2039"/>
      <c r="Q384" s="2039"/>
      <c r="R384" s="2039"/>
      <c r="S384" s="2039"/>
      <c r="T384" s="2039"/>
      <c r="U384" s="2039"/>
      <c r="V384" s="14" t="s">
        <v>88</v>
      </c>
      <c r="W384" s="14"/>
      <c r="X384" s="14"/>
      <c r="Y384" s="14"/>
      <c r="Z384" s="14"/>
      <c r="AA384" s="14"/>
      <c r="AB384" s="14"/>
      <c r="AC384" s="2039"/>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42"/>
      <c r="K385" s="2042"/>
      <c r="L385" s="2042"/>
      <c r="M385" s="2042"/>
      <c r="N385" s="2042"/>
      <c r="O385" s="2042"/>
      <c r="P385" s="2042"/>
      <c r="Q385" s="2042"/>
      <c r="R385" s="2042"/>
      <c r="S385" s="2042"/>
      <c r="T385" s="2042"/>
      <c r="U385" s="2042"/>
      <c r="V385" s="58" t="s">
        <v>1381</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2"/>
      <c r="K386" s="2042"/>
      <c r="L386" s="2042"/>
      <c r="M386" s="2042"/>
      <c r="N386" s="2042"/>
      <c r="O386" s="2042"/>
      <c r="P386" s="2042"/>
      <c r="Q386" s="2042"/>
      <c r="R386" s="2042"/>
      <c r="S386" s="2042"/>
      <c r="T386" s="2042"/>
      <c r="U386" s="2042"/>
      <c r="V386" s="58" t="s">
        <v>463</v>
      </c>
      <c r="W386" s="14"/>
      <c r="X386" s="14"/>
      <c r="Y386" s="14"/>
      <c r="Z386" s="14"/>
      <c r="AA386" s="14"/>
      <c r="AB386" s="14"/>
      <c r="AC386" s="2039"/>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58"/>
      <c r="K387" s="2058"/>
      <c r="L387" s="2058"/>
      <c r="M387" s="2058"/>
      <c r="N387" s="2058"/>
      <c r="O387" s="2058"/>
      <c r="P387" s="2058"/>
      <c r="Q387" s="2058"/>
      <c r="R387" s="2058"/>
      <c r="S387" s="2058"/>
      <c r="T387" s="2058"/>
      <c r="U387" s="2058"/>
      <c r="V387" s="2039"/>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381">
        <v>44367</v>
      </c>
      <c r="R388" s="2381"/>
      <c r="S388" s="2381"/>
      <c r="T388" s="2381"/>
      <c r="U388" s="2381"/>
      <c r="V388" s="12" t="s">
        <v>318</v>
      </c>
      <c r="AI388" s="2038" t="s">
        <v>705</v>
      </c>
      <c r="AJ388" s="2038"/>
    </row>
    <row r="389" spans="1:96" ht="12.75" customHeight="1">
      <c r="D389" s="12" t="s">
        <v>5</v>
      </c>
      <c r="Q389" s="2330"/>
      <c r="R389" s="2375"/>
      <c r="S389" s="2375"/>
      <c r="T389" s="2375"/>
      <c r="U389" s="2375"/>
      <c r="W389" s="33" t="s">
        <v>78</v>
      </c>
      <c r="AG389" s="2060"/>
      <c r="AH389" s="2060"/>
      <c r="AI389" s="2060"/>
      <c r="AJ389" s="2060"/>
    </row>
    <row r="390" spans="1:96" ht="12.75" customHeight="1">
      <c r="D390" s="12" t="s">
        <v>448</v>
      </c>
      <c r="Q390" s="2243">
        <v>830000</v>
      </c>
      <c r="R390" s="2243"/>
      <c r="S390" s="2243"/>
      <c r="T390" s="2243"/>
      <c r="U390" s="2243"/>
      <c r="V390" s="58" t="s">
        <v>1380</v>
      </c>
      <c r="AG390" s="2061">
        <v>44547</v>
      </c>
      <c r="AH390" s="2061"/>
      <c r="AI390" s="2061"/>
      <c r="AJ390" s="2061"/>
    </row>
    <row r="391" spans="1:96" ht="12.75" customHeight="1">
      <c r="D391" s="12" t="s">
        <v>93</v>
      </c>
      <c r="I391" s="2191"/>
      <c r="J391" s="2191"/>
      <c r="K391" s="2191"/>
      <c r="L391" s="2191"/>
      <c r="M391" s="2191"/>
      <c r="N391" s="2191"/>
      <c r="Q391" s="57" t="s">
        <v>212</v>
      </c>
      <c r="S391" s="2380"/>
      <c r="T391" s="2380"/>
      <c r="U391" s="2380"/>
      <c r="V391" s="12" t="s">
        <v>77</v>
      </c>
      <c r="AI391" s="2038" t="s">
        <v>705</v>
      </c>
      <c r="AJ391" s="2038"/>
    </row>
    <row r="392" spans="1:96" ht="12.75" customHeight="1">
      <c r="D392" s="12" t="s">
        <v>319</v>
      </c>
      <c r="Q392" s="2043"/>
      <c r="R392" s="2043"/>
      <c r="S392" s="2043"/>
      <c r="T392" s="2043"/>
      <c r="U392" s="2043"/>
      <c r="V392" s="12" t="s">
        <v>320</v>
      </c>
      <c r="AG392" s="2060"/>
      <c r="AH392" s="2060"/>
      <c r="AI392" s="2060"/>
      <c r="AJ392" s="2060"/>
    </row>
    <row r="393" spans="1:96" ht="12.75" customHeight="1">
      <c r="D393" s="12" t="s">
        <v>321</v>
      </c>
      <c r="Q393" s="2194"/>
      <c r="R393" s="2194"/>
      <c r="S393" s="2194"/>
      <c r="T393" s="2194"/>
      <c r="U393" s="2194"/>
      <c r="V393" s="719" t="s">
        <v>1357</v>
      </c>
      <c r="AG393" s="2060"/>
      <c r="AH393" s="2060"/>
      <c r="AI393" s="2060"/>
      <c r="AJ393" s="2060"/>
    </row>
    <row r="394" spans="1:96" ht="13.2">
      <c r="D394" s="719" t="s">
        <v>1356</v>
      </c>
      <c r="V394" s="719"/>
      <c r="AG394" s="2060"/>
      <c r="AH394" s="2060"/>
      <c r="AI394" s="2060"/>
      <c r="AJ394" s="2060"/>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8" t="s">
        <v>705</v>
      </c>
      <c r="AJ396" s="2038"/>
      <c r="AM396" s="39"/>
      <c r="AN396" s="39"/>
      <c r="AO396" s="39"/>
      <c r="AP396" s="39"/>
      <c r="AQ396" s="39"/>
      <c r="AR396" s="39"/>
      <c r="AS396" s="39"/>
      <c r="AT396" s="39"/>
      <c r="AU396" s="39"/>
      <c r="AV396" s="39"/>
      <c r="AW396" s="39"/>
      <c r="AX396" s="39"/>
      <c r="AY396" s="39"/>
      <c r="CR396" s="25"/>
    </row>
    <row r="397" spans="1:96" s="719" customFormat="1" ht="13.2">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3.2">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103" t="s">
        <v>705</v>
      </c>
      <c r="T400" s="2103"/>
      <c r="U400" s="2103"/>
      <c r="V400" s="479" t="s">
        <v>2016</v>
      </c>
      <c r="W400" s="719"/>
      <c r="X400" s="719"/>
      <c r="Y400" s="719"/>
      <c r="Z400" s="719"/>
      <c r="AA400" s="719"/>
      <c r="AB400" s="39"/>
      <c r="AC400" s="39"/>
      <c r="AD400" s="39"/>
      <c r="AE400" s="39"/>
      <c r="AF400" s="39"/>
      <c r="AG400" s="2201"/>
      <c r="AH400" s="2201"/>
      <c r="AI400" s="2201"/>
      <c r="AJ400" s="2201"/>
      <c r="AK400" s="39"/>
      <c r="AL400" s="719"/>
    </row>
    <row r="401" spans="1:96" s="719" customFormat="1" ht="13.2">
      <c r="D401" s="58" t="s">
        <v>2012</v>
      </c>
      <c r="S401" s="2103" t="s">
        <v>625</v>
      </c>
      <c r="T401" s="2103"/>
      <c r="U401" s="2103"/>
      <c r="V401" s="479" t="s">
        <v>2018</v>
      </c>
      <c r="AB401" s="39"/>
      <c r="AC401" s="39"/>
      <c r="AD401" s="39"/>
      <c r="AE401" s="2164"/>
      <c r="AF401" s="2164"/>
      <c r="AG401" s="2164"/>
      <c r="AH401" s="2164"/>
      <c r="AI401" s="2164"/>
      <c r="AJ401" s="2164"/>
      <c r="AK401" s="39"/>
      <c r="AM401" s="39"/>
      <c r="AN401" s="39"/>
      <c r="AO401" s="39"/>
      <c r="AP401" s="39"/>
      <c r="AQ401" s="39"/>
      <c r="AR401" s="39"/>
      <c r="AS401" s="39"/>
      <c r="AT401" s="39"/>
      <c r="AU401" s="39"/>
      <c r="AV401" s="39"/>
      <c r="AW401" s="39"/>
      <c r="AX401" s="39"/>
      <c r="AY401" s="39"/>
      <c r="CR401" s="25"/>
    </row>
    <row r="402" spans="1:96" s="719" customFormat="1" ht="13.2">
      <c r="D402" s="58" t="s">
        <v>2014</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3.2">
      <c r="D403" s="58" t="s">
        <v>2017</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66" t="s">
        <v>1383</v>
      </c>
      <c r="T404" s="2166"/>
      <c r="U404" s="2166"/>
      <c r="V404" s="2166"/>
      <c r="W404" s="2166"/>
      <c r="X404" s="2166"/>
      <c r="Y404" s="2166"/>
      <c r="Z404" s="2166"/>
      <c r="AA404" s="2166"/>
      <c r="AB404" s="2166"/>
      <c r="AC404" s="2166"/>
      <c r="AD404" s="2166"/>
      <c r="AE404" s="2166"/>
      <c r="AF404" s="2166"/>
      <c r="AG404" s="2166"/>
      <c r="AH404" s="2166"/>
      <c r="AI404" s="2166"/>
      <c r="AJ404" s="2166"/>
      <c r="AK404" s="39"/>
      <c r="AL404" s="39"/>
      <c r="AM404" s="39"/>
      <c r="AN404" s="39"/>
      <c r="AO404" s="39"/>
      <c r="AP404" s="39"/>
      <c r="AQ404" s="39"/>
      <c r="AR404" s="39"/>
      <c r="AS404" s="39"/>
      <c r="AT404" s="39"/>
      <c r="AU404" s="39"/>
      <c r="AV404" s="39"/>
      <c r="AW404" s="39"/>
      <c r="AX404" s="39"/>
      <c r="AY404" s="39"/>
      <c r="CR404" s="25"/>
    </row>
    <row r="405" spans="1:96" s="719" customFormat="1" ht="13.2">
      <c r="D405" s="2165" t="s">
        <v>2019</v>
      </c>
      <c r="E405" s="2165"/>
      <c r="F405" s="2165"/>
      <c r="G405" s="2165"/>
      <c r="H405" s="2165"/>
      <c r="I405" s="2165"/>
      <c r="J405" s="2165"/>
      <c r="K405" s="2165"/>
      <c r="L405" s="2165"/>
      <c r="M405" s="2165"/>
      <c r="N405" s="2165"/>
      <c r="O405" s="2165"/>
      <c r="P405" s="2165"/>
      <c r="Q405" s="2165"/>
      <c r="R405" s="2165"/>
      <c r="S405" s="2165"/>
      <c r="T405" s="2165"/>
      <c r="U405" s="2165"/>
      <c r="V405" s="2165"/>
      <c r="W405" s="2165"/>
      <c r="X405" s="2165"/>
      <c r="Y405" s="2165"/>
      <c r="Z405" s="2165"/>
      <c r="AA405" s="2165"/>
      <c r="AB405" s="2165"/>
      <c r="AC405" s="2165"/>
      <c r="AD405" s="2165"/>
      <c r="AE405" s="2165"/>
      <c r="AF405" s="2165"/>
      <c r="AG405" s="2165"/>
      <c r="AH405" s="2165"/>
      <c r="AI405" s="2165"/>
      <c r="AJ405" s="2165"/>
      <c r="AK405" s="39"/>
      <c r="AL405" s="39"/>
      <c r="AM405" s="39"/>
      <c r="AN405" s="39"/>
      <c r="AO405" s="39"/>
      <c r="AP405" s="39"/>
      <c r="AQ405" s="39"/>
      <c r="AR405" s="39"/>
      <c r="AS405" s="39"/>
      <c r="AT405" s="39"/>
      <c r="AU405" s="39"/>
      <c r="AV405" s="39"/>
      <c r="AW405" s="39"/>
      <c r="AX405" s="39"/>
      <c r="AY405" s="39"/>
      <c r="CR405" s="25"/>
    </row>
    <row r="406" spans="1:96" s="719" customFormat="1" ht="13.2">
      <c r="D406" s="2165"/>
      <c r="E406" s="2165"/>
      <c r="F406" s="2165"/>
      <c r="G406" s="2165"/>
      <c r="H406" s="2165"/>
      <c r="I406" s="2165"/>
      <c r="J406" s="2165"/>
      <c r="K406" s="2165"/>
      <c r="L406" s="2165"/>
      <c r="M406" s="2165"/>
      <c r="N406" s="2165"/>
      <c r="O406" s="2165"/>
      <c r="P406" s="2165"/>
      <c r="Q406" s="2165"/>
      <c r="R406" s="2165"/>
      <c r="S406" s="2165"/>
      <c r="T406" s="2165"/>
      <c r="U406" s="2165"/>
      <c r="V406" s="2165"/>
      <c r="W406" s="2165"/>
      <c r="X406" s="2165"/>
      <c r="Y406" s="2165"/>
      <c r="Z406" s="2165"/>
      <c r="AA406" s="2165"/>
      <c r="AB406" s="2165"/>
      <c r="AC406" s="2165"/>
      <c r="AD406" s="2165"/>
      <c r="AE406" s="2165"/>
      <c r="AF406" s="2165"/>
      <c r="AG406" s="2165"/>
      <c r="AH406" s="2165"/>
      <c r="AI406" s="2165"/>
      <c r="AJ406" s="2165"/>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4" t="s">
        <v>2587</v>
      </c>
      <c r="J409" s="2214"/>
      <c r="K409" s="2214"/>
      <c r="L409" s="2214"/>
      <c r="M409" s="2214"/>
      <c r="N409" s="2214"/>
      <c r="O409" s="2214"/>
      <c r="P409" s="2214"/>
      <c r="Q409" s="2214"/>
      <c r="R409" s="2214"/>
      <c r="S409" s="2214"/>
      <c r="T409" s="2214"/>
      <c r="U409" s="2214"/>
      <c r="V409" s="2214"/>
      <c r="W409" s="2214"/>
      <c r="X409" s="2214"/>
      <c r="Y409" s="2214"/>
      <c r="Z409" s="2214"/>
      <c r="AA409" s="2214"/>
      <c r="AB409" s="2214"/>
      <c r="AC409" s="2214"/>
      <c r="AD409" s="2214"/>
      <c r="AE409" s="2214"/>
    </row>
    <row r="410" spans="1:96" ht="12.75" customHeight="1">
      <c r="C410" s="25"/>
      <c r="D410" s="25"/>
      <c r="E410" s="12" t="s">
        <v>111</v>
      </c>
      <c r="F410" s="25"/>
      <c r="G410" s="25"/>
      <c r="H410" s="25"/>
      <c r="I410" s="25"/>
      <c r="J410" s="25"/>
      <c r="K410" s="25"/>
      <c r="L410" s="25"/>
      <c r="M410" s="25"/>
      <c r="N410" s="25"/>
      <c r="O410" s="25"/>
      <c r="P410" s="719"/>
      <c r="Q410" s="719"/>
      <c r="R410" s="2038" t="s">
        <v>625</v>
      </c>
      <c r="S410" s="2038"/>
      <c r="T410" s="12" t="s">
        <v>603</v>
      </c>
      <c r="U410" s="719"/>
      <c r="V410" s="719"/>
      <c r="W410" s="719"/>
      <c r="X410" s="719"/>
      <c r="Y410" s="719"/>
      <c r="Z410" s="719"/>
      <c r="AA410" s="719"/>
      <c r="AB410" s="719"/>
      <c r="AC410" s="719"/>
      <c r="AD410" s="2062">
        <v>0</v>
      </c>
      <c r="AE410" s="2062"/>
      <c r="AF410" s="719"/>
    </row>
    <row r="411" spans="1:96" ht="13.2">
      <c r="C411" s="25"/>
      <c r="E411" s="12" t="s">
        <v>112</v>
      </c>
      <c r="F411" s="719"/>
      <c r="G411" s="719"/>
      <c r="H411" s="719"/>
      <c r="I411" s="719"/>
      <c r="J411" s="719"/>
      <c r="K411" s="719"/>
      <c r="L411" s="719"/>
      <c r="M411" s="719"/>
      <c r="N411" s="25"/>
      <c r="O411" s="25"/>
      <c r="P411" s="719"/>
      <c r="Q411" s="719"/>
      <c r="R411" s="2038" t="s">
        <v>577</v>
      </c>
      <c r="S411" s="2038"/>
      <c r="T411" s="12" t="s">
        <v>603</v>
      </c>
      <c r="U411" s="719"/>
      <c r="V411" s="719"/>
      <c r="W411" s="719"/>
      <c r="X411" s="719"/>
      <c r="Y411" s="719"/>
      <c r="Z411" s="719"/>
      <c r="AA411" s="719"/>
      <c r="AB411" s="719"/>
      <c r="AC411" s="719"/>
      <c r="AD411" s="2062">
        <v>2</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625</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2" t="s">
        <v>343</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624</v>
      </c>
      <c r="B416" s="50"/>
      <c r="C416" s="50"/>
      <c r="D416" s="50" t="s">
        <v>119</v>
      </c>
      <c r="AF416" s="50" t="s">
        <v>1035</v>
      </c>
    </row>
    <row r="417" spans="1:96" ht="12.75" customHeight="1">
      <c r="E417" s="2085"/>
      <c r="F417" s="2085"/>
      <c r="G417" s="2085"/>
      <c r="H417" s="23" t="s">
        <v>120</v>
      </c>
      <c r="I417" s="2085"/>
      <c r="J417" s="2085"/>
      <c r="K417" s="2085"/>
      <c r="L417" s="12" t="s">
        <v>121</v>
      </c>
      <c r="N417" s="141" t="s">
        <v>609</v>
      </c>
      <c r="P417" s="2261">
        <v>4.4400000000000004</v>
      </c>
      <c r="Q417" s="2261"/>
      <c r="R417" s="2261"/>
      <c r="S417" s="12" t="s">
        <v>122</v>
      </c>
      <c r="W417" s="2074">
        <f>IF(E417&gt;0,(E417*I417),(P417*43560))</f>
        <v>193406.40000000002</v>
      </c>
      <c r="X417" s="2074"/>
      <c r="Y417" s="2074"/>
      <c r="Z417" s="12" t="s">
        <v>123</v>
      </c>
      <c r="AF417" s="2211">
        <f>IF(P417&gt;0,(AG436/P417),(AG436/(W417/43560)))</f>
        <v>15.765765765765764</v>
      </c>
      <c r="AG417" s="2211"/>
      <c r="AH417" s="2211"/>
      <c r="AM417" s="239"/>
    </row>
    <row r="418" spans="1:96" ht="13.2">
      <c r="E418" s="12" t="s">
        <v>54</v>
      </c>
    </row>
    <row r="419" spans="1:96" ht="12.75" customHeight="1">
      <c r="E419" s="2122"/>
      <c r="F419" s="2122"/>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2"/>
    </row>
    <row r="420" spans="1:96" s="39" customFormat="1" ht="12.75" customHeight="1">
      <c r="E420" s="254" t="s">
        <v>2234</v>
      </c>
      <c r="F420" s="1807"/>
      <c r="G420" s="1807"/>
      <c r="H420" s="1807"/>
      <c r="I420" s="2382">
        <v>3.4</v>
      </c>
      <c r="J420" s="2382"/>
      <c r="K420" s="2382"/>
      <c r="L420" s="1807"/>
      <c r="M420" s="254"/>
      <c r="N420" s="1807"/>
      <c r="O420" s="1807"/>
      <c r="P420" s="2416">
        <f>(CS637+CS645+CS661)/I420</f>
        <v>60</v>
      </c>
      <c r="Q420" s="2416"/>
      <c r="R420" s="2416"/>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8">
        <v>8</v>
      </c>
      <c r="Q423" s="2038"/>
      <c r="S423" s="12" t="s">
        <v>195</v>
      </c>
      <c r="AE423" s="2038">
        <v>8</v>
      </c>
      <c r="AF423" s="2038"/>
    </row>
    <row r="424" spans="1:96" ht="13.2">
      <c r="E424" s="12" t="s">
        <v>196</v>
      </c>
      <c r="P424" s="2038">
        <v>0</v>
      </c>
      <c r="Q424" s="2038"/>
      <c r="S424" s="12" t="s">
        <v>136</v>
      </c>
      <c r="AE424" s="2038" t="s">
        <v>625</v>
      </c>
      <c r="AF424" s="2038"/>
    </row>
    <row r="425" spans="1:96" ht="13.2">
      <c r="F425" s="67" t="s">
        <v>137</v>
      </c>
    </row>
    <row r="426" spans="1:96" ht="13.2">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642</v>
      </c>
      <c r="N428" s="39"/>
      <c r="O428" s="39"/>
      <c r="P428" s="235"/>
      <c r="Q428" s="2038" t="s">
        <v>577</v>
      </c>
      <c r="R428" s="203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8" t="s">
        <v>625</v>
      </c>
      <c r="AG429" s="2105"/>
    </row>
    <row r="430" spans="1:96" ht="12.75" customHeight="1">
      <c r="S430" s="25"/>
      <c r="T430" s="25"/>
    </row>
    <row r="431" spans="1:96" ht="12.75" customHeight="1">
      <c r="A431" s="50"/>
      <c r="B431" s="50"/>
      <c r="C431" s="50"/>
      <c r="E431" s="7" t="s">
        <v>317</v>
      </c>
      <c r="Z431" s="2038" t="s">
        <v>705</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8" t="s">
        <v>625</v>
      </c>
      <c r="AA433" s="2038"/>
    </row>
    <row r="434" spans="1:110" ht="12.75" customHeight="1"/>
    <row r="435" spans="1:110" ht="12.75" customHeight="1">
      <c r="A435" s="50" t="s">
        <v>499</v>
      </c>
      <c r="B435" s="50"/>
      <c r="C435" s="50"/>
      <c r="D435" s="50" t="s">
        <v>821</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54">
        <v>70</v>
      </c>
      <c r="AH436" s="2054"/>
      <c r="AI436" s="2054"/>
      <c r="AJ436" s="2054"/>
    </row>
    <row r="437" spans="1:110" ht="12.75" customHeight="1">
      <c r="D437" s="2021" t="s">
        <v>1436</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1"/>
      <c r="AH437" s="2082"/>
      <c r="AI437" s="2082"/>
      <c r="AJ437" s="2082"/>
    </row>
    <row r="438" spans="1:110" ht="12.75" customHeight="1">
      <c r="D438" s="2021" t="s">
        <v>1144</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4">
        <v>69</v>
      </c>
      <c r="AH438" s="2054"/>
      <c r="AI438" s="2054"/>
      <c r="AJ438" s="2054"/>
    </row>
    <row r="439" spans="1:110" ht="12.75" customHeight="1">
      <c r="D439" s="2021" t="s">
        <v>1145</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4">
        <v>69</v>
      </c>
      <c r="AH439" s="2054"/>
      <c r="AI439" s="2054"/>
      <c r="AJ439" s="2054"/>
    </row>
    <row r="440" spans="1:110" ht="12.75" customHeight="1">
      <c r="D440" s="2021" t="s">
        <v>1147</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3">
        <f>IF(ISERROR(AG439/AG438),"",AG439/AG438)</f>
        <v>1</v>
      </c>
      <c r="AH440" s="2073"/>
      <c r="AI440" s="2073"/>
      <c r="AJ440" s="2073"/>
    </row>
    <row r="441" spans="1:110" ht="12.75" customHeight="1">
      <c r="D441" s="2021" t="s">
        <v>1146</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2">
        <f>84400-850</f>
        <v>83550</v>
      </c>
      <c r="AH441" s="2072"/>
      <c r="AI441" s="2072"/>
      <c r="AJ441" s="2072"/>
    </row>
    <row r="442" spans="1:110" ht="12.75" customHeight="1">
      <c r="D442" s="2021" t="s">
        <v>1148</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2">
        <f>+AG441</f>
        <v>83550</v>
      </c>
      <c r="AH442" s="2072"/>
      <c r="AI442" s="2072"/>
      <c r="AJ442" s="2072"/>
    </row>
    <row r="443" spans="1:110" ht="12.75" customHeight="1">
      <c r="D443" s="2021" t="s">
        <v>1149</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3">
        <f>IF(ISERROR(AG442/AG441),"",AG442/AG441)</f>
        <v>1</v>
      </c>
      <c r="AH443" s="2073"/>
      <c r="AI443" s="2073"/>
      <c r="AJ443" s="2073"/>
    </row>
    <row r="444" spans="1:110" ht="12.75" customHeight="1">
      <c r="D444" s="2021" t="s">
        <v>1150</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3">
        <f>MIN(IF(AG440&gt;AG443,AG443,AG440),1)</f>
        <v>1</v>
      </c>
      <c r="AH444" s="2073"/>
      <c r="AI444" s="2073"/>
      <c r="AJ444" s="2073"/>
    </row>
    <row r="445" spans="1:110" ht="12.75" customHeight="1">
      <c r="D445" s="2021" t="s">
        <v>1411</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f>1100+500</f>
        <v>1600</v>
      </c>
      <c r="AH445" s="2072"/>
      <c r="AI445" s="2072"/>
      <c r="AJ445" s="2072"/>
    </row>
    <row r="446" spans="1:110" ht="12.75" customHeight="1">
      <c r="D446" s="2071" t="s">
        <v>601</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21" t="s">
        <v>1412</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f>1500+850</f>
        <v>2350</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1" t="s">
        <v>1151</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072">
        <v>0</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6" t="s">
        <v>1152</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1">
        <f>AG441+AG445+AG447+AG448</f>
        <v>87500</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9" t="s">
        <v>1413</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404401.0245658317</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404401.0245658317</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376253.92382897896</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0" t="s">
        <v>730</v>
      </c>
      <c r="E464" s="2098"/>
      <c r="F464" s="2098"/>
      <c r="G464" s="2098"/>
      <c r="H464" s="2098"/>
      <c r="I464" s="2098"/>
      <c r="J464" s="2098"/>
      <c r="K464" s="2098"/>
      <c r="L464" s="2098"/>
      <c r="M464" s="2098"/>
      <c r="N464" s="2098"/>
      <c r="O464" s="2098"/>
      <c r="P464" s="2098"/>
      <c r="Q464" s="2098"/>
      <c r="R464" s="2098"/>
      <c r="S464" s="2098"/>
      <c r="T464" s="2098"/>
      <c r="U464" s="2098"/>
      <c r="V464" s="2099"/>
      <c r="W464" s="2107" t="s">
        <v>625</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0" t="s">
        <v>731</v>
      </c>
      <c r="E465" s="2098"/>
      <c r="F465" s="2098"/>
      <c r="G465" s="2098"/>
      <c r="H465" s="2098"/>
      <c r="I465" s="2098"/>
      <c r="J465" s="2098"/>
      <c r="K465" s="2098"/>
      <c r="L465" s="2098"/>
      <c r="M465" s="2098"/>
      <c r="N465" s="2098"/>
      <c r="O465" s="2098"/>
      <c r="P465" s="2098"/>
      <c r="Q465" s="2098"/>
      <c r="R465" s="2098"/>
      <c r="S465" s="2098"/>
      <c r="T465" s="2098"/>
      <c r="U465" s="2098"/>
      <c r="V465" s="2099"/>
      <c r="W465" s="2107" t="s">
        <v>625</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0" t="s">
        <v>732</v>
      </c>
      <c r="E466" s="2098"/>
      <c r="F466" s="2098"/>
      <c r="G466" s="2098"/>
      <c r="H466" s="2098"/>
      <c r="I466" s="2098"/>
      <c r="J466" s="2098"/>
      <c r="K466" s="2098"/>
      <c r="L466" s="2098"/>
      <c r="M466" s="2098"/>
      <c r="N466" s="2098"/>
      <c r="O466" s="2098"/>
      <c r="P466" s="2098"/>
      <c r="Q466" s="2098"/>
      <c r="R466" s="2098"/>
      <c r="S466" s="2098"/>
      <c r="T466" s="2098"/>
      <c r="U466" s="2098"/>
      <c r="V466" s="2099"/>
      <c r="W466" s="2107" t="s">
        <v>625</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733</v>
      </c>
      <c r="E467" s="2098"/>
      <c r="F467" s="2098"/>
      <c r="G467" s="2098"/>
      <c r="H467" s="2098"/>
      <c r="I467" s="2098"/>
      <c r="J467" s="2098"/>
      <c r="K467" s="2098"/>
      <c r="L467" s="2098"/>
      <c r="M467" s="2098"/>
      <c r="N467" s="2098"/>
      <c r="O467" s="2098"/>
      <c r="P467" s="2098"/>
      <c r="Q467" s="2098"/>
      <c r="R467" s="2098"/>
      <c r="S467" s="2098"/>
      <c r="T467" s="2098"/>
      <c r="U467" s="2098"/>
      <c r="V467" s="2099"/>
      <c r="W467" s="2107" t="s">
        <v>625</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945</v>
      </c>
      <c r="E468" s="2098"/>
      <c r="F468" s="2098"/>
      <c r="G468" s="2098"/>
      <c r="H468" s="2098"/>
      <c r="I468" s="2098"/>
      <c r="J468" s="2098"/>
      <c r="K468" s="2098"/>
      <c r="L468" s="2098"/>
      <c r="M468" s="2098"/>
      <c r="N468" s="2098"/>
      <c r="O468" s="2098"/>
      <c r="P468" s="2098"/>
      <c r="Q468" s="2098"/>
      <c r="R468" s="2098"/>
      <c r="S468" s="2098"/>
      <c r="T468" s="2098"/>
      <c r="U468" s="2098"/>
      <c r="V468" s="2099"/>
      <c r="W468" s="2107" t="s">
        <v>625</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0" t="s">
        <v>734</v>
      </c>
      <c r="E469" s="2098"/>
      <c r="F469" s="2098"/>
      <c r="G469" s="2098"/>
      <c r="H469" s="2098"/>
      <c r="I469" s="2098"/>
      <c r="J469" s="2098"/>
      <c r="K469" s="2098"/>
      <c r="L469" s="2098"/>
      <c r="M469" s="2098"/>
      <c r="N469" s="2098"/>
      <c r="O469" s="2098"/>
      <c r="P469" s="2098"/>
      <c r="Q469" s="2098"/>
      <c r="R469" s="2098"/>
      <c r="S469" s="2098"/>
      <c r="T469" s="2098"/>
      <c r="U469" s="2098"/>
      <c r="V469" s="2099"/>
      <c r="W469" s="2107" t="s">
        <v>625</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0" t="s">
        <v>1118</v>
      </c>
      <c r="E470" s="2098"/>
      <c r="F470" s="2098"/>
      <c r="G470" s="2098"/>
      <c r="H470" s="2098"/>
      <c r="I470" s="2098"/>
      <c r="J470" s="2098"/>
      <c r="K470" s="2098"/>
      <c r="L470" s="2098"/>
      <c r="M470" s="2098"/>
      <c r="N470" s="2098"/>
      <c r="O470" s="2098"/>
      <c r="P470" s="2098"/>
      <c r="Q470" s="2098"/>
      <c r="R470" s="2098"/>
      <c r="S470" s="2098"/>
      <c r="T470" s="2098"/>
      <c r="U470" s="2098"/>
      <c r="V470" s="2099"/>
      <c r="W470" s="2107" t="s">
        <v>625</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7" t="s">
        <v>2007</v>
      </c>
      <c r="E471" s="2098"/>
      <c r="F471" s="2098"/>
      <c r="G471" s="2098"/>
      <c r="H471" s="2098"/>
      <c r="I471" s="2098"/>
      <c r="J471" s="2098"/>
      <c r="K471" s="2098"/>
      <c r="L471" s="2098"/>
      <c r="M471" s="2098"/>
      <c r="N471" s="2098"/>
      <c r="O471" s="2098"/>
      <c r="P471" s="2098"/>
      <c r="Q471" s="2098"/>
      <c r="R471" s="2098"/>
      <c r="S471" s="2098"/>
      <c r="T471" s="2098"/>
      <c r="U471" s="2098"/>
      <c r="V471" s="2099"/>
      <c r="W471" s="2094">
        <v>11</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1"/>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3" t="s">
        <v>868</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8" t="s">
        <v>869</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60" t="s">
        <v>36</v>
      </c>
      <c r="U484" s="2160"/>
      <c r="V484" s="2160"/>
      <c r="W484" s="2160"/>
      <c r="X484" s="2160"/>
      <c r="Y484" s="2160" t="s">
        <v>37</v>
      </c>
      <c r="Z484" s="2160"/>
      <c r="AA484" s="2160"/>
      <c r="AB484" s="2160"/>
      <c r="AC484" s="2160"/>
      <c r="AD484" s="2160" t="s">
        <v>348</v>
      </c>
      <c r="AE484" s="2160"/>
      <c r="AF484" s="2160"/>
      <c r="AG484" s="2160"/>
      <c r="AH484" s="21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60"/>
      <c r="U485" s="2160"/>
      <c r="V485" s="2160"/>
      <c r="W485" s="2160"/>
      <c r="X485" s="2160"/>
      <c r="Y485" s="2160"/>
      <c r="Z485" s="2160"/>
      <c r="AA485" s="2160"/>
      <c r="AB485" s="2160"/>
      <c r="AC485" s="2160"/>
      <c r="AD485" s="2160"/>
      <c r="AE485" s="2160"/>
      <c r="AF485" s="2160"/>
      <c r="AG485" s="2160"/>
      <c r="AH485" s="21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153" t="s">
        <v>2634</v>
      </c>
      <c r="Z486" s="2031"/>
      <c r="AA486" s="2031"/>
      <c r="AB486" s="2031"/>
      <c r="AC486" s="2031"/>
      <c r="AD486" s="2031">
        <v>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0</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0</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v>0</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0</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1">
        <v>0</v>
      </c>
      <c r="U492" s="2031"/>
      <c r="V492" s="2031"/>
      <c r="W492" s="2031"/>
      <c r="X492" s="2031"/>
      <c r="Y492" s="2153" t="s">
        <v>2634</v>
      </c>
      <c r="Z492" s="2031"/>
      <c r="AA492" s="2031"/>
      <c r="AB492" s="2031"/>
      <c r="AC492" s="2031"/>
      <c r="AD492" s="2031">
        <v>0</v>
      </c>
      <c r="AE492" s="2031"/>
      <c r="AF492" s="2031"/>
      <c r="AG492" s="2031"/>
      <c r="AH492" s="203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0</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v>0</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031">
        <v>0</v>
      </c>
      <c r="U495" s="2031"/>
      <c r="V495" s="2031"/>
      <c r="W495" s="2031"/>
      <c r="X495" s="2031"/>
      <c r="Y495" s="2153" t="s">
        <v>2634</v>
      </c>
      <c r="Z495" s="2031"/>
      <c r="AA495" s="2031"/>
      <c r="AB495" s="2031"/>
      <c r="AC495" s="2031"/>
      <c r="AD495" s="2031">
        <v>0</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1" t="s">
        <v>2611</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1" t="s">
        <v>2643</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1" t="str">
        <f>+Q499</f>
        <v>R-3, 16 units per acre (before density bonus)</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5" t="s">
        <v>418</v>
      </c>
      <c r="C501" s="2196"/>
      <c r="D501" s="2196"/>
      <c r="E501" s="2196"/>
      <c r="F501" s="2196"/>
      <c r="G501" s="2196"/>
      <c r="H501" s="2196"/>
      <c r="I501" s="2196"/>
      <c r="J501" s="2196"/>
      <c r="K501" s="2196"/>
      <c r="L501" s="2196"/>
      <c r="M501" s="2196"/>
      <c r="N501" s="2196"/>
      <c r="O501" s="2196"/>
      <c r="P501" s="2197"/>
      <c r="Q501" s="2178" t="s">
        <v>705</v>
      </c>
      <c r="R501" s="2179"/>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8"/>
      <c r="C502" s="2199"/>
      <c r="D502" s="2199"/>
      <c r="E502" s="2199"/>
      <c r="F502" s="2199"/>
      <c r="G502" s="2199"/>
      <c r="H502" s="2199"/>
      <c r="I502" s="2199"/>
      <c r="J502" s="2199"/>
      <c r="K502" s="2199"/>
      <c r="L502" s="2199"/>
      <c r="M502" s="2199"/>
      <c r="N502" s="2199"/>
      <c r="O502" s="2199"/>
      <c r="P502" s="2200"/>
      <c r="Q502" s="2180"/>
      <c r="R502" s="2181"/>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078" t="s">
        <v>625</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1" t="s">
        <v>2612</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1" t="s">
        <v>2613</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111">
        <v>105</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132">
        <v>53</v>
      </c>
      <c r="N507" s="2133"/>
      <c r="O507" s="2133"/>
      <c r="P507" s="2134"/>
      <c r="Q507" s="1521" t="s">
        <v>2026</v>
      </c>
      <c r="R507" s="1522"/>
      <c r="S507" s="1522"/>
      <c r="T507" s="1522"/>
      <c r="U507" s="1522"/>
      <c r="V507" s="1522"/>
      <c r="W507" s="1522"/>
      <c r="X507" s="1522"/>
      <c r="Y507" s="1522"/>
      <c r="Z507" s="1522"/>
      <c r="AA507" s="1522"/>
      <c r="AB507" s="1522"/>
      <c r="AC507" s="1522"/>
      <c r="AD507" s="1522"/>
      <c r="AE507" s="1522"/>
      <c r="AF507" s="1522"/>
      <c r="AG507" s="1522"/>
      <c r="AH507" s="2132">
        <v>52</v>
      </c>
      <c r="AI507" s="2133"/>
      <c r="AJ507" s="2133"/>
      <c r="AK507" s="21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423</v>
      </c>
      <c r="AD512" s="2109"/>
      <c r="AE512" s="2109"/>
      <c r="AF512" s="2109"/>
      <c r="AG512" s="82" t="s">
        <v>424</v>
      </c>
      <c r="AH512" s="2109" t="s">
        <v>425</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59">
        <v>12</v>
      </c>
      <c r="AD513" s="2062"/>
      <c r="AE513" s="2062"/>
      <c r="AF513" s="2062"/>
      <c r="AG513" s="75" t="s">
        <v>424</v>
      </c>
      <c r="AH513" s="2058">
        <v>2021</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59">
        <v>12</v>
      </c>
      <c r="AD514" s="2062"/>
      <c r="AE514" s="2062"/>
      <c r="AF514" s="2062"/>
      <c r="AG514" s="65" t="s">
        <v>424</v>
      </c>
      <c r="AH514" s="2058">
        <v>2021</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59" t="s">
        <v>625</v>
      </c>
      <c r="AD515" s="2062"/>
      <c r="AE515" s="2062"/>
      <c r="AF515" s="2062"/>
      <c r="AG515" s="75" t="s">
        <v>424</v>
      </c>
      <c r="AH515" s="2058"/>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59" t="s">
        <v>625</v>
      </c>
      <c r="AD516" s="2062"/>
      <c r="AE516" s="2062"/>
      <c r="AF516" s="2062"/>
      <c r="AG516" s="75" t="s">
        <v>424</v>
      </c>
      <c r="AH516" s="2058"/>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59">
        <v>12</v>
      </c>
      <c r="AD517" s="2062"/>
      <c r="AE517" s="2062"/>
      <c r="AF517" s="2062"/>
      <c r="AG517" s="75" t="s">
        <v>424</v>
      </c>
      <c r="AH517" s="2058">
        <v>2021</v>
      </c>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59">
        <v>5</v>
      </c>
      <c r="AD518" s="2062"/>
      <c r="AE518" s="2062"/>
      <c r="AF518" s="2062"/>
      <c r="AG518" s="75" t="s">
        <v>424</v>
      </c>
      <c r="AH518" s="2058">
        <v>2022</v>
      </c>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6">
        <v>5</v>
      </c>
      <c r="AD519" s="2047"/>
      <c r="AE519" s="2047"/>
      <c r="AF519" s="2047"/>
      <c r="AG519" s="75" t="s">
        <v>424</v>
      </c>
      <c r="AH519" s="2058">
        <v>2022</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7"/>
      <c r="C520" s="2028"/>
      <c r="D520" s="2028"/>
      <c r="E520" s="2028"/>
      <c r="F520" s="2028"/>
      <c r="G520" s="2028"/>
      <c r="H520" s="2029"/>
      <c r="I520" s="1524" t="s">
        <v>175</v>
      </c>
      <c r="J520" s="80"/>
      <c r="K520" s="80"/>
      <c r="L520" s="2157" t="s">
        <v>343</v>
      </c>
      <c r="M520" s="2103"/>
      <c r="N520" s="2103"/>
      <c r="O520" s="2103"/>
      <c r="P520" s="2103"/>
      <c r="Q520" s="2103"/>
      <c r="R520" s="2103"/>
      <c r="S520" s="2103"/>
      <c r="T520" s="2103"/>
      <c r="U520" s="2103"/>
      <c r="V520" s="2103"/>
      <c r="W520" s="2103"/>
      <c r="X520" s="2103"/>
      <c r="Y520" s="2103"/>
      <c r="Z520" s="2103"/>
      <c r="AA520" s="2103"/>
      <c r="AB520" s="2158"/>
      <c r="AC520" s="2159" t="s">
        <v>625</v>
      </c>
      <c r="AD520" s="2062"/>
      <c r="AE520" s="2062"/>
      <c r="AF520" s="2062"/>
      <c r="AG520" s="1495" t="s">
        <v>424</v>
      </c>
      <c r="AH520" s="2058"/>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4" t="s">
        <v>577</v>
      </c>
      <c r="AD521" s="2054"/>
      <c r="AE521" s="2054"/>
      <c r="AF521" s="2054"/>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v>1</v>
      </c>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0" t="s">
        <v>423</v>
      </c>
      <c r="AD525" s="2151"/>
      <c r="AE525" s="2151"/>
      <c r="AF525" s="2151"/>
      <c r="AG525" s="1788"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59">
        <v>8</v>
      </c>
      <c r="AD526" s="2062"/>
      <c r="AE526" s="2062"/>
      <c r="AF526" s="2062"/>
      <c r="AG526" s="75" t="s">
        <v>424</v>
      </c>
      <c r="AH526" s="2058">
        <v>2021</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59">
        <v>8</v>
      </c>
      <c r="AD527" s="2062"/>
      <c r="AE527" s="2062"/>
      <c r="AF527" s="2062"/>
      <c r="AG527" s="75" t="s">
        <v>424</v>
      </c>
      <c r="AH527" s="2058">
        <v>2021</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59">
        <v>6</v>
      </c>
      <c r="AD528" s="2062"/>
      <c r="AE528" s="2062"/>
      <c r="AF528" s="2062"/>
      <c r="AG528" s="65" t="s">
        <v>424</v>
      </c>
      <c r="AH528" s="2058">
        <v>2022</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6">
        <v>8</v>
      </c>
      <c r="AD529" s="2047"/>
      <c r="AE529" s="2047"/>
      <c r="AF529" s="2047"/>
      <c r="AG529" s="196" t="s">
        <v>424</v>
      </c>
      <c r="AH529" s="2058">
        <v>2021</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59">
        <v>8</v>
      </c>
      <c r="AD530" s="2062"/>
      <c r="AE530" s="2062"/>
      <c r="AF530" s="2062"/>
      <c r="AG530" s="75" t="s">
        <v>424</v>
      </c>
      <c r="AH530" s="2058">
        <v>2021</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67"/>
      <c r="C531" s="2168"/>
      <c r="D531" s="2168"/>
      <c r="E531" s="2168"/>
      <c r="F531" s="2168"/>
      <c r="G531" s="2168"/>
      <c r="H531" s="2169"/>
      <c r="I531" s="80" t="s">
        <v>438</v>
      </c>
      <c r="J531" s="80"/>
      <c r="K531" s="80"/>
      <c r="L531" s="80"/>
      <c r="M531" s="80"/>
      <c r="N531" s="80"/>
      <c r="O531" s="80"/>
      <c r="P531" s="80"/>
      <c r="Q531" s="80"/>
      <c r="R531" s="80"/>
      <c r="S531" s="80"/>
      <c r="T531" s="80"/>
      <c r="U531" s="80"/>
      <c r="V531" s="80"/>
      <c r="W531" s="80"/>
      <c r="X531" s="80"/>
      <c r="Y531" s="80"/>
      <c r="Z531" s="80"/>
      <c r="AA531" s="80"/>
      <c r="AB531" s="80"/>
      <c r="AC531" s="2159">
        <v>6</v>
      </c>
      <c r="AD531" s="2062"/>
      <c r="AE531" s="2062"/>
      <c r="AF531" s="2062"/>
      <c r="AG531" s="65" t="s">
        <v>424</v>
      </c>
      <c r="AH531" s="2058">
        <v>2022</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4" t="s">
        <v>440</v>
      </c>
      <c r="C532" s="2025"/>
      <c r="D532" s="2025"/>
      <c r="E532" s="2025"/>
      <c r="F532" s="2025"/>
      <c r="G532" s="2025"/>
      <c r="H532" s="2026"/>
      <c r="I532" s="71" t="s">
        <v>441</v>
      </c>
      <c r="J532" s="72"/>
      <c r="K532" s="72"/>
      <c r="L532" s="72"/>
      <c r="M532" s="72"/>
      <c r="N532" s="72"/>
      <c r="O532" s="2042" t="s">
        <v>2625</v>
      </c>
      <c r="P532" s="2042"/>
      <c r="Q532" s="2042"/>
      <c r="R532" s="2042"/>
      <c r="S532" s="2042"/>
      <c r="T532" s="2042"/>
      <c r="U532" s="2042"/>
      <c r="V532" s="2042"/>
      <c r="W532" s="2042"/>
      <c r="X532" s="2042"/>
      <c r="Y532" s="2042"/>
      <c r="Z532" s="2042"/>
      <c r="AA532" s="2042"/>
      <c r="AB532" s="94"/>
      <c r="AC532" s="2046">
        <v>7</v>
      </c>
      <c r="AD532" s="2047"/>
      <c r="AE532" s="2047"/>
      <c r="AF532" s="2047"/>
      <c r="AG532" s="196" t="s">
        <v>424</v>
      </c>
      <c r="AH532" s="2058">
        <v>2021</v>
      </c>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59">
        <v>7</v>
      </c>
      <c r="AD533" s="2062"/>
      <c r="AE533" s="2062"/>
      <c r="AF533" s="2062"/>
      <c r="AG533" s="75" t="s">
        <v>424</v>
      </c>
      <c r="AH533" s="2058">
        <v>2021</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59">
        <v>6</v>
      </c>
      <c r="AD534" s="2062"/>
      <c r="AE534" s="2062"/>
      <c r="AF534" s="2062"/>
      <c r="AG534" s="65" t="s">
        <v>424</v>
      </c>
      <c r="AH534" s="2058">
        <v>2022</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7"/>
      <c r="C535" s="2028"/>
      <c r="D535" s="2028"/>
      <c r="E535" s="2028"/>
      <c r="F535" s="2028"/>
      <c r="G535" s="2028"/>
      <c r="H535" s="2029"/>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59" t="s">
        <v>625</v>
      </c>
      <c r="AD535" s="2062"/>
      <c r="AE535" s="2062"/>
      <c r="AF535" s="2062"/>
      <c r="AG535" s="75" t="s">
        <v>424</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59" t="s">
        <v>625</v>
      </c>
      <c r="AD536" s="2062"/>
      <c r="AE536" s="2062"/>
      <c r="AF536" s="2062"/>
      <c r="AG536" s="75" t="s">
        <v>424</v>
      </c>
      <c r="AH536" s="2058"/>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59" t="s">
        <v>625</v>
      </c>
      <c r="AD537" s="2062"/>
      <c r="AE537" s="2062"/>
      <c r="AF537" s="2062"/>
      <c r="AG537" s="65" t="s">
        <v>424</v>
      </c>
      <c r="AH537" s="2058"/>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7"/>
      <c r="C538" s="2028"/>
      <c r="D538" s="2028"/>
      <c r="E538" s="2028"/>
      <c r="F538" s="2028"/>
      <c r="G538" s="2028"/>
      <c r="H538" s="2029"/>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59" t="s">
        <v>625</v>
      </c>
      <c r="AD538" s="2062"/>
      <c r="AE538" s="2062"/>
      <c r="AF538" s="2062"/>
      <c r="AG538" s="75" t="s">
        <v>424</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59" t="s">
        <v>625</v>
      </c>
      <c r="AD539" s="2062"/>
      <c r="AE539" s="2062"/>
      <c r="AF539" s="2062"/>
      <c r="AG539" s="75" t="s">
        <v>424</v>
      </c>
      <c r="AH539" s="2058"/>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59" t="s">
        <v>625</v>
      </c>
      <c r="AD540" s="2062"/>
      <c r="AE540" s="2062"/>
      <c r="AF540" s="2062"/>
      <c r="AG540" s="65" t="s">
        <v>424</v>
      </c>
      <c r="AH540" s="2058"/>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7"/>
      <c r="C541" s="2028"/>
      <c r="D541" s="2028"/>
      <c r="E541" s="2028"/>
      <c r="F541" s="2028"/>
      <c r="G541" s="2028"/>
      <c r="H541" s="2029"/>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59" t="s">
        <v>625</v>
      </c>
      <c r="AD541" s="2062"/>
      <c r="AE541" s="2062"/>
      <c r="AF541" s="2062"/>
      <c r="AG541" s="75" t="s">
        <v>424</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59" t="s">
        <v>625</v>
      </c>
      <c r="AD542" s="2062"/>
      <c r="AE542" s="2062"/>
      <c r="AF542" s="2062"/>
      <c r="AG542" s="75" t="s">
        <v>424</v>
      </c>
      <c r="AH542" s="2058"/>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59" t="s">
        <v>625</v>
      </c>
      <c r="AD543" s="2062"/>
      <c r="AE543" s="2062"/>
      <c r="AF543" s="2062"/>
      <c r="AG543" s="65" t="s">
        <v>424</v>
      </c>
      <c r="AH543" s="2058"/>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7"/>
      <c r="C544" s="2028"/>
      <c r="D544" s="2028"/>
      <c r="E544" s="2028"/>
      <c r="F544" s="2028"/>
      <c r="G544" s="2028"/>
      <c r="H544" s="2029"/>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59" t="s">
        <v>625</v>
      </c>
      <c r="AD544" s="2062"/>
      <c r="AE544" s="2062"/>
      <c r="AF544" s="2062"/>
      <c r="AG544" s="75" t="s">
        <v>424</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59" t="s">
        <v>625</v>
      </c>
      <c r="AD545" s="2062"/>
      <c r="AE545" s="2062"/>
      <c r="AF545" s="2062"/>
      <c r="AG545" s="65" t="s">
        <v>424</v>
      </c>
      <c r="AH545" s="2058"/>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59" t="s">
        <v>625</v>
      </c>
      <c r="AD546" s="2062"/>
      <c r="AE546" s="2062"/>
      <c r="AF546" s="2062"/>
      <c r="AG546" s="75" t="s">
        <v>424</v>
      </c>
      <c r="AH546" s="2058"/>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7"/>
      <c r="C547" s="2028"/>
      <c r="D547" s="2028"/>
      <c r="E547" s="2028"/>
      <c r="F547" s="2028"/>
      <c r="G547" s="2028"/>
      <c r="H547" s="2029"/>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59" t="s">
        <v>625</v>
      </c>
      <c r="AD547" s="2062"/>
      <c r="AE547" s="2062"/>
      <c r="AF547" s="2062"/>
      <c r="AG547" s="65" t="s">
        <v>424</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59" t="s">
        <v>625</v>
      </c>
      <c r="AD548" s="2062"/>
      <c r="AE548" s="2062"/>
      <c r="AF548" s="2062"/>
      <c r="AG548" s="75" t="s">
        <v>424</v>
      </c>
      <c r="AH548" s="2058"/>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59" t="s">
        <v>625</v>
      </c>
      <c r="AD549" s="2062"/>
      <c r="AE549" s="2062"/>
      <c r="AF549" s="2062"/>
      <c r="AG549" s="65" t="s">
        <v>424</v>
      </c>
      <c r="AH549" s="2058"/>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59">
        <v>6</v>
      </c>
      <c r="AD550" s="2062"/>
      <c r="AE550" s="2062"/>
      <c r="AF550" s="2062"/>
      <c r="AG550" s="65" t="s">
        <v>424</v>
      </c>
      <c r="AH550" s="2058">
        <v>2022</v>
      </c>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59">
        <v>6</v>
      </c>
      <c r="AD551" s="2062"/>
      <c r="AE551" s="2062"/>
      <c r="AF551" s="2062"/>
      <c r="AG551" s="75" t="s">
        <v>424</v>
      </c>
      <c r="AH551" s="2058">
        <v>2022</v>
      </c>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59">
        <v>12</v>
      </c>
      <c r="AD552" s="2062"/>
      <c r="AE552" s="2062"/>
      <c r="AF552" s="2062"/>
      <c r="AG552" s="65" t="s">
        <v>424</v>
      </c>
      <c r="AH552" s="2058">
        <v>2023</v>
      </c>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59">
        <v>12</v>
      </c>
      <c r="AD553" s="2062"/>
      <c r="AE553" s="2062"/>
      <c r="AF553" s="2062"/>
      <c r="AG553" s="65" t="s">
        <v>424</v>
      </c>
      <c r="AH553" s="2058">
        <v>2023</v>
      </c>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67"/>
      <c r="C554" s="2168"/>
      <c r="D554" s="2168"/>
      <c r="E554" s="2168"/>
      <c r="F554" s="2168"/>
      <c r="G554" s="2168"/>
      <c r="H554" s="2169"/>
      <c r="I554" s="80" t="s">
        <v>481</v>
      </c>
      <c r="J554" s="80"/>
      <c r="K554" s="80"/>
      <c r="L554" s="80"/>
      <c r="M554" s="80"/>
      <c r="N554" s="80"/>
      <c r="O554" s="80"/>
      <c r="P554" s="80"/>
      <c r="Q554" s="80"/>
      <c r="R554" s="80"/>
      <c r="S554" s="80"/>
      <c r="T554" s="80"/>
      <c r="U554" s="80"/>
      <c r="V554" s="80"/>
      <c r="W554" s="80"/>
      <c r="X554" s="80"/>
      <c r="Y554" s="80"/>
      <c r="Z554" s="80"/>
      <c r="AA554" s="80"/>
      <c r="AB554" s="80"/>
      <c r="AC554" s="2159">
        <v>3</v>
      </c>
      <c r="AD554" s="2062"/>
      <c r="AE554" s="2062"/>
      <c r="AF554" s="2062"/>
      <c r="AG554" s="65" t="s">
        <v>424</v>
      </c>
      <c r="AH554" s="2058">
        <v>2024</v>
      </c>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483</v>
      </c>
      <c r="C563" s="2173"/>
      <c r="D563" s="2173"/>
      <c r="E563" s="2173"/>
      <c r="F563" s="2173"/>
      <c r="G563" s="2173"/>
      <c r="H563" s="2173"/>
      <c r="I563" s="2173"/>
      <c r="J563" s="2173"/>
      <c r="K563" s="2173"/>
      <c r="L563" s="2173"/>
      <c r="M563" s="2173"/>
      <c r="N563" s="2173"/>
      <c r="O563" s="2173"/>
      <c r="P563" s="2174"/>
      <c r="Q563" s="2161" t="s">
        <v>2378</v>
      </c>
      <c r="R563" s="2162"/>
      <c r="S563" s="2163"/>
      <c r="T563" s="2161" t="s">
        <v>2376</v>
      </c>
      <c r="U563" s="2162"/>
      <c r="V563" s="2163"/>
      <c r="W563" s="2161" t="s">
        <v>484</v>
      </c>
      <c r="X563" s="2162"/>
      <c r="Y563" s="2163"/>
      <c r="Z563" s="2161" t="s">
        <v>2377</v>
      </c>
      <c r="AA563" s="2162"/>
      <c r="AB563" s="2162"/>
      <c r="AC563" s="2162"/>
      <c r="AD563" s="2162"/>
      <c r="AE563" s="2161" t="s">
        <v>2150</v>
      </c>
      <c r="AF563" s="2162"/>
      <c r="AG563" s="2162"/>
      <c r="AH563" s="2163"/>
      <c r="AI563" s="2161" t="s">
        <v>2151</v>
      </c>
      <c r="AJ563" s="2162"/>
      <c r="AK563" s="2162"/>
      <c r="AL563" s="2163"/>
      <c r="AM563" s="2161" t="s">
        <v>485</v>
      </c>
      <c r="AN563" s="2162"/>
      <c r="AO563" s="2162"/>
      <c r="AP563" s="2162"/>
      <c r="AQ563" s="2162"/>
      <c r="AR563" s="2162"/>
      <c r="AS563" s="2163"/>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75" t="s">
        <v>2616</v>
      </c>
      <c r="D564" s="2175"/>
      <c r="E564" s="2175"/>
      <c r="F564" s="2175"/>
      <c r="G564" s="2175"/>
      <c r="H564" s="2175"/>
      <c r="I564" s="2175"/>
      <c r="J564" s="2175"/>
      <c r="K564" s="2175"/>
      <c r="L564" s="2175"/>
      <c r="M564" s="2175"/>
      <c r="N564" s="2175"/>
      <c r="O564" s="2175"/>
      <c r="P564" s="2176"/>
      <c r="Q564" s="2155">
        <v>24</v>
      </c>
      <c r="R564" s="2155"/>
      <c r="S564" s="2156"/>
      <c r="T564" s="2154"/>
      <c r="U564" s="2155"/>
      <c r="V564" s="2156"/>
      <c r="W564" s="2170">
        <v>3.2500000000000001E-2</v>
      </c>
      <c r="X564" s="2171"/>
      <c r="Y564" s="2172"/>
      <c r="Z564" s="2041" t="s">
        <v>2617</v>
      </c>
      <c r="AA564" s="2041"/>
      <c r="AB564" s="2041"/>
      <c r="AC564" s="2041"/>
      <c r="AD564" s="2041"/>
      <c r="AE564" s="2035"/>
      <c r="AF564" s="2036"/>
      <c r="AG564" s="2036"/>
      <c r="AH564" s="2037"/>
      <c r="AI564" s="2055" t="s">
        <v>2618</v>
      </c>
      <c r="AJ564" s="2056"/>
      <c r="AK564" s="2056"/>
      <c r="AL564" s="2057"/>
      <c r="AM564" s="2032">
        <v>14956026</v>
      </c>
      <c r="AN564" s="2033"/>
      <c r="AO564" s="2033"/>
      <c r="AP564" s="2033"/>
      <c r="AQ564" s="2033"/>
      <c r="AR564" s="2033"/>
      <c r="AS564" s="2034"/>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5" t="s">
        <v>2615</v>
      </c>
      <c r="D565" s="2175"/>
      <c r="E565" s="2175"/>
      <c r="F565" s="2175"/>
      <c r="G565" s="2175"/>
      <c r="H565" s="2175"/>
      <c r="I565" s="2175"/>
      <c r="J565" s="2175"/>
      <c r="K565" s="2175"/>
      <c r="L565" s="2175"/>
      <c r="M565" s="2175"/>
      <c r="N565" s="2175"/>
      <c r="O565" s="2175"/>
      <c r="P565" s="2176"/>
      <c r="Q565" s="2154">
        <v>24</v>
      </c>
      <c r="R565" s="2155"/>
      <c r="S565" s="2156"/>
      <c r="T565" s="2154"/>
      <c r="U565" s="2155"/>
      <c r="V565" s="2156"/>
      <c r="W565" s="2170">
        <v>3.2500000000000001E-2</v>
      </c>
      <c r="X565" s="2171"/>
      <c r="Y565" s="2172"/>
      <c r="Z565" s="2041" t="s">
        <v>2617</v>
      </c>
      <c r="AA565" s="2041"/>
      <c r="AB565" s="2041"/>
      <c r="AC565" s="2041"/>
      <c r="AD565" s="2041"/>
      <c r="AE565" s="2035"/>
      <c r="AF565" s="2036"/>
      <c r="AG565" s="2036"/>
      <c r="AH565" s="2037"/>
      <c r="AI565" s="2055" t="s">
        <v>2618</v>
      </c>
      <c r="AJ565" s="2056"/>
      <c r="AK565" s="2056"/>
      <c r="AL565" s="2057"/>
      <c r="AM565" s="2032">
        <v>3000000</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75" t="s">
        <v>2614</v>
      </c>
      <c r="D566" s="2175"/>
      <c r="E566" s="2175"/>
      <c r="F566" s="2175"/>
      <c r="G566" s="2175"/>
      <c r="H566" s="2175"/>
      <c r="I566" s="2175"/>
      <c r="J566" s="2175"/>
      <c r="K566" s="2175"/>
      <c r="L566" s="2175"/>
      <c r="M566" s="2175"/>
      <c r="N566" s="2175"/>
      <c r="O566" s="2175"/>
      <c r="P566" s="2176"/>
      <c r="Q566" s="2154">
        <v>24</v>
      </c>
      <c r="R566" s="2155"/>
      <c r="S566" s="2156"/>
      <c r="T566" s="2154"/>
      <c r="U566" s="2155"/>
      <c r="V566" s="2156"/>
      <c r="W566" s="2170">
        <v>3.7499999999999999E-2</v>
      </c>
      <c r="X566" s="2171"/>
      <c r="Y566" s="2172"/>
      <c r="Z566" s="2041" t="s">
        <v>2617</v>
      </c>
      <c r="AA566" s="2041"/>
      <c r="AB566" s="2041"/>
      <c r="AC566" s="2041"/>
      <c r="AD566" s="2041"/>
      <c r="AE566" s="2035"/>
      <c r="AF566" s="2036"/>
      <c r="AG566" s="2036"/>
      <c r="AH566" s="2037"/>
      <c r="AI566" s="2055" t="s">
        <v>2618</v>
      </c>
      <c r="AJ566" s="2056"/>
      <c r="AK566" s="2056"/>
      <c r="AL566" s="2057"/>
      <c r="AM566" s="2032">
        <v>4300000</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1858" t="s">
        <v>2620</v>
      </c>
      <c r="D567" s="1858"/>
      <c r="E567" s="1858"/>
      <c r="F567" s="1858"/>
      <c r="G567" s="1858"/>
      <c r="H567" s="1858"/>
      <c r="I567" s="1858"/>
      <c r="J567" s="1858"/>
      <c r="K567" s="1858"/>
      <c r="L567" s="1858"/>
      <c r="M567" s="1858"/>
      <c r="N567" s="1858"/>
      <c r="O567" s="1858"/>
      <c r="P567" s="1859"/>
      <c r="Q567" s="2154"/>
      <c r="R567" s="2155"/>
      <c r="S567" s="2156"/>
      <c r="T567" s="2154"/>
      <c r="U567" s="2155"/>
      <c r="V567" s="2156"/>
      <c r="W567" s="2170"/>
      <c r="X567" s="2171"/>
      <c r="Y567" s="2172"/>
      <c r="Z567" s="2041" t="s">
        <v>1383</v>
      </c>
      <c r="AA567" s="2041"/>
      <c r="AB567" s="2041"/>
      <c r="AC567" s="2041"/>
      <c r="AD567" s="2041"/>
      <c r="AE567" s="2035"/>
      <c r="AF567" s="2036"/>
      <c r="AG567" s="2036"/>
      <c r="AH567" s="2037"/>
      <c r="AI567" s="2055"/>
      <c r="AJ567" s="2056"/>
      <c r="AK567" s="2056"/>
      <c r="AL567" s="2057"/>
      <c r="AM567" s="2032">
        <f>3505610.61765863</f>
        <v>3505610.61765863</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175" t="s">
        <v>2619</v>
      </c>
      <c r="D568" s="2175"/>
      <c r="E568" s="2175"/>
      <c r="F568" s="2175"/>
      <c r="G568" s="2175"/>
      <c r="H568" s="2175"/>
      <c r="I568" s="2175"/>
      <c r="J568" s="2175"/>
      <c r="K568" s="2175"/>
      <c r="L568" s="2175"/>
      <c r="M568" s="2175"/>
      <c r="N568" s="2175"/>
      <c r="O568" s="2175"/>
      <c r="P568" s="2176"/>
      <c r="Q568" s="2154"/>
      <c r="R568" s="2155"/>
      <c r="S568" s="2156"/>
      <c r="T568" s="2154"/>
      <c r="U568" s="2155"/>
      <c r="V568" s="2156"/>
      <c r="W568" s="2170"/>
      <c r="X568" s="2171"/>
      <c r="Y568" s="2172"/>
      <c r="Z568" s="2041" t="s">
        <v>1383</v>
      </c>
      <c r="AA568" s="2041"/>
      <c r="AB568" s="2041"/>
      <c r="AC568" s="2041"/>
      <c r="AD568" s="2041"/>
      <c r="AE568" s="2035"/>
      <c r="AF568" s="2036"/>
      <c r="AG568" s="2036"/>
      <c r="AH568" s="2037"/>
      <c r="AI568" s="2055"/>
      <c r="AJ568" s="2056"/>
      <c r="AK568" s="2056"/>
      <c r="AL568" s="2057"/>
      <c r="AM568" s="2032">
        <v>2546435.0345339002</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175"/>
      <c r="D569" s="2175"/>
      <c r="E569" s="2175"/>
      <c r="F569" s="2175"/>
      <c r="G569" s="2175"/>
      <c r="H569" s="2175"/>
      <c r="I569" s="2175"/>
      <c r="J569" s="2175"/>
      <c r="K569" s="2175"/>
      <c r="L569" s="2175"/>
      <c r="M569" s="2175"/>
      <c r="N569" s="2175"/>
      <c r="O569" s="2175"/>
      <c r="P569" s="2176"/>
      <c r="Q569" s="2154"/>
      <c r="R569" s="2155"/>
      <c r="S569" s="2156"/>
      <c r="T569" s="2154"/>
      <c r="U569" s="2155"/>
      <c r="V569" s="2156"/>
      <c r="W569" s="2170"/>
      <c r="X569" s="2171"/>
      <c r="Y569" s="2172"/>
      <c r="Z569" s="2041" t="s">
        <v>1383</v>
      </c>
      <c r="AA569" s="2041"/>
      <c r="AB569" s="2041"/>
      <c r="AC569" s="2041"/>
      <c r="AD569" s="2041"/>
      <c r="AE569" s="2035"/>
      <c r="AF569" s="2036"/>
      <c r="AG569" s="2036"/>
      <c r="AH569" s="2037"/>
      <c r="AI569" s="2055"/>
      <c r="AJ569" s="2056"/>
      <c r="AK569" s="2056"/>
      <c r="AL569" s="2057"/>
      <c r="AM569" s="2032"/>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175"/>
      <c r="D570" s="2175"/>
      <c r="E570" s="2175"/>
      <c r="F570" s="2175"/>
      <c r="G570" s="2175"/>
      <c r="H570" s="2175"/>
      <c r="I570" s="2175"/>
      <c r="J570" s="2175"/>
      <c r="K570" s="2175"/>
      <c r="L570" s="2175"/>
      <c r="M570" s="2175"/>
      <c r="N570" s="2175"/>
      <c r="O570" s="2175"/>
      <c r="P570" s="2176"/>
      <c r="Q570" s="2154"/>
      <c r="R570" s="2155"/>
      <c r="S570" s="2156"/>
      <c r="T570" s="2154"/>
      <c r="U570" s="2155"/>
      <c r="V570" s="2156"/>
      <c r="W570" s="2170"/>
      <c r="X570" s="2171"/>
      <c r="Y570" s="2172"/>
      <c r="Z570" s="2041" t="s">
        <v>1383</v>
      </c>
      <c r="AA570" s="2041"/>
      <c r="AB570" s="2041"/>
      <c r="AC570" s="2041"/>
      <c r="AD570" s="2041"/>
      <c r="AE570" s="2035"/>
      <c r="AF570" s="2036"/>
      <c r="AG570" s="2036"/>
      <c r="AH570" s="2037"/>
      <c r="AI570" s="2055"/>
      <c r="AJ570" s="2056"/>
      <c r="AK570" s="2056"/>
      <c r="AL570" s="2057"/>
      <c r="AM570" s="2032"/>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175"/>
      <c r="D571" s="2175"/>
      <c r="E571" s="2175"/>
      <c r="F571" s="2175"/>
      <c r="G571" s="2175"/>
      <c r="H571" s="2175"/>
      <c r="I571" s="2175"/>
      <c r="J571" s="2175"/>
      <c r="K571" s="2175"/>
      <c r="L571" s="2175"/>
      <c r="M571" s="2175"/>
      <c r="N571" s="2175"/>
      <c r="O571" s="2175"/>
      <c r="P571" s="2176"/>
      <c r="Q571" s="2154"/>
      <c r="R571" s="2155"/>
      <c r="S571" s="2156"/>
      <c r="T571" s="2154"/>
      <c r="U571" s="2155"/>
      <c r="V571" s="2156"/>
      <c r="W571" s="2170"/>
      <c r="X571" s="2171"/>
      <c r="Y571" s="2172"/>
      <c r="Z571" s="2041" t="s">
        <v>1383</v>
      </c>
      <c r="AA571" s="2041"/>
      <c r="AB571" s="2041"/>
      <c r="AC571" s="2041"/>
      <c r="AD571" s="2041"/>
      <c r="AE571" s="2035"/>
      <c r="AF571" s="2036"/>
      <c r="AG571" s="2036"/>
      <c r="AH571" s="2037"/>
      <c r="AI571" s="2055"/>
      <c r="AJ571" s="2056"/>
      <c r="AK571" s="2056"/>
      <c r="AL571" s="2057"/>
      <c r="AM571" s="2032"/>
      <c r="AN571" s="2033"/>
      <c r="AO571" s="2033"/>
      <c r="AP571" s="2033"/>
      <c r="AQ571" s="2033"/>
      <c r="AR571" s="2033"/>
      <c r="AS571" s="203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175"/>
      <c r="D572" s="2175"/>
      <c r="E572" s="2175"/>
      <c r="F572" s="2175"/>
      <c r="G572" s="2175"/>
      <c r="H572" s="2175"/>
      <c r="I572" s="2175"/>
      <c r="J572" s="2175"/>
      <c r="K572" s="2175"/>
      <c r="L572" s="2175"/>
      <c r="M572" s="2175"/>
      <c r="N572" s="2175"/>
      <c r="O572" s="2175"/>
      <c r="P572" s="2176"/>
      <c r="Q572" s="2154"/>
      <c r="R572" s="2155"/>
      <c r="S572" s="2156"/>
      <c r="T572" s="2154"/>
      <c r="U572" s="2155"/>
      <c r="V572" s="2156"/>
      <c r="W572" s="2170"/>
      <c r="X572" s="2171"/>
      <c r="Y572" s="2172"/>
      <c r="Z572" s="2041" t="s">
        <v>1383</v>
      </c>
      <c r="AA572" s="2041"/>
      <c r="AB572" s="2041"/>
      <c r="AC572" s="2041"/>
      <c r="AD572" s="2041"/>
      <c r="AE572" s="2035"/>
      <c r="AF572" s="2036"/>
      <c r="AG572" s="2036"/>
      <c r="AH572" s="2037"/>
      <c r="AI572" s="2055"/>
      <c r="AJ572" s="2056"/>
      <c r="AK572" s="2056"/>
      <c r="AL572" s="2057"/>
      <c r="AM572" s="2032"/>
      <c r="AN572" s="2033"/>
      <c r="AO572" s="2033"/>
      <c r="AP572" s="2033"/>
      <c r="AQ572" s="2033"/>
      <c r="AR572" s="2033"/>
      <c r="AS572" s="203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5"/>
      <c r="D573" s="2175"/>
      <c r="E573" s="2175"/>
      <c r="F573" s="2175"/>
      <c r="G573" s="2175"/>
      <c r="H573" s="2175"/>
      <c r="I573" s="2175"/>
      <c r="J573" s="2175"/>
      <c r="K573" s="2175"/>
      <c r="L573" s="2175"/>
      <c r="M573" s="2175"/>
      <c r="N573" s="2175"/>
      <c r="O573" s="2175"/>
      <c r="P573" s="2176"/>
      <c r="Q573" s="2154"/>
      <c r="R573" s="2155"/>
      <c r="S573" s="2156"/>
      <c r="T573" s="2154"/>
      <c r="U573" s="2155"/>
      <c r="V573" s="2156"/>
      <c r="W573" s="2170"/>
      <c r="X573" s="2171"/>
      <c r="Y573" s="2172"/>
      <c r="Z573" s="2041" t="s">
        <v>1383</v>
      </c>
      <c r="AA573" s="2041"/>
      <c r="AB573" s="2041"/>
      <c r="AC573" s="2041"/>
      <c r="AD573" s="2041"/>
      <c r="AE573" s="2035"/>
      <c r="AF573" s="2036"/>
      <c r="AG573" s="2036"/>
      <c r="AH573" s="2037"/>
      <c r="AI573" s="2055"/>
      <c r="AJ573" s="2056"/>
      <c r="AK573" s="2056"/>
      <c r="AL573" s="2057"/>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75"/>
      <c r="D574" s="2175"/>
      <c r="E574" s="2175"/>
      <c r="F574" s="2175"/>
      <c r="G574" s="2175"/>
      <c r="H574" s="2175"/>
      <c r="I574" s="2175"/>
      <c r="J574" s="2175"/>
      <c r="K574" s="2175"/>
      <c r="L574" s="2175"/>
      <c r="M574" s="2175"/>
      <c r="N574" s="2175"/>
      <c r="O574" s="2175"/>
      <c r="P574" s="2176"/>
      <c r="Q574" s="2154"/>
      <c r="R574" s="2155"/>
      <c r="S574" s="2156"/>
      <c r="T574" s="2154"/>
      <c r="U574" s="2155"/>
      <c r="V574" s="2156"/>
      <c r="W574" s="2170"/>
      <c r="X574" s="2171"/>
      <c r="Y574" s="2172"/>
      <c r="Z574" s="2041" t="s">
        <v>1383</v>
      </c>
      <c r="AA574" s="2041"/>
      <c r="AB574" s="2041"/>
      <c r="AC574" s="2041"/>
      <c r="AD574" s="2041"/>
      <c r="AE574" s="2035"/>
      <c r="AF574" s="2036"/>
      <c r="AG574" s="2036"/>
      <c r="AH574" s="2037"/>
      <c r="AI574" s="2055"/>
      <c r="AJ574" s="2056"/>
      <c r="AK574" s="2056"/>
      <c r="AL574" s="2057"/>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75"/>
      <c r="D575" s="2175"/>
      <c r="E575" s="2175"/>
      <c r="F575" s="2175"/>
      <c r="G575" s="2175"/>
      <c r="H575" s="2175"/>
      <c r="I575" s="2175"/>
      <c r="J575" s="2175"/>
      <c r="K575" s="2175"/>
      <c r="L575" s="2175"/>
      <c r="M575" s="2175"/>
      <c r="N575" s="2175"/>
      <c r="O575" s="2175"/>
      <c r="P575" s="2176"/>
      <c r="Q575" s="2154"/>
      <c r="R575" s="2155"/>
      <c r="S575" s="2156"/>
      <c r="T575" s="2154"/>
      <c r="U575" s="2155"/>
      <c r="V575" s="2156"/>
      <c r="W575" s="2170"/>
      <c r="X575" s="2171"/>
      <c r="Y575" s="2172"/>
      <c r="Z575" s="2041" t="s">
        <v>1383</v>
      </c>
      <c r="AA575" s="2041"/>
      <c r="AB575" s="2041"/>
      <c r="AC575" s="2041"/>
      <c r="AD575" s="2041"/>
      <c r="AE575" s="2035"/>
      <c r="AF575" s="2036"/>
      <c r="AG575" s="2036"/>
      <c r="AH575" s="2037"/>
      <c r="AI575" s="2055"/>
      <c r="AJ575" s="2056"/>
      <c r="AK575" s="2056"/>
      <c r="AL575" s="2057"/>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7">
        <f>SUM(AM564:AS575)</f>
        <v>28308071.652192529</v>
      </c>
      <c r="AN576" s="2138"/>
      <c r="AO576" s="2138"/>
      <c r="AP576" s="2138"/>
      <c r="AQ576" s="2138"/>
      <c r="AR576" s="2138"/>
      <c r="AS576" s="21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40" t="str">
        <f>C564</f>
        <v>Citibank - Tax Exempt Bonds</v>
      </c>
      <c r="H578" s="2040"/>
      <c r="I578" s="2040"/>
      <c r="J578" s="2040"/>
      <c r="K578" s="2040"/>
      <c r="L578" s="2040"/>
      <c r="M578" s="2040"/>
      <c r="N578" s="2040"/>
      <c r="O578" s="2040"/>
      <c r="P578" s="2040"/>
      <c r="Q578" s="2040"/>
      <c r="R578" s="2040"/>
      <c r="S578" s="14"/>
      <c r="T578" s="87" t="s">
        <v>118</v>
      </c>
      <c r="U578" s="12" t="s">
        <v>495</v>
      </c>
      <c r="Z578" s="2040" t="str">
        <f>C565</f>
        <v>Citibank - Recycled Bonds</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9" t="s">
        <v>2588</v>
      </c>
      <c r="H579" s="2039"/>
      <c r="I579" s="2039"/>
      <c r="J579" s="2039"/>
      <c r="K579" s="2039"/>
      <c r="L579" s="2039"/>
      <c r="M579" s="2039"/>
      <c r="N579" s="2039"/>
      <c r="O579" s="2039"/>
      <c r="P579" s="2039"/>
      <c r="Q579" s="2039"/>
      <c r="R579" s="2039"/>
      <c r="S579" s="14"/>
      <c r="T579" s="35"/>
      <c r="U579" s="12" t="s">
        <v>90</v>
      </c>
      <c r="Z579" s="2039" t="s">
        <v>2588</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39" t="s">
        <v>2589</v>
      </c>
      <c r="H580" s="2039"/>
      <c r="I580" s="2039"/>
      <c r="J580" s="2039"/>
      <c r="K580" s="2039"/>
      <c r="L580" s="2039"/>
      <c r="M580" s="2039"/>
      <c r="N580" s="2039"/>
      <c r="O580" s="2039"/>
      <c r="P580" s="2039"/>
      <c r="Q580" s="2039"/>
      <c r="R580" s="2039"/>
      <c r="S580" s="88"/>
      <c r="T580" s="35"/>
      <c r="U580" s="12" t="s">
        <v>614</v>
      </c>
      <c r="Z580" s="2039" t="s">
        <v>2589</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2590</v>
      </c>
      <c r="H581" s="2039"/>
      <c r="I581" s="2039"/>
      <c r="J581" s="2039"/>
      <c r="K581" s="2039"/>
      <c r="L581" s="2039"/>
      <c r="M581" s="2039"/>
      <c r="N581" s="2039"/>
      <c r="O581" s="2039"/>
      <c r="P581" s="2039"/>
      <c r="Q581" s="2039"/>
      <c r="R581" s="2039"/>
      <c r="S581" s="14"/>
      <c r="T581" s="35"/>
      <c r="U581" s="12" t="s">
        <v>17</v>
      </c>
      <c r="Z581" s="2039" t="s">
        <v>2590</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7" t="s">
        <v>2591</v>
      </c>
      <c r="H582" s="2063"/>
      <c r="I582" s="2063"/>
      <c r="J582" s="2063"/>
      <c r="K582" s="2063"/>
      <c r="L582" s="2063"/>
      <c r="O582" s="137" t="s">
        <v>212</v>
      </c>
      <c r="P582" s="2030"/>
      <c r="Q582" s="2030"/>
      <c r="R582" s="2030"/>
      <c r="S582" s="16"/>
      <c r="T582" s="35"/>
      <c r="U582" s="12" t="s">
        <v>325</v>
      </c>
      <c r="Z582" s="2177" t="s">
        <v>2591</v>
      </c>
      <c r="AA582" s="2063"/>
      <c r="AB582" s="2063"/>
      <c r="AC582" s="2063"/>
      <c r="AD582" s="2063"/>
      <c r="AE582" s="2063"/>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2592</v>
      </c>
      <c r="I583" s="2039"/>
      <c r="J583" s="2039"/>
      <c r="K583" s="2039"/>
      <c r="L583" s="2039"/>
      <c r="M583" s="2039"/>
      <c r="N583" s="2039"/>
      <c r="O583" s="2039"/>
      <c r="P583" s="2039"/>
      <c r="Q583" s="2039"/>
      <c r="R583" s="2039"/>
      <c r="S583" s="14"/>
      <c r="T583" s="35"/>
      <c r="U583" s="12" t="s">
        <v>18</v>
      </c>
      <c r="AA583" s="2039" t="s">
        <v>2592</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9" t="s">
        <v>2621</v>
      </c>
      <c r="N584" s="2189"/>
      <c r="O584" s="2189"/>
      <c r="P584" s="2189"/>
      <c r="Q584" s="2189"/>
      <c r="R584" s="2189"/>
      <c r="S584" s="14"/>
      <c r="T584" s="35"/>
      <c r="U584" s="509" t="s">
        <v>1384</v>
      </c>
      <c r="V584" s="719"/>
      <c r="W584" s="719"/>
      <c r="X584" s="719"/>
      <c r="Y584" s="719"/>
      <c r="Z584" s="719"/>
      <c r="AA584" s="14"/>
      <c r="AB584" s="14"/>
      <c r="AC584" s="14"/>
      <c r="AD584" s="14"/>
      <c r="AE584" s="14"/>
      <c r="AF584" s="2189" t="s">
        <v>2622</v>
      </c>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577</v>
      </c>
      <c r="O585" s="2038"/>
      <c r="T585" s="35"/>
      <c r="U585" s="12" t="s">
        <v>20</v>
      </c>
      <c r="AG585" s="2038" t="s">
        <v>577</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 xml:space="preserve">Taxable Tail Construction Loan </v>
      </c>
      <c r="H587" s="2040"/>
      <c r="I587" s="2040"/>
      <c r="J587" s="2040"/>
      <c r="K587" s="2040"/>
      <c r="L587" s="2040"/>
      <c r="M587" s="2040"/>
      <c r="N587" s="2040"/>
      <c r="O587" s="2040"/>
      <c r="P587" s="2040"/>
      <c r="Q587" s="2040"/>
      <c r="R587" s="2040"/>
      <c r="T587" s="87" t="s">
        <v>615</v>
      </c>
      <c r="U587" s="12" t="s">
        <v>495</v>
      </c>
      <c r="Z587" s="2040" t="str">
        <f>C567</f>
        <v>Deferred Developer Fee/Deferred Costs</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2588</v>
      </c>
      <c r="H588" s="2039"/>
      <c r="I588" s="2039"/>
      <c r="J588" s="2039"/>
      <c r="K588" s="2039"/>
      <c r="L588" s="2039"/>
      <c r="M588" s="2039"/>
      <c r="N588" s="2039"/>
      <c r="O588" s="2039"/>
      <c r="P588" s="2039"/>
      <c r="Q588" s="2039"/>
      <c r="R588" s="2039"/>
      <c r="T588" s="35"/>
      <c r="U588" s="12" t="s">
        <v>90</v>
      </c>
      <c r="Z588" s="2039" t="s">
        <v>2536</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
        <v>2589</v>
      </c>
      <c r="H589" s="2039"/>
      <c r="I589" s="2039"/>
      <c r="J589" s="2039"/>
      <c r="K589" s="2039"/>
      <c r="L589" s="2039"/>
      <c r="M589" s="2039"/>
      <c r="N589" s="2039"/>
      <c r="O589" s="2039"/>
      <c r="P589" s="2039"/>
      <c r="Q589" s="2039"/>
      <c r="R589" s="2039"/>
      <c r="T589" s="35"/>
      <c r="U589" s="12" t="s">
        <v>614</v>
      </c>
      <c r="Z589" s="2042" t="s">
        <v>2525</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2590</v>
      </c>
      <c r="H590" s="2039"/>
      <c r="I590" s="2039"/>
      <c r="J590" s="2039"/>
      <c r="K590" s="2039"/>
      <c r="L590" s="2039"/>
      <c r="M590" s="2039"/>
      <c r="N590" s="2039"/>
      <c r="O590" s="2039"/>
      <c r="P590" s="2039"/>
      <c r="Q590" s="2039"/>
      <c r="R590" s="2039"/>
      <c r="T590" s="35"/>
      <c r="U590" s="12" t="s">
        <v>17</v>
      </c>
      <c r="Z590" s="2042" t="s">
        <v>2523</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7" t="s">
        <v>2591</v>
      </c>
      <c r="H591" s="2063"/>
      <c r="I591" s="2063"/>
      <c r="J591" s="2063"/>
      <c r="K591" s="2063"/>
      <c r="L591" s="2063"/>
      <c r="O591" s="137" t="s">
        <v>212</v>
      </c>
      <c r="P591" s="2030"/>
      <c r="Q591" s="2030"/>
      <c r="R591" s="2030"/>
      <c r="T591" s="35"/>
      <c r="U591" s="12" t="s">
        <v>325</v>
      </c>
      <c r="Z591" s="2177" t="s">
        <v>2538</v>
      </c>
      <c r="AA591" s="2063"/>
      <c r="AB591" s="2063"/>
      <c r="AC591" s="2063"/>
      <c r="AD591" s="2063"/>
      <c r="AE591" s="2063"/>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2592</v>
      </c>
      <c r="I592" s="2039"/>
      <c r="J592" s="2039"/>
      <c r="K592" s="2039"/>
      <c r="L592" s="2039"/>
      <c r="M592" s="2039"/>
      <c r="N592" s="2039"/>
      <c r="O592" s="2039"/>
      <c r="P592" s="2039"/>
      <c r="Q592" s="2039"/>
      <c r="R592" s="2039"/>
      <c r="T592" s="35"/>
      <c r="U592" s="12" t="s">
        <v>18</v>
      </c>
      <c r="AA592" s="2039" t="s">
        <v>2595</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577</v>
      </c>
      <c r="O593" s="2038"/>
      <c r="T593" s="35"/>
      <c r="U593" s="12" t="s">
        <v>20</v>
      </c>
      <c r="AG593" s="2038" t="s">
        <v>577</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Tax Credit Equity</v>
      </c>
      <c r="H595" s="2040"/>
      <c r="I595" s="2040"/>
      <c r="J595" s="2040"/>
      <c r="K595" s="2040"/>
      <c r="L595" s="2040"/>
      <c r="M595" s="2040"/>
      <c r="N595" s="2040"/>
      <c r="O595" s="2040"/>
      <c r="P595" s="2040"/>
      <c r="Q595" s="2040"/>
      <c r="R595" s="2040"/>
      <c r="T595" s="87" t="s">
        <v>618</v>
      </c>
      <c r="U595" s="12" t="s">
        <v>495</v>
      </c>
      <c r="Z595" s="2040">
        <f>C569</f>
        <v>0</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2593</v>
      </c>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t="s">
        <v>2594</v>
      </c>
      <c r="H597" s="2039"/>
      <c r="I597" s="2039"/>
      <c r="J597" s="2039"/>
      <c r="K597" s="2039"/>
      <c r="L597" s="2039"/>
      <c r="M597" s="2039"/>
      <c r="N597" s="2039"/>
      <c r="O597" s="2039"/>
      <c r="P597" s="2039"/>
      <c r="Q597" s="2039"/>
      <c r="R597" s="2039"/>
      <c r="T597" s="35"/>
      <c r="U597" s="12" t="s">
        <v>614</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2570</v>
      </c>
      <c r="H598" s="2039"/>
      <c r="I598" s="2039"/>
      <c r="J598" s="2039"/>
      <c r="K598" s="2039"/>
      <c r="L598" s="2039"/>
      <c r="M598" s="2039"/>
      <c r="N598" s="2039"/>
      <c r="O598" s="2039"/>
      <c r="P598" s="2039"/>
      <c r="Q598" s="2039"/>
      <c r="R598" s="2039"/>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7" t="s">
        <v>2571</v>
      </c>
      <c r="H599" s="2063"/>
      <c r="I599" s="2063"/>
      <c r="J599" s="2063"/>
      <c r="K599" s="2063"/>
      <c r="L599" s="2063"/>
      <c r="O599" s="137" t="s">
        <v>212</v>
      </c>
      <c r="P599" s="2030"/>
      <c r="Q599" s="2030"/>
      <c r="R599" s="2030"/>
      <c r="T599" s="35"/>
      <c r="U599" s="12" t="s">
        <v>325</v>
      </c>
      <c r="Z599" s="2063"/>
      <c r="AA599" s="2063"/>
      <c r="AB599" s="2063"/>
      <c r="AC599" s="2063"/>
      <c r="AD599" s="2063"/>
      <c r="AE599" s="2063"/>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2619</v>
      </c>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8" t="s">
        <v>577</v>
      </c>
      <c r="O601" s="2038"/>
      <c r="T601" s="35"/>
      <c r="U601" s="12" t="s">
        <v>20</v>
      </c>
      <c r="AG601" s="2038" t="s">
        <v>705</v>
      </c>
      <c r="AH601" s="203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40">
        <f>C570</f>
        <v>0</v>
      </c>
      <c r="H603" s="2040"/>
      <c r="I603" s="2040"/>
      <c r="J603" s="2040"/>
      <c r="K603" s="2040"/>
      <c r="L603" s="2040"/>
      <c r="M603" s="2040"/>
      <c r="N603" s="2040"/>
      <c r="O603" s="2040"/>
      <c r="P603" s="2040"/>
      <c r="Q603" s="2040"/>
      <c r="R603" s="2040"/>
      <c r="T603" s="87" t="s">
        <v>487</v>
      </c>
      <c r="U603" s="12" t="s">
        <v>495</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c r="H607" s="2063"/>
      <c r="I607" s="2063"/>
      <c r="J607" s="2063"/>
      <c r="K607" s="2063"/>
      <c r="L607" s="2063"/>
      <c r="M607" s="12"/>
      <c r="N607" s="12"/>
      <c r="O607" s="137" t="s">
        <v>212</v>
      </c>
      <c r="P607" s="2030"/>
      <c r="Q607" s="2030"/>
      <c r="R607" s="2030"/>
      <c r="S607" s="12"/>
      <c r="T607" s="35"/>
      <c r="U607" s="12" t="s">
        <v>325</v>
      </c>
      <c r="V607" s="12"/>
      <c r="W607" s="12"/>
      <c r="X607" s="12"/>
      <c r="Y607" s="12"/>
      <c r="Z607" s="2063"/>
      <c r="AA607" s="2063"/>
      <c r="AB607" s="2063"/>
      <c r="AC607" s="2063"/>
      <c r="AD607" s="2063"/>
      <c r="AE607" s="2063"/>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8" t="s">
        <v>705</v>
      </c>
      <c r="O609" s="2038"/>
      <c r="P609" s="12"/>
      <c r="Q609" s="12"/>
      <c r="R609" s="12"/>
      <c r="S609" s="12"/>
      <c r="T609" s="35"/>
      <c r="U609" s="12" t="s">
        <v>20</v>
      </c>
      <c r="V609" s="12"/>
      <c r="W609" s="12"/>
      <c r="X609" s="12"/>
      <c r="Y609" s="12"/>
      <c r="Z609" s="12"/>
      <c r="AA609" s="12"/>
      <c r="AB609" s="12"/>
      <c r="AC609" s="12"/>
      <c r="AD609" s="12"/>
      <c r="AE609" s="12"/>
      <c r="AF609" s="12"/>
      <c r="AG609" s="2038" t="s">
        <v>705</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6"/>
      <c r="BH609" s="2018"/>
      <c r="BI609" s="185" t="s">
        <v>507</v>
      </c>
      <c r="BJ609" s="186"/>
      <c r="BK609" s="2016"/>
      <c r="BL609" s="2018"/>
      <c r="BM609" s="58"/>
      <c r="BN609" s="2377" t="s">
        <v>667</v>
      </c>
      <c r="BO609" s="2378"/>
      <c r="BP609" s="2378"/>
      <c r="BQ609" s="2378"/>
      <c r="BR609" s="2379"/>
      <c r="BS609" s="2184" t="s">
        <v>334</v>
      </c>
      <c r="BT609" s="2184"/>
      <c r="BU609" s="2184"/>
      <c r="BV609" s="2184"/>
      <c r="BW609" s="2184"/>
      <c r="BX609" s="2184" t="s">
        <v>168</v>
      </c>
      <c r="BY609" s="2184"/>
      <c r="BZ609" s="2184"/>
      <c r="CA609" s="2184"/>
      <c r="CB609" s="2184"/>
      <c r="CC609" s="2184" t="s">
        <v>169</v>
      </c>
      <c r="CD609" s="2184"/>
      <c r="CE609" s="2184"/>
      <c r="CF609" s="2184"/>
      <c r="CG609" s="2184"/>
      <c r="CH609" s="2184" t="s">
        <v>492</v>
      </c>
      <c r="CI609" s="2184"/>
      <c r="CJ609" s="2184"/>
      <c r="CK609" s="2184"/>
      <c r="CL609" s="2184"/>
      <c r="CM609" s="2184" t="s">
        <v>31</v>
      </c>
      <c r="CN609" s="2184"/>
      <c r="CO609" s="2184"/>
      <c r="CP609" s="2184"/>
      <c r="CQ609" s="2184"/>
      <c r="CR609" s="1804"/>
      <c r="CS609" s="2184" t="s">
        <v>667</v>
      </c>
      <c r="CT609" s="2184"/>
      <c r="CU609" s="2184"/>
      <c r="CV609" s="2184"/>
      <c r="CW609" s="2184"/>
      <c r="CX609" s="2184" t="s">
        <v>334</v>
      </c>
      <c r="CY609" s="2184"/>
      <c r="CZ609" s="2184"/>
      <c r="DA609" s="2184"/>
      <c r="DB609" s="2184"/>
      <c r="DC609" s="2184" t="s">
        <v>168</v>
      </c>
      <c r="DD609" s="2184"/>
      <c r="DE609" s="2184"/>
      <c r="DF609" s="2184"/>
      <c r="DG609" s="2184"/>
      <c r="DH609" s="2184" t="s">
        <v>169</v>
      </c>
      <c r="DI609" s="2184"/>
      <c r="DJ609" s="2184"/>
      <c r="DK609" s="2184"/>
      <c r="DL609" s="2184"/>
      <c r="DM609" s="2184" t="s">
        <v>492</v>
      </c>
      <c r="DN609" s="2184"/>
      <c r="DO609" s="2184"/>
      <c r="DP609" s="2184"/>
      <c r="DQ609" s="2184"/>
      <c r="DR609" s="2184" t="s">
        <v>31</v>
      </c>
      <c r="DS609" s="2184"/>
      <c r="DT609" s="2184"/>
      <c r="DU609" s="2184"/>
      <c r="DV609" s="2184"/>
      <c r="DX609" s="2184" t="s">
        <v>667</v>
      </c>
      <c r="DY609" s="2184"/>
      <c r="DZ609" s="2184"/>
      <c r="EA609" s="2184"/>
      <c r="EB609" s="2184"/>
      <c r="EC609" s="2184" t="s">
        <v>334</v>
      </c>
      <c r="ED609" s="2184"/>
      <c r="EE609" s="2184"/>
      <c r="EF609" s="2184"/>
      <c r="EG609" s="2184"/>
      <c r="EH609" s="2184" t="s">
        <v>168</v>
      </c>
      <c r="EI609" s="2184"/>
      <c r="EJ609" s="2184"/>
      <c r="EK609" s="2184"/>
      <c r="EL609" s="2184"/>
      <c r="EM609" s="2184" t="s">
        <v>169</v>
      </c>
      <c r="EN609" s="2184"/>
      <c r="EO609" s="2184"/>
      <c r="EP609" s="2184"/>
      <c r="EQ609" s="2184"/>
      <c r="ER609" s="2184" t="s">
        <v>492</v>
      </c>
      <c r="ES609" s="2184"/>
      <c r="ET609" s="2184"/>
      <c r="EU609" s="2184"/>
      <c r="EV609" s="2184"/>
      <c r="EW609" s="2184" t="s">
        <v>31</v>
      </c>
      <c r="EX609" s="2184"/>
      <c r="EY609" s="2184"/>
      <c r="EZ609" s="2184"/>
      <c r="FA609" s="218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3</v>
      </c>
      <c r="BL610" s="2018"/>
      <c r="BM610" s="58"/>
      <c r="BN610" s="2013">
        <f t="shared" ref="BN610:BN634" si="4">IF(B728="SRO/Studio",G728,0)</f>
        <v>0</v>
      </c>
      <c r="BO610" s="2014"/>
      <c r="BP610" s="2014"/>
      <c r="BQ610" s="2014"/>
      <c r="BR610" s="2015"/>
      <c r="BS610" s="2012">
        <f t="shared" ref="BS610:BS634" si="5">IF(B728="1 Bedroom",G728,0)</f>
        <v>0</v>
      </c>
      <c r="BT610" s="2012"/>
      <c r="BU610" s="2012"/>
      <c r="BV610" s="2012"/>
      <c r="BW610" s="2012"/>
      <c r="BX610" s="2012">
        <f t="shared" ref="BX610:BX634" si="6">IF(B728="2 Bedrooms",G728,0)</f>
        <v>3</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68">
        <f t="shared" ref="CS610:CS634" si="10">IF(AND(B728="SRO/Studio",AH728&lt;=0.3),G728,0)</f>
        <v>0</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3</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9" t="str">
        <f t="shared" ref="DX610:DX634" si="16">IF(BN610&gt;0,O728," ")</f>
        <v xml:space="preserve"> </v>
      </c>
      <c r="DY610" s="2182"/>
      <c r="DZ610" s="2182"/>
      <c r="EA610" s="2182"/>
      <c r="EB610" s="2020"/>
      <c r="EC610" s="2019" t="str">
        <f t="shared" ref="EC610:EC634" si="17">IF(BS610&gt;0,O728," ")</f>
        <v xml:space="preserve"> </v>
      </c>
      <c r="ED610" s="2182"/>
      <c r="EE610" s="2182"/>
      <c r="EF610" s="2182"/>
      <c r="EG610" s="2020"/>
      <c r="EH610" s="2019">
        <f t="shared" ref="EH610:EH634" si="18">IF(BX610&gt;0,O728," ")</f>
        <v>723</v>
      </c>
      <c r="EI610" s="2182"/>
      <c r="EJ610" s="2182"/>
      <c r="EK610" s="2182"/>
      <c r="EL610" s="2020"/>
      <c r="EM610" s="2019" t="str">
        <f t="shared" ref="EM610:EM634" si="19">IF(CC610&gt;0,O728," ")</f>
        <v xml:space="preserve"> </v>
      </c>
      <c r="EN610" s="2182"/>
      <c r="EO610" s="2182"/>
      <c r="EP610" s="2182"/>
      <c r="EQ610" s="2020"/>
      <c r="ER610" s="2019" t="str">
        <f t="shared" ref="ER610:ER634" si="20">IF(CH610&gt;0,O728," ")</f>
        <v xml:space="preserve"> </v>
      </c>
      <c r="ES610" s="2182"/>
      <c r="ET610" s="2182"/>
      <c r="EU610" s="2182"/>
      <c r="EV610" s="2020"/>
      <c r="EW610" s="2019" t="str">
        <f t="shared" ref="EW610:EW634" si="21">IF(CM610&gt;0,O728," ")</f>
        <v xml:space="preserve"> </v>
      </c>
      <c r="EX610" s="2182"/>
      <c r="EY610" s="2182"/>
      <c r="EZ610" s="2182"/>
      <c r="FA610" s="2020"/>
    </row>
    <row r="611" spans="1:157" s="7" customFormat="1" ht="13.2">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2</v>
      </c>
      <c r="BH611" s="2018"/>
      <c r="BI611" s="2019">
        <f t="shared" si="2"/>
        <v>0</v>
      </c>
      <c r="BJ611" s="2020"/>
      <c r="BK611" s="2016">
        <f t="shared" si="3"/>
        <v>0</v>
      </c>
      <c r="BL611" s="2018"/>
      <c r="BM611" s="58"/>
      <c r="BN611" s="2013">
        <f t="shared" si="4"/>
        <v>0</v>
      </c>
      <c r="BO611" s="2014"/>
      <c r="BP611" s="2014"/>
      <c r="BQ611" s="2014"/>
      <c r="BR611" s="2015"/>
      <c r="BS611" s="2012">
        <f t="shared" si="5"/>
        <v>0</v>
      </c>
      <c r="BT611" s="2012"/>
      <c r="BU611" s="2012"/>
      <c r="BV611" s="2012"/>
      <c r="BW611" s="2012"/>
      <c r="BX611" s="2012">
        <f t="shared" si="6"/>
        <v>2</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9" t="str">
        <f t="shared" si="16"/>
        <v xml:space="preserve"> </v>
      </c>
      <c r="DY611" s="2182"/>
      <c r="DZ611" s="2182"/>
      <c r="EA611" s="2182"/>
      <c r="EB611" s="2020"/>
      <c r="EC611" s="2019" t="str">
        <f t="shared" si="17"/>
        <v xml:space="preserve"> </v>
      </c>
      <c r="ED611" s="2182"/>
      <c r="EE611" s="2182"/>
      <c r="EF611" s="2182"/>
      <c r="EG611" s="2020"/>
      <c r="EH611" s="2019">
        <f t="shared" si="18"/>
        <v>1255</v>
      </c>
      <c r="EI611" s="2182"/>
      <c r="EJ611" s="2182"/>
      <c r="EK611" s="2182"/>
      <c r="EL611" s="2020"/>
      <c r="EM611" s="2019" t="str">
        <f t="shared" si="19"/>
        <v xml:space="preserve"> </v>
      </c>
      <c r="EN611" s="2182"/>
      <c r="EO611" s="2182"/>
      <c r="EP611" s="2182"/>
      <c r="EQ611" s="2020"/>
      <c r="ER611" s="2019" t="str">
        <f t="shared" si="20"/>
        <v xml:space="preserve"> </v>
      </c>
      <c r="ES611" s="2182"/>
      <c r="ET611" s="2182"/>
      <c r="EU611" s="2182"/>
      <c r="EV611" s="2020"/>
      <c r="EW611" s="2019" t="str">
        <f t="shared" si="21"/>
        <v xml:space="preserve"> </v>
      </c>
      <c r="EX611" s="2182"/>
      <c r="EY611" s="2182"/>
      <c r="EZ611" s="2182"/>
      <c r="FA611" s="2020"/>
    </row>
    <row r="612" spans="1:157" ht="13.2">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9">
        <f t="shared" si="0"/>
        <v>0</v>
      </c>
      <c r="BF612" s="2020"/>
      <c r="BG612" s="2016">
        <f t="shared" si="1"/>
        <v>0</v>
      </c>
      <c r="BH612" s="2018"/>
      <c r="BI612" s="2019">
        <f t="shared" si="2"/>
        <v>1</v>
      </c>
      <c r="BJ612" s="2020"/>
      <c r="BK612" s="2016">
        <f t="shared" si="3"/>
        <v>4</v>
      </c>
      <c r="BL612" s="2018"/>
      <c r="BM612" s="58"/>
      <c r="BN612" s="2013">
        <f t="shared" si="4"/>
        <v>0</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4</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4</v>
      </c>
      <c r="DI612" s="2368"/>
      <c r="DJ612" s="2368"/>
      <c r="DK612" s="2368"/>
      <c r="DL612" s="2368"/>
      <c r="DM612" s="2368">
        <f t="shared" si="14"/>
        <v>0</v>
      </c>
      <c r="DN612" s="2368"/>
      <c r="DO612" s="2368"/>
      <c r="DP612" s="2368"/>
      <c r="DQ612" s="2368"/>
      <c r="DR612" s="2368">
        <f t="shared" si="15"/>
        <v>0</v>
      </c>
      <c r="DS612" s="2368"/>
      <c r="DT612" s="2368"/>
      <c r="DU612" s="2368"/>
      <c r="DV612" s="2368"/>
      <c r="DX612" s="2019" t="str">
        <f t="shared" si="16"/>
        <v xml:space="preserve"> </v>
      </c>
      <c r="DY612" s="2182"/>
      <c r="DZ612" s="2182"/>
      <c r="EA612" s="2182"/>
      <c r="EB612" s="2020"/>
      <c r="EC612" s="2019" t="str">
        <f t="shared" si="17"/>
        <v xml:space="preserve"> </v>
      </c>
      <c r="ED612" s="2182"/>
      <c r="EE612" s="2182"/>
      <c r="EF612" s="2182"/>
      <c r="EG612" s="2020"/>
      <c r="EH612" s="2019" t="str">
        <f t="shared" si="18"/>
        <v xml:space="preserve"> </v>
      </c>
      <c r="EI612" s="2182"/>
      <c r="EJ612" s="2182"/>
      <c r="EK612" s="2182"/>
      <c r="EL612" s="2020"/>
      <c r="EM612" s="2019">
        <f t="shared" si="19"/>
        <v>830</v>
      </c>
      <c r="EN612" s="2182"/>
      <c r="EO612" s="2182"/>
      <c r="EP612" s="2182"/>
      <c r="EQ612" s="2020"/>
      <c r="ER612" s="2019" t="str">
        <f t="shared" si="20"/>
        <v xml:space="preserve"> </v>
      </c>
      <c r="ES612" s="2182"/>
      <c r="ET612" s="2182"/>
      <c r="EU612" s="2182"/>
      <c r="EV612" s="2020"/>
      <c r="EW612" s="2019" t="str">
        <f t="shared" si="21"/>
        <v xml:space="preserve"> </v>
      </c>
      <c r="EX612" s="2182"/>
      <c r="EY612" s="2182"/>
      <c r="EZ612" s="2182"/>
      <c r="FA612" s="2020"/>
    </row>
    <row r="613" spans="1:157" ht="13.2">
      <c r="A613" s="35"/>
      <c r="B613" s="12" t="s">
        <v>614</v>
      </c>
      <c r="G613" s="2039"/>
      <c r="H613" s="2039"/>
      <c r="I613" s="2039"/>
      <c r="J613" s="2039"/>
      <c r="K613" s="2039"/>
      <c r="L613" s="2039"/>
      <c r="M613" s="2039"/>
      <c r="N613" s="2039"/>
      <c r="O613" s="2039"/>
      <c r="P613" s="2039"/>
      <c r="Q613" s="2039"/>
      <c r="R613" s="2039"/>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19">
        <f t="shared" si="0"/>
        <v>1</v>
      </c>
      <c r="BF613" s="2020"/>
      <c r="BG613" s="2016">
        <f t="shared" si="1"/>
        <v>5</v>
      </c>
      <c r="BH613" s="2018"/>
      <c r="BI613" s="2019">
        <f t="shared" si="2"/>
        <v>0</v>
      </c>
      <c r="BJ613" s="2020"/>
      <c r="BK613" s="2016">
        <f t="shared" si="3"/>
        <v>0</v>
      </c>
      <c r="BL613" s="2018"/>
      <c r="BM613" s="58"/>
      <c r="BN613" s="2013">
        <f t="shared" si="4"/>
        <v>0</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5</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9" t="str">
        <f t="shared" si="16"/>
        <v xml:space="preserve"> </v>
      </c>
      <c r="DY613" s="2182"/>
      <c r="DZ613" s="2182"/>
      <c r="EA613" s="2182"/>
      <c r="EB613" s="2020"/>
      <c r="EC613" s="2019" t="str">
        <f t="shared" si="17"/>
        <v xml:space="preserve"> </v>
      </c>
      <c r="ED613" s="2182"/>
      <c r="EE613" s="2182"/>
      <c r="EF613" s="2182"/>
      <c r="EG613" s="2020"/>
      <c r="EH613" s="2019" t="str">
        <f t="shared" si="18"/>
        <v xml:space="preserve"> </v>
      </c>
      <c r="EI613" s="2182"/>
      <c r="EJ613" s="2182"/>
      <c r="EK613" s="2182"/>
      <c r="EL613" s="2020"/>
      <c r="EM613" s="2019">
        <f t="shared" si="19"/>
        <v>1444</v>
      </c>
      <c r="EN613" s="2182"/>
      <c r="EO613" s="2182"/>
      <c r="EP613" s="2182"/>
      <c r="EQ613" s="2020"/>
      <c r="ER613" s="2019" t="str">
        <f t="shared" si="20"/>
        <v xml:space="preserve"> </v>
      </c>
      <c r="ES613" s="2182"/>
      <c r="ET613" s="2182"/>
      <c r="EU613" s="2182"/>
      <c r="EV613" s="2020"/>
      <c r="EW613" s="2019" t="str">
        <f t="shared" si="21"/>
        <v xml:space="preserve"> </v>
      </c>
      <c r="EX613" s="2182"/>
      <c r="EY613" s="2182"/>
      <c r="EZ613" s="2182"/>
      <c r="FA613" s="2020"/>
    </row>
    <row r="614" spans="1:157" ht="13.2">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30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68">
        <f t="shared" si="10"/>
        <v>0</v>
      </c>
      <c r="CT614" s="2368"/>
      <c r="CU614" s="2368"/>
      <c r="CV614" s="2368"/>
      <c r="CW614" s="2368"/>
      <c r="CX614" s="2368">
        <f t="shared" si="11"/>
        <v>0</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9" t="str">
        <f t="shared" si="16"/>
        <v xml:space="preserve"> </v>
      </c>
      <c r="DY614" s="2182"/>
      <c r="DZ614" s="2182"/>
      <c r="EA614" s="2182"/>
      <c r="EB614" s="2020"/>
      <c r="EC614" s="2019" t="str">
        <f t="shared" si="17"/>
        <v xml:space="preserve"> </v>
      </c>
      <c r="ED614" s="2182"/>
      <c r="EE614" s="2182"/>
      <c r="EF614" s="2182"/>
      <c r="EG614" s="2020"/>
      <c r="EH614" s="2019" t="str">
        <f t="shared" si="18"/>
        <v xml:space="preserve"> </v>
      </c>
      <c r="EI614" s="2182"/>
      <c r="EJ614" s="2182"/>
      <c r="EK614" s="2182"/>
      <c r="EL614" s="2020"/>
      <c r="EM614" s="2019">
        <f t="shared" si="19"/>
        <v>1752</v>
      </c>
      <c r="EN614" s="2182"/>
      <c r="EO614" s="2182"/>
      <c r="EP614" s="2182"/>
      <c r="EQ614" s="2020"/>
      <c r="ER614" s="2019" t="str">
        <f t="shared" si="20"/>
        <v xml:space="preserve"> </v>
      </c>
      <c r="ES614" s="2182"/>
      <c r="ET614" s="2182"/>
      <c r="EU614" s="2182"/>
      <c r="EV614" s="2020"/>
      <c r="EW614" s="2019" t="str">
        <f t="shared" si="21"/>
        <v xml:space="preserve"> </v>
      </c>
      <c r="EX614" s="2182"/>
      <c r="EY614" s="2182"/>
      <c r="EZ614" s="2182"/>
      <c r="FA614" s="2020"/>
    </row>
    <row r="615" spans="1:157" ht="13.2">
      <c r="A615" s="35"/>
      <c r="B615" s="12" t="s">
        <v>325</v>
      </c>
      <c r="G615" s="2063"/>
      <c r="H615" s="2063"/>
      <c r="I615" s="2063"/>
      <c r="J615" s="2063"/>
      <c r="K615" s="2063"/>
      <c r="L615" s="2063"/>
      <c r="O615" s="137" t="s">
        <v>212</v>
      </c>
      <c r="P615" s="2030"/>
      <c r="Q615" s="2030"/>
      <c r="R615" s="2030"/>
      <c r="T615" s="35"/>
      <c r="U615" s="12" t="s">
        <v>325</v>
      </c>
      <c r="Z615" s="2063"/>
      <c r="AA615" s="2063"/>
      <c r="AB615" s="2063"/>
      <c r="AC615" s="2063"/>
      <c r="AD615" s="2063"/>
      <c r="AE615" s="2063"/>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25</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9" t="str">
        <f t="shared" si="16"/>
        <v xml:space="preserve"> </v>
      </c>
      <c r="DY615" s="2182"/>
      <c r="DZ615" s="2182"/>
      <c r="EA615" s="2182"/>
      <c r="EB615" s="2020"/>
      <c r="EC615" s="2019" t="str">
        <f t="shared" si="17"/>
        <v xml:space="preserve"> </v>
      </c>
      <c r="ED615" s="2182"/>
      <c r="EE615" s="2182"/>
      <c r="EF615" s="2182"/>
      <c r="EG615" s="2020"/>
      <c r="EH615" s="2019" t="str">
        <f t="shared" si="18"/>
        <v xml:space="preserve"> </v>
      </c>
      <c r="EI615" s="2182"/>
      <c r="EJ615" s="2182"/>
      <c r="EK615" s="2182"/>
      <c r="EL615" s="2020"/>
      <c r="EM615" s="2019">
        <f t="shared" si="19"/>
        <v>2059</v>
      </c>
      <c r="EN615" s="2182"/>
      <c r="EO615" s="2182"/>
      <c r="EP615" s="2182"/>
      <c r="EQ615" s="2020"/>
      <c r="ER615" s="2019" t="str">
        <f t="shared" si="20"/>
        <v xml:space="preserve"> </v>
      </c>
      <c r="ES615" s="2182"/>
      <c r="ET615" s="2182"/>
      <c r="EU615" s="2182"/>
      <c r="EV615" s="2020"/>
      <c r="EW615" s="2019" t="str">
        <f t="shared" si="21"/>
        <v xml:space="preserve"> </v>
      </c>
      <c r="EX615" s="2182"/>
      <c r="EY615" s="2182"/>
      <c r="EZ615" s="2182"/>
      <c r="FA615" s="2020"/>
    </row>
    <row r="616" spans="1:157" ht="13.2">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9" t="str">
        <f t="shared" si="16"/>
        <v xml:space="preserve"> </v>
      </c>
      <c r="DY616" s="2182"/>
      <c r="DZ616" s="2182"/>
      <c r="EA616" s="2182"/>
      <c r="EB616" s="2020"/>
      <c r="EC616" s="2019" t="str">
        <f t="shared" si="17"/>
        <v xml:space="preserve"> </v>
      </c>
      <c r="ED616" s="2182"/>
      <c r="EE616" s="2182"/>
      <c r="EF616" s="2182"/>
      <c r="EG616" s="2020"/>
      <c r="EH616" s="2019" t="str">
        <f t="shared" si="18"/>
        <v xml:space="preserve"> </v>
      </c>
      <c r="EI616" s="2182"/>
      <c r="EJ616" s="2182"/>
      <c r="EK616" s="2182"/>
      <c r="EL616" s="2020"/>
      <c r="EM616" s="2019" t="str">
        <f t="shared" si="19"/>
        <v xml:space="preserve"> </v>
      </c>
      <c r="EN616" s="2182"/>
      <c r="EO616" s="2182"/>
      <c r="EP616" s="2182"/>
      <c r="EQ616" s="2020"/>
      <c r="ER616" s="2019" t="str">
        <f t="shared" si="20"/>
        <v xml:space="preserve"> </v>
      </c>
      <c r="ES616" s="2182"/>
      <c r="ET616" s="2182"/>
      <c r="EU616" s="2182"/>
      <c r="EV616" s="2020"/>
      <c r="EW616" s="2019" t="str">
        <f t="shared" si="21"/>
        <v xml:space="preserve"> </v>
      </c>
      <c r="EX616" s="2182"/>
      <c r="EY616" s="2182"/>
      <c r="EZ616" s="2182"/>
      <c r="FA616" s="2020"/>
    </row>
    <row r="617" spans="1:157" ht="13.2">
      <c r="A617" s="35"/>
      <c r="B617" s="12" t="s">
        <v>20</v>
      </c>
      <c r="N617" s="2038" t="s">
        <v>705</v>
      </c>
      <c r="O617" s="2038"/>
      <c r="T617" s="35"/>
      <c r="U617" s="12" t="s">
        <v>20</v>
      </c>
      <c r="AG617" s="2038" t="s">
        <v>705</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9" t="str">
        <f t="shared" si="16"/>
        <v xml:space="preserve"> </v>
      </c>
      <c r="DY617" s="2182"/>
      <c r="DZ617" s="2182"/>
      <c r="EA617" s="2182"/>
      <c r="EB617" s="2020"/>
      <c r="EC617" s="2019" t="str">
        <f t="shared" si="17"/>
        <v xml:space="preserve"> </v>
      </c>
      <c r="ED617" s="2182"/>
      <c r="EE617" s="2182"/>
      <c r="EF617" s="2182"/>
      <c r="EG617" s="2020"/>
      <c r="EH617" s="2019" t="str">
        <f t="shared" si="18"/>
        <v xml:space="preserve"> </v>
      </c>
      <c r="EI617" s="2182"/>
      <c r="EJ617" s="2182"/>
      <c r="EK617" s="2182"/>
      <c r="EL617" s="2020"/>
      <c r="EM617" s="2019" t="str">
        <f t="shared" si="19"/>
        <v xml:space="preserve"> </v>
      </c>
      <c r="EN617" s="2182"/>
      <c r="EO617" s="2182"/>
      <c r="EP617" s="2182"/>
      <c r="EQ617" s="2020"/>
      <c r="ER617" s="2019" t="str">
        <f t="shared" si="20"/>
        <v xml:space="preserve"> </v>
      </c>
      <c r="ES617" s="2182"/>
      <c r="ET617" s="2182"/>
      <c r="EU617" s="2182"/>
      <c r="EV617" s="2020"/>
      <c r="EW617" s="2019" t="str">
        <f t="shared" si="21"/>
        <v xml:space="preserve"> </v>
      </c>
      <c r="EX617" s="2182"/>
      <c r="EY617" s="2182"/>
      <c r="EZ617" s="2182"/>
      <c r="FA617" s="202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9" t="str">
        <f t="shared" si="16"/>
        <v xml:space="preserve"> </v>
      </c>
      <c r="DY618" s="2182"/>
      <c r="DZ618" s="2182"/>
      <c r="EA618" s="2182"/>
      <c r="EB618" s="2020"/>
      <c r="EC618" s="2019" t="str">
        <f t="shared" si="17"/>
        <v xml:space="preserve"> </v>
      </c>
      <c r="ED618" s="2182"/>
      <c r="EE618" s="2182"/>
      <c r="EF618" s="2182"/>
      <c r="EG618" s="2020"/>
      <c r="EH618" s="2019" t="str">
        <f t="shared" si="18"/>
        <v xml:space="preserve"> </v>
      </c>
      <c r="EI618" s="2182"/>
      <c r="EJ618" s="2182"/>
      <c r="EK618" s="2182"/>
      <c r="EL618" s="2020"/>
      <c r="EM618" s="2019" t="str">
        <f t="shared" si="19"/>
        <v xml:space="preserve"> </v>
      </c>
      <c r="EN618" s="2182"/>
      <c r="EO618" s="2182"/>
      <c r="EP618" s="2182"/>
      <c r="EQ618" s="2020"/>
      <c r="ER618" s="2019" t="str">
        <f t="shared" si="20"/>
        <v xml:space="preserve"> </v>
      </c>
      <c r="ES618" s="2182"/>
      <c r="ET618" s="2182"/>
      <c r="EU618" s="2182"/>
      <c r="EV618" s="2020"/>
      <c r="EW618" s="2019" t="str">
        <f t="shared" si="21"/>
        <v xml:space="preserve"> </v>
      </c>
      <c r="EX618" s="2182"/>
      <c r="EY618" s="2182"/>
      <c r="EZ618" s="2182"/>
      <c r="FA618" s="2020"/>
    </row>
    <row r="619" spans="1:157" s="7" customFormat="1" ht="13.2">
      <c r="A619" s="87" t="s">
        <v>372</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9" t="str">
        <f t="shared" si="16"/>
        <v xml:space="preserve"> </v>
      </c>
      <c r="DY619" s="2182"/>
      <c r="DZ619" s="2182"/>
      <c r="EA619" s="2182"/>
      <c r="EB619" s="2020"/>
      <c r="EC619" s="2019" t="str">
        <f t="shared" si="17"/>
        <v xml:space="preserve"> </v>
      </c>
      <c r="ED619" s="2182"/>
      <c r="EE619" s="2182"/>
      <c r="EF619" s="2182"/>
      <c r="EG619" s="2020"/>
      <c r="EH619" s="2019" t="str">
        <f t="shared" si="18"/>
        <v xml:space="preserve"> </v>
      </c>
      <c r="EI619" s="2182"/>
      <c r="EJ619" s="2182"/>
      <c r="EK619" s="2182"/>
      <c r="EL619" s="2020"/>
      <c r="EM619" s="2019" t="str">
        <f t="shared" si="19"/>
        <v xml:space="preserve"> </v>
      </c>
      <c r="EN619" s="2182"/>
      <c r="EO619" s="2182"/>
      <c r="EP619" s="2182"/>
      <c r="EQ619" s="2020"/>
      <c r="ER619" s="2019" t="str">
        <f t="shared" si="20"/>
        <v xml:space="preserve"> </v>
      </c>
      <c r="ES619" s="2182"/>
      <c r="ET619" s="2182"/>
      <c r="EU619" s="2182"/>
      <c r="EV619" s="2020"/>
      <c r="EW619" s="2019" t="str">
        <f t="shared" si="21"/>
        <v xml:space="preserve"> </v>
      </c>
      <c r="EX619" s="2182"/>
      <c r="EY619" s="2182"/>
      <c r="EZ619" s="2182"/>
      <c r="FA619" s="2020"/>
    </row>
    <row r="620" spans="1:157" s="7" customFormat="1" ht="13.2">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9" t="str">
        <f t="shared" si="16"/>
        <v xml:space="preserve"> </v>
      </c>
      <c r="DY620" s="2182"/>
      <c r="DZ620" s="2182"/>
      <c r="EA620" s="2182"/>
      <c r="EB620" s="2020"/>
      <c r="EC620" s="2019" t="str">
        <f t="shared" si="17"/>
        <v xml:space="preserve"> </v>
      </c>
      <c r="ED620" s="2182"/>
      <c r="EE620" s="2182"/>
      <c r="EF620" s="2182"/>
      <c r="EG620" s="2020"/>
      <c r="EH620" s="2019" t="str">
        <f t="shared" si="18"/>
        <v xml:space="preserve"> </v>
      </c>
      <c r="EI620" s="2182"/>
      <c r="EJ620" s="2182"/>
      <c r="EK620" s="2182"/>
      <c r="EL620" s="2020"/>
      <c r="EM620" s="2019" t="str">
        <f t="shared" si="19"/>
        <v xml:space="preserve"> </v>
      </c>
      <c r="EN620" s="2182"/>
      <c r="EO620" s="2182"/>
      <c r="EP620" s="2182"/>
      <c r="EQ620" s="2020"/>
      <c r="ER620" s="2019" t="str">
        <f t="shared" si="20"/>
        <v xml:space="preserve"> </v>
      </c>
      <c r="ES620" s="2182"/>
      <c r="ET620" s="2182"/>
      <c r="EU620" s="2182"/>
      <c r="EV620" s="2020"/>
      <c r="EW620" s="2019" t="str">
        <f t="shared" si="21"/>
        <v xml:space="preserve"> </v>
      </c>
      <c r="EX620" s="2182"/>
      <c r="EY620" s="2182"/>
      <c r="EZ620" s="2182"/>
      <c r="FA620" s="2020"/>
    </row>
    <row r="621" spans="1:157" ht="13.2">
      <c r="B621" s="12" t="s">
        <v>614</v>
      </c>
      <c r="G621" s="2039"/>
      <c r="H621" s="2039"/>
      <c r="I621" s="2039"/>
      <c r="J621" s="2039"/>
      <c r="K621" s="2039"/>
      <c r="L621" s="2039"/>
      <c r="M621" s="2039"/>
      <c r="N621" s="2039"/>
      <c r="O621" s="2039"/>
      <c r="P621" s="2039"/>
      <c r="Q621" s="2039"/>
      <c r="R621" s="2039"/>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9" t="str">
        <f t="shared" si="16"/>
        <v xml:space="preserve"> </v>
      </c>
      <c r="DY621" s="2182"/>
      <c r="DZ621" s="2182"/>
      <c r="EA621" s="2182"/>
      <c r="EB621" s="2020"/>
      <c r="EC621" s="2019" t="str">
        <f t="shared" si="17"/>
        <v xml:space="preserve"> </v>
      </c>
      <c r="ED621" s="2182"/>
      <c r="EE621" s="2182"/>
      <c r="EF621" s="2182"/>
      <c r="EG621" s="2020"/>
      <c r="EH621" s="2019" t="str">
        <f t="shared" si="18"/>
        <v xml:space="preserve"> </v>
      </c>
      <c r="EI621" s="2182"/>
      <c r="EJ621" s="2182"/>
      <c r="EK621" s="2182"/>
      <c r="EL621" s="2020"/>
      <c r="EM621" s="2019" t="str">
        <f t="shared" si="19"/>
        <v xml:space="preserve"> </v>
      </c>
      <c r="EN621" s="2182"/>
      <c r="EO621" s="2182"/>
      <c r="EP621" s="2182"/>
      <c r="EQ621" s="2020"/>
      <c r="ER621" s="2019" t="str">
        <f t="shared" si="20"/>
        <v xml:space="preserve"> </v>
      </c>
      <c r="ES621" s="2182"/>
      <c r="ET621" s="2182"/>
      <c r="EU621" s="2182"/>
      <c r="EV621" s="2020"/>
      <c r="EW621" s="2019" t="str">
        <f t="shared" si="21"/>
        <v xml:space="preserve"> </v>
      </c>
      <c r="EX621" s="2182"/>
      <c r="EY621" s="2182"/>
      <c r="EZ621" s="2182"/>
      <c r="FA621" s="2020"/>
    </row>
    <row r="622" spans="1:157" ht="13.2">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9" t="str">
        <f t="shared" si="16"/>
        <v xml:space="preserve"> </v>
      </c>
      <c r="DY622" s="2182"/>
      <c r="DZ622" s="2182"/>
      <c r="EA622" s="2182"/>
      <c r="EB622" s="2020"/>
      <c r="EC622" s="2019" t="str">
        <f t="shared" si="17"/>
        <v xml:space="preserve"> </v>
      </c>
      <c r="ED622" s="2182"/>
      <c r="EE622" s="2182"/>
      <c r="EF622" s="2182"/>
      <c r="EG622" s="2020"/>
      <c r="EH622" s="2019" t="str">
        <f t="shared" si="18"/>
        <v xml:space="preserve"> </v>
      </c>
      <c r="EI622" s="2182"/>
      <c r="EJ622" s="2182"/>
      <c r="EK622" s="2182"/>
      <c r="EL622" s="2020"/>
      <c r="EM622" s="2019" t="str">
        <f t="shared" si="19"/>
        <v xml:space="preserve"> </v>
      </c>
      <c r="EN622" s="2182"/>
      <c r="EO622" s="2182"/>
      <c r="EP622" s="2182"/>
      <c r="EQ622" s="2020"/>
      <c r="ER622" s="2019" t="str">
        <f t="shared" si="20"/>
        <v xml:space="preserve"> </v>
      </c>
      <c r="ES622" s="2182"/>
      <c r="ET622" s="2182"/>
      <c r="EU622" s="2182"/>
      <c r="EV622" s="2020"/>
      <c r="EW622" s="2019" t="str">
        <f t="shared" si="21"/>
        <v xml:space="preserve"> </v>
      </c>
      <c r="EX622" s="2182"/>
      <c r="EY622" s="2182"/>
      <c r="EZ622" s="2182"/>
      <c r="FA622" s="2020"/>
    </row>
    <row r="623" spans="1:157" ht="13.2">
      <c r="B623" s="12" t="s">
        <v>325</v>
      </c>
      <c r="G623" s="2063"/>
      <c r="H623" s="2063"/>
      <c r="I623" s="2063"/>
      <c r="J623" s="2063"/>
      <c r="K623" s="2063"/>
      <c r="L623" s="2063"/>
      <c r="O623" s="137" t="s">
        <v>212</v>
      </c>
      <c r="P623" s="2030"/>
      <c r="Q623" s="2030"/>
      <c r="R623" s="2030"/>
      <c r="U623" s="12" t="s">
        <v>325</v>
      </c>
      <c r="Z623" s="2063"/>
      <c r="AA623" s="2063"/>
      <c r="AB623" s="2063"/>
      <c r="AC623" s="2063"/>
      <c r="AD623" s="2063"/>
      <c r="AE623" s="2063"/>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9" t="str">
        <f t="shared" si="16"/>
        <v xml:space="preserve"> </v>
      </c>
      <c r="DY623" s="2182"/>
      <c r="DZ623" s="2182"/>
      <c r="EA623" s="2182"/>
      <c r="EB623" s="2020"/>
      <c r="EC623" s="2019" t="str">
        <f t="shared" si="17"/>
        <v xml:space="preserve"> </v>
      </c>
      <c r="ED623" s="2182"/>
      <c r="EE623" s="2182"/>
      <c r="EF623" s="2182"/>
      <c r="EG623" s="2020"/>
      <c r="EH623" s="2019" t="str">
        <f t="shared" si="18"/>
        <v xml:space="preserve"> </v>
      </c>
      <c r="EI623" s="2182"/>
      <c r="EJ623" s="2182"/>
      <c r="EK623" s="2182"/>
      <c r="EL623" s="2020"/>
      <c r="EM623" s="2019" t="str">
        <f t="shared" si="19"/>
        <v xml:space="preserve"> </v>
      </c>
      <c r="EN623" s="2182"/>
      <c r="EO623" s="2182"/>
      <c r="EP623" s="2182"/>
      <c r="EQ623" s="2020"/>
      <c r="ER623" s="2019" t="str">
        <f t="shared" si="20"/>
        <v xml:space="preserve"> </v>
      </c>
      <c r="ES623" s="2182"/>
      <c r="ET623" s="2182"/>
      <c r="EU623" s="2182"/>
      <c r="EV623" s="2020"/>
      <c r="EW623" s="2019" t="str">
        <f t="shared" si="21"/>
        <v xml:space="preserve"> </v>
      </c>
      <c r="EX623" s="2182"/>
      <c r="EY623" s="2182"/>
      <c r="EZ623" s="2182"/>
      <c r="FA623" s="2020"/>
    </row>
    <row r="624" spans="1:157" ht="13.2">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9" t="str">
        <f t="shared" si="16"/>
        <v xml:space="preserve"> </v>
      </c>
      <c r="DY624" s="2182"/>
      <c r="DZ624" s="2182"/>
      <c r="EA624" s="2182"/>
      <c r="EB624" s="2020"/>
      <c r="EC624" s="2019" t="str">
        <f t="shared" si="17"/>
        <v xml:space="preserve"> </v>
      </c>
      <c r="ED624" s="2182"/>
      <c r="EE624" s="2182"/>
      <c r="EF624" s="2182"/>
      <c r="EG624" s="2020"/>
      <c r="EH624" s="2019" t="str">
        <f t="shared" si="18"/>
        <v xml:space="preserve"> </v>
      </c>
      <c r="EI624" s="2182"/>
      <c r="EJ624" s="2182"/>
      <c r="EK624" s="2182"/>
      <c r="EL624" s="2020"/>
      <c r="EM624" s="2019" t="str">
        <f t="shared" si="19"/>
        <v xml:space="preserve"> </v>
      </c>
      <c r="EN624" s="2182"/>
      <c r="EO624" s="2182"/>
      <c r="EP624" s="2182"/>
      <c r="EQ624" s="2020"/>
      <c r="ER624" s="2019" t="str">
        <f t="shared" si="20"/>
        <v xml:space="preserve"> </v>
      </c>
      <c r="ES624" s="2182"/>
      <c r="ET624" s="2182"/>
      <c r="EU624" s="2182"/>
      <c r="EV624" s="2020"/>
      <c r="EW624" s="2019" t="str">
        <f t="shared" si="21"/>
        <v xml:space="preserve"> </v>
      </c>
      <c r="EX624" s="2182"/>
      <c r="EY624" s="2182"/>
      <c r="EZ624" s="2182"/>
      <c r="FA624" s="2020"/>
    </row>
    <row r="625" spans="1:157" ht="13.2">
      <c r="B625" s="12" t="s">
        <v>20</v>
      </c>
      <c r="N625" s="2038" t="s">
        <v>705</v>
      </c>
      <c r="O625" s="2038"/>
      <c r="U625" s="12" t="s">
        <v>20</v>
      </c>
      <c r="AG625" s="2038" t="s">
        <v>705</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9" t="str">
        <f t="shared" si="16"/>
        <v xml:space="preserve"> </v>
      </c>
      <c r="DY625" s="2182"/>
      <c r="DZ625" s="2182"/>
      <c r="EA625" s="2182"/>
      <c r="EB625" s="2020"/>
      <c r="EC625" s="2019" t="str">
        <f t="shared" si="17"/>
        <v xml:space="preserve"> </v>
      </c>
      <c r="ED625" s="2182"/>
      <c r="EE625" s="2182"/>
      <c r="EF625" s="2182"/>
      <c r="EG625" s="2020"/>
      <c r="EH625" s="2019" t="str">
        <f t="shared" si="18"/>
        <v xml:space="preserve"> </v>
      </c>
      <c r="EI625" s="2182"/>
      <c r="EJ625" s="2182"/>
      <c r="EK625" s="2182"/>
      <c r="EL625" s="2020"/>
      <c r="EM625" s="2019" t="str">
        <f t="shared" si="19"/>
        <v xml:space="preserve"> </v>
      </c>
      <c r="EN625" s="2182"/>
      <c r="EO625" s="2182"/>
      <c r="EP625" s="2182"/>
      <c r="EQ625" s="2020"/>
      <c r="ER625" s="2019" t="str">
        <f t="shared" si="20"/>
        <v xml:space="preserve"> </v>
      </c>
      <c r="ES625" s="2182"/>
      <c r="ET625" s="2182"/>
      <c r="EU625" s="2182"/>
      <c r="EV625" s="2020"/>
      <c r="EW625" s="2019" t="str">
        <f t="shared" si="21"/>
        <v xml:space="preserve"> </v>
      </c>
      <c r="EX625" s="2182"/>
      <c r="EY625" s="2182"/>
      <c r="EZ625" s="2182"/>
      <c r="FA625" s="2020"/>
    </row>
    <row r="626" spans="1:157" ht="13.2">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9" t="str">
        <f t="shared" si="16"/>
        <v xml:space="preserve"> </v>
      </c>
      <c r="DY626" s="2182"/>
      <c r="DZ626" s="2182"/>
      <c r="EA626" s="2182"/>
      <c r="EB626" s="2020"/>
      <c r="EC626" s="2019" t="str">
        <f t="shared" si="17"/>
        <v xml:space="preserve"> </v>
      </c>
      <c r="ED626" s="2182"/>
      <c r="EE626" s="2182"/>
      <c r="EF626" s="2182"/>
      <c r="EG626" s="2020"/>
      <c r="EH626" s="2019" t="str">
        <f t="shared" si="18"/>
        <v xml:space="preserve"> </v>
      </c>
      <c r="EI626" s="2182"/>
      <c r="EJ626" s="2182"/>
      <c r="EK626" s="2182"/>
      <c r="EL626" s="2020"/>
      <c r="EM626" s="2019" t="str">
        <f t="shared" si="19"/>
        <v xml:space="preserve"> </v>
      </c>
      <c r="EN626" s="2182"/>
      <c r="EO626" s="2182"/>
      <c r="EP626" s="2182"/>
      <c r="EQ626" s="2020"/>
      <c r="ER626" s="2019" t="str">
        <f t="shared" si="20"/>
        <v xml:space="preserve"> </v>
      </c>
      <c r="ES626" s="2182"/>
      <c r="ET626" s="2182"/>
      <c r="EU626" s="2182"/>
      <c r="EV626" s="2020"/>
      <c r="EW626" s="2019" t="str">
        <f t="shared" si="21"/>
        <v xml:space="preserve"> </v>
      </c>
      <c r="EX626" s="2182"/>
      <c r="EY626" s="2182"/>
      <c r="EZ626" s="2182"/>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9" t="str">
        <f t="shared" si="16"/>
        <v xml:space="preserve"> </v>
      </c>
      <c r="DY627" s="2182"/>
      <c r="DZ627" s="2182"/>
      <c r="EA627" s="2182"/>
      <c r="EB627" s="2020"/>
      <c r="EC627" s="2019" t="str">
        <f t="shared" si="17"/>
        <v xml:space="preserve"> </v>
      </c>
      <c r="ED627" s="2182"/>
      <c r="EE627" s="2182"/>
      <c r="EF627" s="2182"/>
      <c r="EG627" s="2020"/>
      <c r="EH627" s="2019" t="str">
        <f t="shared" si="18"/>
        <v xml:space="preserve"> </v>
      </c>
      <c r="EI627" s="2182"/>
      <c r="EJ627" s="2182"/>
      <c r="EK627" s="2182"/>
      <c r="EL627" s="2020"/>
      <c r="EM627" s="2019" t="str">
        <f t="shared" si="19"/>
        <v xml:space="preserve"> </v>
      </c>
      <c r="EN627" s="2182"/>
      <c r="EO627" s="2182"/>
      <c r="EP627" s="2182"/>
      <c r="EQ627" s="2020"/>
      <c r="ER627" s="2019" t="str">
        <f t="shared" si="20"/>
        <v xml:space="preserve"> </v>
      </c>
      <c r="ES627" s="2182"/>
      <c r="ET627" s="2182"/>
      <c r="EU627" s="2182"/>
      <c r="EV627" s="2020"/>
      <c r="EW627" s="2019" t="str">
        <f t="shared" si="21"/>
        <v xml:space="preserve"> </v>
      </c>
      <c r="EX627" s="2182"/>
      <c r="EY627" s="2182"/>
      <c r="EZ627" s="2182"/>
      <c r="FA627" s="202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9" t="str">
        <f t="shared" si="16"/>
        <v xml:space="preserve"> </v>
      </c>
      <c r="DY628" s="2182"/>
      <c r="DZ628" s="2182"/>
      <c r="EA628" s="2182"/>
      <c r="EB628" s="2020"/>
      <c r="EC628" s="2019" t="str">
        <f t="shared" si="17"/>
        <v xml:space="preserve"> </v>
      </c>
      <c r="ED628" s="2182"/>
      <c r="EE628" s="2182"/>
      <c r="EF628" s="2182"/>
      <c r="EG628" s="2020"/>
      <c r="EH628" s="2019" t="str">
        <f t="shared" si="18"/>
        <v xml:space="preserve"> </v>
      </c>
      <c r="EI628" s="2182"/>
      <c r="EJ628" s="2182"/>
      <c r="EK628" s="2182"/>
      <c r="EL628" s="2020"/>
      <c r="EM628" s="2019" t="str">
        <f t="shared" si="19"/>
        <v xml:space="preserve"> </v>
      </c>
      <c r="EN628" s="2182"/>
      <c r="EO628" s="2182"/>
      <c r="EP628" s="2182"/>
      <c r="EQ628" s="2020"/>
      <c r="ER628" s="2019" t="str">
        <f t="shared" si="20"/>
        <v xml:space="preserve"> </v>
      </c>
      <c r="ES628" s="2182"/>
      <c r="ET628" s="2182"/>
      <c r="EU628" s="2182"/>
      <c r="EV628" s="2020"/>
      <c r="EW628" s="2019" t="str">
        <f t="shared" si="21"/>
        <v xml:space="preserve"> </v>
      </c>
      <c r="EX628" s="2182"/>
      <c r="EY628" s="2182"/>
      <c r="EZ628" s="2182"/>
      <c r="FA628" s="2020"/>
    </row>
    <row r="629" spans="1:157" ht="13.2">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9" t="str">
        <f t="shared" si="16"/>
        <v xml:space="preserve"> </v>
      </c>
      <c r="DY629" s="2182"/>
      <c r="DZ629" s="2182"/>
      <c r="EA629" s="2182"/>
      <c r="EB629" s="2020"/>
      <c r="EC629" s="2019" t="str">
        <f t="shared" si="17"/>
        <v xml:space="preserve"> </v>
      </c>
      <c r="ED629" s="2182"/>
      <c r="EE629" s="2182"/>
      <c r="EF629" s="2182"/>
      <c r="EG629" s="2020"/>
      <c r="EH629" s="2019" t="str">
        <f t="shared" si="18"/>
        <v xml:space="preserve"> </v>
      </c>
      <c r="EI629" s="2182"/>
      <c r="EJ629" s="2182"/>
      <c r="EK629" s="2182"/>
      <c r="EL629" s="2020"/>
      <c r="EM629" s="2019" t="str">
        <f t="shared" si="19"/>
        <v xml:space="preserve"> </v>
      </c>
      <c r="EN629" s="2182"/>
      <c r="EO629" s="2182"/>
      <c r="EP629" s="2182"/>
      <c r="EQ629" s="2020"/>
      <c r="ER629" s="2019" t="str">
        <f t="shared" si="20"/>
        <v xml:space="preserve"> </v>
      </c>
      <c r="ES629" s="2182"/>
      <c r="ET629" s="2182"/>
      <c r="EU629" s="2182"/>
      <c r="EV629" s="2020"/>
      <c r="EW629" s="2019" t="str">
        <f t="shared" si="21"/>
        <v xml:space="preserve"> </v>
      </c>
      <c r="EX629" s="2182"/>
      <c r="EY629" s="2182"/>
      <c r="EZ629" s="2182"/>
      <c r="FA629" s="2020"/>
    </row>
    <row r="630" spans="1:157" ht="13.2">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9" t="str">
        <f t="shared" si="16"/>
        <v xml:space="preserve"> </v>
      </c>
      <c r="DY630" s="2182"/>
      <c r="DZ630" s="2182"/>
      <c r="EA630" s="2182"/>
      <c r="EB630" s="2020"/>
      <c r="EC630" s="2019" t="str">
        <f t="shared" si="17"/>
        <v xml:space="preserve"> </v>
      </c>
      <c r="ED630" s="2182"/>
      <c r="EE630" s="2182"/>
      <c r="EF630" s="2182"/>
      <c r="EG630" s="2020"/>
      <c r="EH630" s="2019" t="str">
        <f t="shared" si="18"/>
        <v xml:space="preserve"> </v>
      </c>
      <c r="EI630" s="2182"/>
      <c r="EJ630" s="2182"/>
      <c r="EK630" s="2182"/>
      <c r="EL630" s="2020"/>
      <c r="EM630" s="2019" t="str">
        <f t="shared" si="19"/>
        <v xml:space="preserve"> </v>
      </c>
      <c r="EN630" s="2182"/>
      <c r="EO630" s="2182"/>
      <c r="EP630" s="2182"/>
      <c r="EQ630" s="2020"/>
      <c r="ER630" s="2019" t="str">
        <f t="shared" si="20"/>
        <v xml:space="preserve"> </v>
      </c>
      <c r="ES630" s="2182"/>
      <c r="ET630" s="2182"/>
      <c r="EU630" s="2182"/>
      <c r="EV630" s="2020"/>
      <c r="EW630" s="2019" t="str">
        <f t="shared" si="21"/>
        <v xml:space="preserve"> </v>
      </c>
      <c r="EX630" s="2182"/>
      <c r="EY630" s="2182"/>
      <c r="EZ630" s="2182"/>
      <c r="FA630" s="2020"/>
    </row>
    <row r="631" spans="1:157" ht="13.2">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9" t="str">
        <f t="shared" si="16"/>
        <v xml:space="preserve"> </v>
      </c>
      <c r="DY631" s="2182"/>
      <c r="DZ631" s="2182"/>
      <c r="EA631" s="2182"/>
      <c r="EB631" s="2020"/>
      <c r="EC631" s="2019" t="str">
        <f t="shared" si="17"/>
        <v xml:space="preserve"> </v>
      </c>
      <c r="ED631" s="2182"/>
      <c r="EE631" s="2182"/>
      <c r="EF631" s="2182"/>
      <c r="EG631" s="2020"/>
      <c r="EH631" s="2019" t="str">
        <f t="shared" si="18"/>
        <v xml:space="preserve"> </v>
      </c>
      <c r="EI631" s="2182"/>
      <c r="EJ631" s="2182"/>
      <c r="EK631" s="2182"/>
      <c r="EL631" s="2020"/>
      <c r="EM631" s="2019" t="str">
        <f t="shared" si="19"/>
        <v xml:space="preserve"> </v>
      </c>
      <c r="EN631" s="2182"/>
      <c r="EO631" s="2182"/>
      <c r="EP631" s="2182"/>
      <c r="EQ631" s="2020"/>
      <c r="ER631" s="2019" t="str">
        <f t="shared" si="20"/>
        <v xml:space="preserve"> </v>
      </c>
      <c r="ES631" s="2182"/>
      <c r="ET631" s="2182"/>
      <c r="EU631" s="2182"/>
      <c r="EV631" s="2020"/>
      <c r="EW631" s="2019" t="str">
        <f t="shared" si="21"/>
        <v xml:space="preserve"> </v>
      </c>
      <c r="EX631" s="2182"/>
      <c r="EY631" s="2182"/>
      <c r="EZ631" s="2182"/>
      <c r="FA631" s="202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9" t="str">
        <f t="shared" si="16"/>
        <v xml:space="preserve"> </v>
      </c>
      <c r="DY632" s="2182"/>
      <c r="DZ632" s="2182"/>
      <c r="EA632" s="2182"/>
      <c r="EB632" s="2020"/>
      <c r="EC632" s="2019" t="str">
        <f t="shared" si="17"/>
        <v xml:space="preserve"> </v>
      </c>
      <c r="ED632" s="2182"/>
      <c r="EE632" s="2182"/>
      <c r="EF632" s="2182"/>
      <c r="EG632" s="2020"/>
      <c r="EH632" s="2019" t="str">
        <f t="shared" si="18"/>
        <v xml:space="preserve"> </v>
      </c>
      <c r="EI632" s="2182"/>
      <c r="EJ632" s="2182"/>
      <c r="EK632" s="2182"/>
      <c r="EL632" s="2020"/>
      <c r="EM632" s="2019" t="str">
        <f t="shared" si="19"/>
        <v xml:space="preserve"> </v>
      </c>
      <c r="EN632" s="2182"/>
      <c r="EO632" s="2182"/>
      <c r="EP632" s="2182"/>
      <c r="EQ632" s="2020"/>
      <c r="ER632" s="2019" t="str">
        <f t="shared" si="20"/>
        <v xml:space="preserve"> </v>
      </c>
      <c r="ES632" s="2182"/>
      <c r="ET632" s="2182"/>
      <c r="EU632" s="2182"/>
      <c r="EV632" s="2020"/>
      <c r="EW632" s="2019" t="str">
        <f t="shared" si="21"/>
        <v xml:space="preserve"> </v>
      </c>
      <c r="EX632" s="2182"/>
      <c r="EY632" s="2182"/>
      <c r="EZ632" s="2182"/>
      <c r="FA632" s="2020"/>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9" t="str">
        <f t="shared" si="16"/>
        <v xml:space="preserve"> </v>
      </c>
      <c r="DY633" s="2182"/>
      <c r="DZ633" s="2182"/>
      <c r="EA633" s="2182"/>
      <c r="EB633" s="2020"/>
      <c r="EC633" s="2019" t="str">
        <f t="shared" si="17"/>
        <v xml:space="preserve"> </v>
      </c>
      <c r="ED633" s="2182"/>
      <c r="EE633" s="2182"/>
      <c r="EF633" s="2182"/>
      <c r="EG633" s="2020"/>
      <c r="EH633" s="2019" t="str">
        <f t="shared" si="18"/>
        <v xml:space="preserve"> </v>
      </c>
      <c r="EI633" s="2182"/>
      <c r="EJ633" s="2182"/>
      <c r="EK633" s="2182"/>
      <c r="EL633" s="2020"/>
      <c r="EM633" s="2019" t="str">
        <f t="shared" si="19"/>
        <v xml:space="preserve"> </v>
      </c>
      <c r="EN633" s="2182"/>
      <c r="EO633" s="2182"/>
      <c r="EP633" s="2182"/>
      <c r="EQ633" s="2020"/>
      <c r="ER633" s="2019" t="str">
        <f t="shared" si="20"/>
        <v xml:space="preserve"> </v>
      </c>
      <c r="ES633" s="2182"/>
      <c r="ET633" s="2182"/>
      <c r="EU633" s="2182"/>
      <c r="EV633" s="2020"/>
      <c r="EW633" s="2019" t="str">
        <f t="shared" si="21"/>
        <v xml:space="preserve"> </v>
      </c>
      <c r="EX633" s="2182"/>
      <c r="EY633" s="2182"/>
      <c r="EZ633" s="2182"/>
      <c r="FA633" s="2020"/>
    </row>
    <row r="634" spans="1:157" s="1821" customFormat="1" ht="12.75" customHeight="1">
      <c r="B634" s="2497" t="s">
        <v>483</v>
      </c>
      <c r="C634" s="2498"/>
      <c r="D634" s="2498"/>
      <c r="E634" s="2498"/>
      <c r="F634" s="2498"/>
      <c r="G634" s="2498"/>
      <c r="H634" s="2498"/>
      <c r="I634" s="2498"/>
      <c r="J634" s="2498"/>
      <c r="K634" s="2498"/>
      <c r="L634" s="2498"/>
      <c r="M634" s="2498"/>
      <c r="N634" s="2499"/>
      <c r="O634" s="2250" t="s">
        <v>2378</v>
      </c>
      <c r="P634" s="2173"/>
      <c r="Q634" s="2174"/>
      <c r="R634" s="2250" t="s">
        <v>2376</v>
      </c>
      <c r="S634" s="2173"/>
      <c r="T634" s="2174"/>
      <c r="U634" s="2557" t="s">
        <v>484</v>
      </c>
      <c r="V634" s="2557"/>
      <c r="W634" s="2558"/>
      <c r="X634" s="2250" t="s">
        <v>2152</v>
      </c>
      <c r="Y634" s="2173"/>
      <c r="Z634" s="2173"/>
      <c r="AA634" s="2173"/>
      <c r="AB634" s="2174"/>
      <c r="AC634" s="2418" t="s">
        <v>2150</v>
      </c>
      <c r="AD634" s="2419"/>
      <c r="AE634" s="2420"/>
      <c r="AF634" s="2250" t="s">
        <v>2153</v>
      </c>
      <c r="AG634" s="2173"/>
      <c r="AH634" s="2173"/>
      <c r="AI634" s="2173"/>
      <c r="AJ634" s="2174"/>
      <c r="AK634" s="2407" t="s">
        <v>2154</v>
      </c>
      <c r="AL634" s="2408"/>
      <c r="AM634" s="2408"/>
      <c r="AN634" s="2409"/>
      <c r="AO634" s="2260" t="s">
        <v>485</v>
      </c>
      <c r="AP634" s="2260"/>
      <c r="AQ634" s="2260"/>
      <c r="AR634" s="2260"/>
      <c r="AS634" s="2260"/>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9" t="str">
        <f t="shared" si="16"/>
        <v xml:space="preserve"> </v>
      </c>
      <c r="DY634" s="2182"/>
      <c r="DZ634" s="2182"/>
      <c r="EA634" s="2182"/>
      <c r="EB634" s="2020"/>
      <c r="EC634" s="2019" t="str">
        <f t="shared" si="17"/>
        <v xml:space="preserve"> </v>
      </c>
      <c r="ED634" s="2182"/>
      <c r="EE634" s="2182"/>
      <c r="EF634" s="2182"/>
      <c r="EG634" s="2020"/>
      <c r="EH634" s="2019" t="str">
        <f t="shared" si="18"/>
        <v xml:space="preserve"> </v>
      </c>
      <c r="EI634" s="2182"/>
      <c r="EJ634" s="2182"/>
      <c r="EK634" s="2182"/>
      <c r="EL634" s="2020"/>
      <c r="EM634" s="2019" t="str">
        <f t="shared" si="19"/>
        <v xml:space="preserve"> </v>
      </c>
      <c r="EN634" s="2182"/>
      <c r="EO634" s="2182"/>
      <c r="EP634" s="2182"/>
      <c r="EQ634" s="2020"/>
      <c r="ER634" s="2019" t="str">
        <f t="shared" si="20"/>
        <v xml:space="preserve"> </v>
      </c>
      <c r="ES634" s="2182"/>
      <c r="ET634" s="2182"/>
      <c r="EU634" s="2182"/>
      <c r="EV634" s="2020"/>
      <c r="EW634" s="2019" t="str">
        <f t="shared" si="21"/>
        <v xml:space="preserve"> </v>
      </c>
      <c r="EX634" s="2182"/>
      <c r="EY634" s="2182"/>
      <c r="EZ634" s="2182"/>
      <c r="FA634" s="2020"/>
    </row>
    <row r="635" spans="1:157" s="1821" customFormat="1" ht="13.2">
      <c r="B635" s="2554"/>
      <c r="C635" s="2226"/>
      <c r="D635" s="2226"/>
      <c r="E635" s="2226"/>
      <c r="F635" s="2226"/>
      <c r="G635" s="2226"/>
      <c r="H635" s="2226"/>
      <c r="I635" s="2226"/>
      <c r="J635" s="2226"/>
      <c r="K635" s="2226"/>
      <c r="L635" s="2226"/>
      <c r="M635" s="2226"/>
      <c r="N635" s="2555"/>
      <c r="O635" s="2251"/>
      <c r="P635" s="2252"/>
      <c r="Q635" s="2253"/>
      <c r="R635" s="2251"/>
      <c r="S635" s="2252"/>
      <c r="T635" s="2253"/>
      <c r="U635" s="2559"/>
      <c r="V635" s="2559"/>
      <c r="W635" s="2560"/>
      <c r="X635" s="2251"/>
      <c r="Y635" s="2252"/>
      <c r="Z635" s="2252"/>
      <c r="AA635" s="2252"/>
      <c r="AB635" s="2253"/>
      <c r="AC635" s="2421"/>
      <c r="AD635" s="2422"/>
      <c r="AE635" s="2423"/>
      <c r="AF635" s="2251"/>
      <c r="AG635" s="2252"/>
      <c r="AH635" s="2252"/>
      <c r="AI635" s="2252"/>
      <c r="AJ635" s="2253"/>
      <c r="AK635" s="2410"/>
      <c r="AL635" s="2411"/>
      <c r="AM635" s="2411"/>
      <c r="AN635" s="2412"/>
      <c r="AO635" s="2260"/>
      <c r="AP635" s="2260"/>
      <c r="AQ635" s="2260"/>
      <c r="AR635" s="2260"/>
      <c r="AS635" s="2260"/>
      <c r="AT635" s="1822"/>
      <c r="AU635" s="1822"/>
      <c r="AV635" s="1822"/>
      <c r="AW635" s="1822"/>
      <c r="AX635" s="1822"/>
      <c r="AY635" s="1822"/>
      <c r="AZ635" s="181"/>
      <c r="BA635" s="181"/>
      <c r="BB635" s="181"/>
      <c r="BC635" s="181"/>
      <c r="BD635" s="181"/>
      <c r="BE635" s="181"/>
      <c r="BF635" s="181"/>
      <c r="BG635" s="2019">
        <f>SUM(BG610:BH634)</f>
        <v>7</v>
      </c>
      <c r="BH635" s="2020"/>
      <c r="BI635" s="181"/>
      <c r="BJ635" s="181"/>
      <c r="BK635" s="2019">
        <f>SUM(BK610:BL634)</f>
        <v>7</v>
      </c>
      <c r="BL635" s="2020"/>
      <c r="BM635" s="181"/>
      <c r="BN635" s="2019">
        <f>SUM(BN610:BR634)</f>
        <v>0</v>
      </c>
      <c r="BO635" s="2182"/>
      <c r="BP635" s="2182"/>
      <c r="BQ635" s="2182"/>
      <c r="BR635" s="2020"/>
      <c r="BS635" s="2183">
        <f>SUM(BS610:BW634)</f>
        <v>0</v>
      </c>
      <c r="BT635" s="2183"/>
      <c r="BU635" s="2183"/>
      <c r="BV635" s="2183"/>
      <c r="BW635" s="2183"/>
      <c r="BX635" s="2183">
        <f>SUM(BX610:CB634)</f>
        <v>5</v>
      </c>
      <c r="BY635" s="2183"/>
      <c r="BZ635" s="2183"/>
      <c r="CA635" s="2183"/>
      <c r="CB635" s="2183"/>
      <c r="CC635" s="2183">
        <f>SUM(CC610:CG634)</f>
        <v>64</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0</v>
      </c>
      <c r="CY635" s="2183"/>
      <c r="CZ635" s="2183"/>
      <c r="DA635" s="2183"/>
      <c r="DB635" s="2183"/>
      <c r="DC635" s="2183">
        <f>SUM(DC610:DG634)</f>
        <v>3</v>
      </c>
      <c r="DD635" s="2183"/>
      <c r="DE635" s="2183"/>
      <c r="DF635" s="2183"/>
      <c r="DG635" s="2183"/>
      <c r="DH635" s="2183">
        <f>SUM(DH610:DL634)</f>
        <v>4</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0</v>
      </c>
      <c r="ED635" s="2183"/>
      <c r="EE635" s="2183"/>
      <c r="EF635" s="2183"/>
      <c r="EG635" s="2183"/>
      <c r="EH635" s="2183">
        <f>SUM(EH610:EL634)</f>
        <v>1978</v>
      </c>
      <c r="EI635" s="2183"/>
      <c r="EJ635" s="2183"/>
      <c r="EK635" s="2183"/>
      <c r="EL635" s="2183"/>
      <c r="EM635" s="2183">
        <f>SUM(EM610:EQ634)</f>
        <v>6085</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3.2">
      <c r="B636" s="2556"/>
      <c r="C636" s="2226"/>
      <c r="D636" s="2226"/>
      <c r="E636" s="2226"/>
      <c r="F636" s="2226"/>
      <c r="G636" s="2226"/>
      <c r="H636" s="2226"/>
      <c r="I636" s="2226"/>
      <c r="J636" s="2226"/>
      <c r="K636" s="2226"/>
      <c r="L636" s="2226"/>
      <c r="M636" s="2226"/>
      <c r="N636" s="2555"/>
      <c r="O636" s="2254"/>
      <c r="P636" s="2255"/>
      <c r="Q636" s="2256"/>
      <c r="R636" s="2254"/>
      <c r="S636" s="2255"/>
      <c r="T636" s="2256"/>
      <c r="U636" s="2561"/>
      <c r="V636" s="2561"/>
      <c r="W636" s="2562"/>
      <c r="X636" s="2254"/>
      <c r="Y636" s="2255"/>
      <c r="Z636" s="2255"/>
      <c r="AA636" s="2255"/>
      <c r="AB636" s="2256"/>
      <c r="AC636" s="2424"/>
      <c r="AD636" s="2425"/>
      <c r="AE636" s="2426"/>
      <c r="AF636" s="2254"/>
      <c r="AG636" s="2255"/>
      <c r="AH636" s="2255"/>
      <c r="AI636" s="2255"/>
      <c r="AJ636" s="2256"/>
      <c r="AK636" s="2413"/>
      <c r="AL636" s="2414"/>
      <c r="AM636" s="2414"/>
      <c r="AN636" s="2415"/>
      <c r="AO636" s="2260"/>
      <c r="AP636" s="2260"/>
      <c r="AQ636" s="2260"/>
      <c r="AR636" s="2260"/>
      <c r="AS636" s="226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9">
        <f>BN635+BS635+BX635+CC635+CH635+CM635</f>
        <v>69</v>
      </c>
      <c r="CN636" s="2182"/>
      <c r="CO636" s="2182"/>
      <c r="CP636" s="2182"/>
      <c r="CQ636" s="2020"/>
      <c r="CR636" s="697"/>
      <c r="CS636" s="181"/>
      <c r="CT636" s="181"/>
      <c r="CU636" s="181"/>
      <c r="CV636" s="181"/>
      <c r="CW636" s="181"/>
      <c r="CX636" s="181"/>
      <c r="CY636" s="181"/>
      <c r="CZ636" s="181"/>
      <c r="DA636" s="181"/>
      <c r="DB636" s="181"/>
      <c r="DC636" s="181"/>
      <c r="DD636" s="181"/>
      <c r="DE636" s="181"/>
      <c r="DF636" s="181"/>
    </row>
    <row r="637" spans="1:157" ht="13.2">
      <c r="B637" s="83" t="s">
        <v>117</v>
      </c>
      <c r="C637" s="2175" t="s">
        <v>2596</v>
      </c>
      <c r="D637" s="2030"/>
      <c r="E637" s="2030"/>
      <c r="F637" s="2030"/>
      <c r="G637" s="2030"/>
      <c r="H637" s="2030"/>
      <c r="I637" s="2030"/>
      <c r="J637" s="2030"/>
      <c r="K637" s="2030"/>
      <c r="L637" s="2030"/>
      <c r="M637" s="2030"/>
      <c r="N637" s="2417"/>
      <c r="O637" s="2372">
        <f>15*12</f>
        <v>180</v>
      </c>
      <c r="P637" s="2373"/>
      <c r="Q637" s="2374"/>
      <c r="R637" s="2154">
        <f>40*12</f>
        <v>480</v>
      </c>
      <c r="S637" s="2155"/>
      <c r="T637" s="2156"/>
      <c r="U637" s="2390">
        <v>0.05</v>
      </c>
      <c r="V637" s="2391"/>
      <c r="W637" s="2392"/>
      <c r="X637" s="2307" t="s">
        <v>2151</v>
      </c>
      <c r="Y637" s="2552"/>
      <c r="Z637" s="2552"/>
      <c r="AA637" s="2552"/>
      <c r="AB637" s="2553"/>
      <c r="AC637" s="2132">
        <v>1</v>
      </c>
      <c r="AD637" s="2133"/>
      <c r="AE637" s="2134"/>
      <c r="AF637" s="2257">
        <f>+PMT(U637/12,R637,-AO637)*12</f>
        <v>802909.21739130397</v>
      </c>
      <c r="AG637" s="2258"/>
      <c r="AH637" s="2258"/>
      <c r="AI637" s="2258"/>
      <c r="AJ637" s="2259"/>
      <c r="AK637" s="2369"/>
      <c r="AL637" s="2370"/>
      <c r="AM637" s="2370"/>
      <c r="AN637" s="2371"/>
      <c r="AO637" s="2135">
        <v>13875896.546938701</v>
      </c>
      <c r="AP637" s="2135"/>
      <c r="AQ637" s="2135"/>
      <c r="AR637" s="2135"/>
      <c r="AS637" s="213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10</v>
      </c>
      <c r="CC637" s="58"/>
      <c r="CD637" s="58"/>
      <c r="CE637" s="58"/>
      <c r="CF637" s="58"/>
      <c r="CG637" s="1470">
        <f>CC635*3</f>
        <v>192</v>
      </c>
      <c r="CH637" s="58"/>
      <c r="CI637" s="58"/>
      <c r="CJ637" s="58"/>
      <c r="CK637" s="58"/>
      <c r="CL637" s="1470">
        <f>CH635*4</f>
        <v>0</v>
      </c>
      <c r="CM637" s="58"/>
      <c r="CN637" s="58"/>
      <c r="CO637" s="58"/>
      <c r="CP637" s="58"/>
      <c r="CQ637" s="1470">
        <f>CM635*5</f>
        <v>0</v>
      </c>
      <c r="CS637" s="1470">
        <f>BR637+BW637+CB637+CG637+CL637+CQ637</f>
        <v>202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5" t="s">
        <v>2126</v>
      </c>
      <c r="D638" s="2030"/>
      <c r="E638" s="2030"/>
      <c r="F638" s="2030"/>
      <c r="G638" s="2030"/>
      <c r="H638" s="2030"/>
      <c r="I638" s="2030"/>
      <c r="J638" s="2030"/>
      <c r="K638" s="2030"/>
      <c r="L638" s="2030"/>
      <c r="M638" s="2030"/>
      <c r="N638" s="2417"/>
      <c r="O638" s="2372"/>
      <c r="P638" s="2373"/>
      <c r="Q638" s="2374"/>
      <c r="R638" s="2154"/>
      <c r="S638" s="2155"/>
      <c r="T638" s="2156"/>
      <c r="U638" s="2390"/>
      <c r="V638" s="2391"/>
      <c r="W638" s="2392"/>
      <c r="X638" s="2307" t="s">
        <v>490</v>
      </c>
      <c r="Y638" s="2552"/>
      <c r="Z638" s="2552"/>
      <c r="AA638" s="2552"/>
      <c r="AB638" s="2553"/>
      <c r="AC638" s="2132"/>
      <c r="AD638" s="2133"/>
      <c r="AE638" s="2134"/>
      <c r="AF638" s="2257"/>
      <c r="AG638" s="2258"/>
      <c r="AH638" s="2258"/>
      <c r="AI638" s="2258"/>
      <c r="AJ638" s="2259"/>
      <c r="AK638" s="2369"/>
      <c r="AL638" s="2370"/>
      <c r="AM638" s="2370"/>
      <c r="AN638" s="2371"/>
      <c r="AO638" s="2135">
        <v>1700000</v>
      </c>
      <c r="AP638" s="2135"/>
      <c r="AQ638" s="2135"/>
      <c r="AR638" s="2135"/>
      <c r="AS638" s="213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t="e">
        <f t="shared" ref="DX638:DX662" si="22">DX610*(BN610/$BN$635)</f>
        <v>#VALUE!</v>
      </c>
      <c r="DY638" s="2551"/>
      <c r="DZ638" s="2551"/>
      <c r="EA638" s="2551"/>
      <c r="EB638" s="2551"/>
      <c r="EC638" s="2551" t="e">
        <f t="shared" ref="EC638:EC662" si="23">EC610*(BS610/$BS$635)</f>
        <v>#VALUE!</v>
      </c>
      <c r="ED638" s="2551"/>
      <c r="EE638" s="2551"/>
      <c r="EF638" s="2551"/>
      <c r="EG638" s="2551"/>
      <c r="EH638" s="2551">
        <f t="shared" ref="EH638:EH662" si="24">EH610*(BX610/$BX$635)</f>
        <v>433.8</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75" customHeight="1">
      <c r="B639" s="84" t="s">
        <v>124</v>
      </c>
      <c r="C639" s="2030"/>
      <c r="D639" s="2030"/>
      <c r="E639" s="2030"/>
      <c r="F639" s="2030"/>
      <c r="G639" s="2030"/>
      <c r="H639" s="2030"/>
      <c r="I639" s="2030"/>
      <c r="J639" s="2030"/>
      <c r="K639" s="2030"/>
      <c r="L639" s="2030"/>
      <c r="M639" s="2030"/>
      <c r="N639" s="2417"/>
      <c r="O639" s="2372"/>
      <c r="P639" s="2373"/>
      <c r="Q639" s="2374"/>
      <c r="R639" s="2154"/>
      <c r="S639" s="2155"/>
      <c r="T639" s="2156"/>
      <c r="U639" s="2390"/>
      <c r="V639" s="2391"/>
      <c r="W639" s="2392"/>
      <c r="X639" s="2307" t="s">
        <v>1383</v>
      </c>
      <c r="Y639" s="2552"/>
      <c r="Z639" s="2552"/>
      <c r="AA639" s="2552"/>
      <c r="AB639" s="2553"/>
      <c r="AC639" s="2132"/>
      <c r="AD639" s="2133"/>
      <c r="AE639" s="2134"/>
      <c r="AF639" s="2257"/>
      <c r="AG639" s="2258"/>
      <c r="AH639" s="2258"/>
      <c r="AI639" s="2258"/>
      <c r="AJ639" s="2259"/>
      <c r="AK639" s="2369"/>
      <c r="AL639" s="2370"/>
      <c r="AM639" s="2370"/>
      <c r="AN639" s="2371"/>
      <c r="AO639" s="2135"/>
      <c r="AP639" s="2135"/>
      <c r="AQ639" s="2135"/>
      <c r="AR639" s="2135"/>
      <c r="AS639" s="213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t="e">
        <f t="shared" si="23"/>
        <v>#VALUE!</v>
      </c>
      <c r="ED639" s="2551"/>
      <c r="EE639" s="2551"/>
      <c r="EF639" s="2551"/>
      <c r="EG639" s="2551"/>
      <c r="EH639" s="2551">
        <f t="shared" si="24"/>
        <v>502</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3.2">
      <c r="B640" s="84" t="s">
        <v>615</v>
      </c>
      <c r="C640" s="2030"/>
      <c r="D640" s="2030"/>
      <c r="E640" s="2030"/>
      <c r="F640" s="2030"/>
      <c r="G640" s="2030"/>
      <c r="H640" s="2030"/>
      <c r="I640" s="2030"/>
      <c r="J640" s="2030"/>
      <c r="K640" s="2030"/>
      <c r="L640" s="2030"/>
      <c r="M640" s="2030"/>
      <c r="N640" s="2417"/>
      <c r="O640" s="2372"/>
      <c r="P640" s="2373"/>
      <c r="Q640" s="2374"/>
      <c r="R640" s="2154"/>
      <c r="S640" s="2155"/>
      <c r="T640" s="2156"/>
      <c r="U640" s="2390"/>
      <c r="V640" s="2391"/>
      <c r="W640" s="2392"/>
      <c r="X640" s="2307" t="s">
        <v>1383</v>
      </c>
      <c r="Y640" s="2552"/>
      <c r="Z640" s="2552"/>
      <c r="AA640" s="2552"/>
      <c r="AB640" s="2553"/>
      <c r="AC640" s="2132"/>
      <c r="AD640" s="2133"/>
      <c r="AE640" s="2134"/>
      <c r="AF640" s="2257"/>
      <c r="AG640" s="2258"/>
      <c r="AH640" s="2258"/>
      <c r="AI640" s="2258"/>
      <c r="AJ640" s="2259"/>
      <c r="AK640" s="2369"/>
      <c r="AL640" s="2370"/>
      <c r="AM640" s="2370"/>
      <c r="AN640" s="2371"/>
      <c r="AO640" s="2135"/>
      <c r="AP640" s="2135"/>
      <c r="AQ640" s="2135"/>
      <c r="AR640" s="2135"/>
      <c r="AS640" s="2135"/>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51" t="e">
        <f t="shared" si="22"/>
        <v>#VALUE!</v>
      </c>
      <c r="DY640" s="2551"/>
      <c r="DZ640" s="2551"/>
      <c r="EA640" s="2551"/>
      <c r="EB640" s="2551"/>
      <c r="EC640" s="2551" t="e">
        <f t="shared" si="23"/>
        <v>#VALUE!</v>
      </c>
      <c r="ED640" s="2551"/>
      <c r="EE640" s="2551"/>
      <c r="EF640" s="2551"/>
      <c r="EG640" s="2551"/>
      <c r="EH640" s="2551" t="e">
        <f t="shared" si="24"/>
        <v>#VALUE!</v>
      </c>
      <c r="EI640" s="2551"/>
      <c r="EJ640" s="2551"/>
      <c r="EK640" s="2551"/>
      <c r="EL640" s="2551"/>
      <c r="EM640" s="2551">
        <f t="shared" si="25"/>
        <v>51.875</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3.2">
      <c r="B641" s="84" t="s">
        <v>820</v>
      </c>
      <c r="C641" s="2030"/>
      <c r="D641" s="2030"/>
      <c r="E641" s="2030"/>
      <c r="F641" s="2030"/>
      <c r="G641" s="2030"/>
      <c r="H641" s="2030"/>
      <c r="I641" s="2030"/>
      <c r="J641" s="2030"/>
      <c r="K641" s="2030"/>
      <c r="L641" s="2030"/>
      <c r="M641" s="2030"/>
      <c r="N641" s="2417"/>
      <c r="O641" s="2372"/>
      <c r="P641" s="2373"/>
      <c r="Q641" s="2374"/>
      <c r="R641" s="2154"/>
      <c r="S641" s="2155"/>
      <c r="T641" s="2156"/>
      <c r="U641" s="2390"/>
      <c r="V641" s="2391"/>
      <c r="W641" s="2392"/>
      <c r="X641" s="2307" t="s">
        <v>1383</v>
      </c>
      <c r="Y641" s="2552"/>
      <c r="Z641" s="2552"/>
      <c r="AA641" s="2552"/>
      <c r="AB641" s="2553"/>
      <c r="AC641" s="2132"/>
      <c r="AD641" s="2133"/>
      <c r="AE641" s="2134"/>
      <c r="AF641" s="2257"/>
      <c r="AG641" s="2258"/>
      <c r="AH641" s="2258"/>
      <c r="AI641" s="2258"/>
      <c r="AJ641" s="2259"/>
      <c r="AK641" s="2369"/>
      <c r="AL641" s="2370"/>
      <c r="AM641" s="2370"/>
      <c r="AN641" s="2371"/>
      <c r="AO641" s="2135"/>
      <c r="AP641" s="2135"/>
      <c r="AQ641" s="2135"/>
      <c r="AR641" s="2135"/>
      <c r="AS641" s="213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51" t="e">
        <f t="shared" si="22"/>
        <v>#VALUE!</v>
      </c>
      <c r="DY641" s="2551"/>
      <c r="DZ641" s="2551"/>
      <c r="EA641" s="2551"/>
      <c r="EB641" s="2551"/>
      <c r="EC641" s="2551" t="e">
        <f t="shared" si="23"/>
        <v>#VALUE!</v>
      </c>
      <c r="ED641" s="2551"/>
      <c r="EE641" s="2551"/>
      <c r="EF641" s="2551"/>
      <c r="EG641" s="2551"/>
      <c r="EH641" s="2551" t="e">
        <f t="shared" si="24"/>
        <v>#VALUE!</v>
      </c>
      <c r="EI641" s="2551"/>
      <c r="EJ641" s="2551"/>
      <c r="EK641" s="2551"/>
      <c r="EL641" s="2551"/>
      <c r="EM641" s="2551">
        <f t="shared" si="25"/>
        <v>112.8125</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3.2">
      <c r="B642" s="84" t="s">
        <v>618</v>
      </c>
      <c r="C642" s="2030"/>
      <c r="D642" s="2030"/>
      <c r="E642" s="2030"/>
      <c r="F642" s="2030"/>
      <c r="G642" s="2030"/>
      <c r="H642" s="2030"/>
      <c r="I642" s="2030"/>
      <c r="J642" s="2030"/>
      <c r="K642" s="2030"/>
      <c r="L642" s="2030"/>
      <c r="M642" s="2030"/>
      <c r="N642" s="2417"/>
      <c r="O642" s="2372"/>
      <c r="P642" s="2373"/>
      <c r="Q642" s="2374"/>
      <c r="R642" s="2154"/>
      <c r="S642" s="2155"/>
      <c r="T642" s="2156"/>
      <c r="U642" s="2390"/>
      <c r="V642" s="2391"/>
      <c r="W642" s="2392"/>
      <c r="X642" s="2307" t="s">
        <v>1383</v>
      </c>
      <c r="Y642" s="2552"/>
      <c r="Z642" s="2552"/>
      <c r="AA642" s="2552"/>
      <c r="AB642" s="2553"/>
      <c r="AC642" s="2132"/>
      <c r="AD642" s="2133"/>
      <c r="AE642" s="2134"/>
      <c r="AF642" s="2257"/>
      <c r="AG642" s="2258"/>
      <c r="AH642" s="2258"/>
      <c r="AI642" s="2258"/>
      <c r="AJ642" s="2259"/>
      <c r="AK642" s="2369"/>
      <c r="AL642" s="2370"/>
      <c r="AM642" s="2370"/>
      <c r="AN642" s="2371"/>
      <c r="AO642" s="2135"/>
      <c r="AP642" s="2135"/>
      <c r="AQ642" s="2135"/>
      <c r="AR642" s="2135"/>
      <c r="AS642" s="21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51" t="e">
        <f t="shared" si="22"/>
        <v>#VALUE!</v>
      </c>
      <c r="DY642" s="2551"/>
      <c r="DZ642" s="2551"/>
      <c r="EA642" s="2551"/>
      <c r="EB642" s="2551"/>
      <c r="EC642" s="2551" t="e">
        <f t="shared" si="23"/>
        <v>#VALUE!</v>
      </c>
      <c r="ED642" s="2551"/>
      <c r="EE642" s="2551"/>
      <c r="EF642" s="2551"/>
      <c r="EG642" s="2551"/>
      <c r="EH642" s="2551" t="e">
        <f t="shared" si="24"/>
        <v>#VALUE!</v>
      </c>
      <c r="EI642" s="2551"/>
      <c r="EJ642" s="2551"/>
      <c r="EK642" s="2551"/>
      <c r="EL642" s="2551"/>
      <c r="EM642" s="2551">
        <f t="shared" si="25"/>
        <v>821.25</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3.2">
      <c r="B643" s="84" t="s">
        <v>486</v>
      </c>
      <c r="C643" s="2030"/>
      <c r="D643" s="2030"/>
      <c r="E643" s="2030"/>
      <c r="F643" s="2030"/>
      <c r="G643" s="2030"/>
      <c r="H643" s="2030"/>
      <c r="I643" s="2030"/>
      <c r="J643" s="2030"/>
      <c r="K643" s="2030"/>
      <c r="L643" s="2030"/>
      <c r="M643" s="2030"/>
      <c r="N643" s="2417"/>
      <c r="O643" s="2372"/>
      <c r="P643" s="2373"/>
      <c r="Q643" s="2374"/>
      <c r="R643" s="2154"/>
      <c r="S643" s="2155"/>
      <c r="T643" s="2156"/>
      <c r="U643" s="2390"/>
      <c r="V643" s="2391"/>
      <c r="W643" s="2392"/>
      <c r="X643" s="2307" t="s">
        <v>1383</v>
      </c>
      <c r="Y643" s="2552"/>
      <c r="Z643" s="2552"/>
      <c r="AA643" s="2552"/>
      <c r="AB643" s="2553"/>
      <c r="AC643" s="2132"/>
      <c r="AD643" s="2133"/>
      <c r="AE643" s="2134"/>
      <c r="AF643" s="2257"/>
      <c r="AG643" s="2258"/>
      <c r="AH643" s="2258"/>
      <c r="AI643" s="2258"/>
      <c r="AJ643" s="2259"/>
      <c r="AK643" s="2369"/>
      <c r="AL643" s="2370"/>
      <c r="AM643" s="2370"/>
      <c r="AN643" s="2371"/>
      <c r="AO643" s="2135"/>
      <c r="AP643" s="2135"/>
      <c r="AQ643" s="2135"/>
      <c r="AR643" s="2135"/>
      <c r="AS643" s="21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51" t="e">
        <f t="shared" si="22"/>
        <v>#VALUE!</v>
      </c>
      <c r="DY643" s="2551"/>
      <c r="DZ643" s="2551"/>
      <c r="EA643" s="2551"/>
      <c r="EB643" s="2551"/>
      <c r="EC643" s="2551" t="e">
        <f t="shared" si="23"/>
        <v>#VALUE!</v>
      </c>
      <c r="ED643" s="2551"/>
      <c r="EE643" s="2551"/>
      <c r="EF643" s="2551"/>
      <c r="EG643" s="2551"/>
      <c r="EH643" s="2551" t="e">
        <f t="shared" si="24"/>
        <v>#VALUE!</v>
      </c>
      <c r="EI643" s="2551"/>
      <c r="EJ643" s="2551"/>
      <c r="EK643" s="2551"/>
      <c r="EL643" s="2551"/>
      <c r="EM643" s="2551">
        <f t="shared" si="25"/>
        <v>804.296875</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3.2">
      <c r="B644" s="84" t="s">
        <v>487</v>
      </c>
      <c r="C644" s="2030"/>
      <c r="D644" s="2030"/>
      <c r="E644" s="2030"/>
      <c r="F644" s="2030"/>
      <c r="G644" s="2030"/>
      <c r="H644" s="2030"/>
      <c r="I644" s="2030"/>
      <c r="J644" s="2030"/>
      <c r="K644" s="2030"/>
      <c r="L644" s="2030"/>
      <c r="M644" s="2030"/>
      <c r="N644" s="2417"/>
      <c r="O644" s="2372"/>
      <c r="P644" s="2373"/>
      <c r="Q644" s="2374"/>
      <c r="R644" s="2154"/>
      <c r="S644" s="2155"/>
      <c r="T644" s="2156"/>
      <c r="U644" s="2390"/>
      <c r="V644" s="2391"/>
      <c r="W644" s="2392"/>
      <c r="X644" s="2307" t="s">
        <v>1383</v>
      </c>
      <c r="Y644" s="2552"/>
      <c r="Z644" s="2552"/>
      <c r="AA644" s="2552"/>
      <c r="AB644" s="2553"/>
      <c r="AC644" s="2132"/>
      <c r="AD644" s="2133"/>
      <c r="AE644" s="2134"/>
      <c r="AF644" s="2257"/>
      <c r="AG644" s="2258"/>
      <c r="AH644" s="2258"/>
      <c r="AI644" s="2258"/>
      <c r="AJ644" s="2259"/>
      <c r="AK644" s="2369"/>
      <c r="AL644" s="2370"/>
      <c r="AM644" s="2370"/>
      <c r="AN644" s="2371"/>
      <c r="AO644" s="2135"/>
      <c r="AP644" s="2135"/>
      <c r="AQ644" s="2135"/>
      <c r="AR644" s="2135"/>
      <c r="AS644" s="21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1</v>
      </c>
      <c r="CT644" s="134" t="s">
        <v>2387</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t="e">
        <f t="shared" si="24"/>
        <v>#VALUE!</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3.2">
      <c r="B645" s="84" t="s">
        <v>493</v>
      </c>
      <c r="C645" s="2030"/>
      <c r="D645" s="2030"/>
      <c r="E645" s="2030"/>
      <c r="F645" s="2030"/>
      <c r="G645" s="2030"/>
      <c r="H645" s="2030"/>
      <c r="I645" s="2030"/>
      <c r="J645" s="2030"/>
      <c r="K645" s="2030"/>
      <c r="L645" s="2030"/>
      <c r="M645" s="2030"/>
      <c r="N645" s="2417"/>
      <c r="O645" s="2372"/>
      <c r="P645" s="2373"/>
      <c r="Q645" s="2374"/>
      <c r="R645" s="2154"/>
      <c r="S645" s="2155"/>
      <c r="T645" s="2156"/>
      <c r="U645" s="2390"/>
      <c r="V645" s="2391"/>
      <c r="W645" s="2392"/>
      <c r="X645" s="2307" t="s">
        <v>1383</v>
      </c>
      <c r="Y645" s="2552"/>
      <c r="Z645" s="2552"/>
      <c r="AA645" s="2552"/>
      <c r="AB645" s="2553"/>
      <c r="AC645" s="2132"/>
      <c r="AD645" s="2133"/>
      <c r="AE645" s="2134"/>
      <c r="AF645" s="2257"/>
      <c r="AG645" s="2258"/>
      <c r="AH645" s="2258"/>
      <c r="AI645" s="2258"/>
      <c r="AJ645" s="2259"/>
      <c r="AK645" s="2369"/>
      <c r="AL645" s="2370"/>
      <c r="AM645" s="2370"/>
      <c r="AN645" s="2371"/>
      <c r="AO645" s="2135"/>
      <c r="AP645" s="2135"/>
      <c r="AQ645" s="2135"/>
      <c r="AR645" s="2135"/>
      <c r="AS645" s="21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t="e">
        <f t="shared" si="24"/>
        <v>#VALUE!</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3.2">
      <c r="B646" s="84" t="s">
        <v>680</v>
      </c>
      <c r="C646" s="2030"/>
      <c r="D646" s="2030"/>
      <c r="E646" s="2030"/>
      <c r="F646" s="2030"/>
      <c r="G646" s="2030"/>
      <c r="H646" s="2030"/>
      <c r="I646" s="2030"/>
      <c r="J646" s="2030"/>
      <c r="K646" s="2030"/>
      <c r="L646" s="2030"/>
      <c r="M646" s="2030"/>
      <c r="N646" s="2417"/>
      <c r="O646" s="2372"/>
      <c r="P646" s="2373"/>
      <c r="Q646" s="2374"/>
      <c r="R646" s="2154"/>
      <c r="S646" s="2155"/>
      <c r="T646" s="2156"/>
      <c r="U646" s="2390"/>
      <c r="V646" s="2391"/>
      <c r="W646" s="2392"/>
      <c r="X646" s="2307" t="s">
        <v>1383</v>
      </c>
      <c r="Y646" s="2552"/>
      <c r="Z646" s="2552"/>
      <c r="AA646" s="2552"/>
      <c r="AB646" s="2553"/>
      <c r="AC646" s="2132"/>
      <c r="AD646" s="2133"/>
      <c r="AE646" s="2134"/>
      <c r="AF646" s="2257"/>
      <c r="AG646" s="2258"/>
      <c r="AH646" s="2258"/>
      <c r="AI646" s="2258"/>
      <c r="AJ646" s="2259"/>
      <c r="AK646" s="2369"/>
      <c r="AL646" s="2370"/>
      <c r="AM646" s="2370"/>
      <c r="AN646" s="2371"/>
      <c r="AO646" s="2135"/>
      <c r="AP646" s="2135"/>
      <c r="AQ646" s="2135"/>
      <c r="AR646" s="2135"/>
      <c r="AS646" s="21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t="e">
        <f t="shared" si="25"/>
        <v>#VALUE!</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3.2">
      <c r="B647" s="84" t="s">
        <v>372</v>
      </c>
      <c r="C647" s="2030"/>
      <c r="D647" s="2030"/>
      <c r="E647" s="2030"/>
      <c r="F647" s="2030"/>
      <c r="G647" s="2030"/>
      <c r="H647" s="2030"/>
      <c r="I647" s="2030"/>
      <c r="J647" s="2030"/>
      <c r="K647" s="2030"/>
      <c r="L647" s="2030"/>
      <c r="M647" s="2030"/>
      <c r="N647" s="2417"/>
      <c r="O647" s="2372"/>
      <c r="P647" s="2373"/>
      <c r="Q647" s="2374"/>
      <c r="R647" s="2154"/>
      <c r="S647" s="2155"/>
      <c r="T647" s="2156"/>
      <c r="U647" s="2390"/>
      <c r="V647" s="2391"/>
      <c r="W647" s="2392"/>
      <c r="X647" s="2307" t="s">
        <v>1383</v>
      </c>
      <c r="Y647" s="2552"/>
      <c r="Z647" s="2552"/>
      <c r="AA647" s="2552"/>
      <c r="AB647" s="2553"/>
      <c r="AC647" s="2132"/>
      <c r="AD647" s="2133"/>
      <c r="AE647" s="2134"/>
      <c r="AF647" s="2257"/>
      <c r="AG647" s="2258"/>
      <c r="AH647" s="2258"/>
      <c r="AI647" s="2258"/>
      <c r="AJ647" s="2259"/>
      <c r="AK647" s="2369"/>
      <c r="AL647" s="2370"/>
      <c r="AM647" s="2370"/>
      <c r="AN647" s="2371"/>
      <c r="AO647" s="2135"/>
      <c r="AP647" s="2135"/>
      <c r="AQ647" s="2135"/>
      <c r="AR647" s="2135"/>
      <c r="AS647" s="21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t="e">
        <f t="shared" si="25"/>
        <v>#VALUE!</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3.2">
      <c r="B648" s="84" t="s">
        <v>373</v>
      </c>
      <c r="C648" s="2030"/>
      <c r="D648" s="2030"/>
      <c r="E648" s="2030"/>
      <c r="F648" s="2030"/>
      <c r="G648" s="2030"/>
      <c r="H648" s="2030"/>
      <c r="I648" s="2030"/>
      <c r="J648" s="2030"/>
      <c r="K648" s="2030"/>
      <c r="L648" s="2030"/>
      <c r="M648" s="2030"/>
      <c r="N648" s="2417"/>
      <c r="O648" s="2372"/>
      <c r="P648" s="2373"/>
      <c r="Q648" s="2374"/>
      <c r="R648" s="2154"/>
      <c r="S648" s="2155"/>
      <c r="T648" s="2156"/>
      <c r="U648" s="2390"/>
      <c r="V648" s="2391"/>
      <c r="W648" s="2392"/>
      <c r="X648" s="2307" t="s">
        <v>1383</v>
      </c>
      <c r="Y648" s="2552"/>
      <c r="Z648" s="2552"/>
      <c r="AA648" s="2552"/>
      <c r="AB648" s="2553"/>
      <c r="AC648" s="2132"/>
      <c r="AD648" s="2133"/>
      <c r="AE648" s="2134"/>
      <c r="AF648" s="2257"/>
      <c r="AG648" s="2258"/>
      <c r="AH648" s="2258"/>
      <c r="AI648" s="2258"/>
      <c r="AJ648" s="2259"/>
      <c r="AK648" s="2369"/>
      <c r="AL648" s="2370"/>
      <c r="AM648" s="2370"/>
      <c r="AN648" s="2371"/>
      <c r="AO648" s="2135"/>
      <c r="AP648" s="2135"/>
      <c r="AQ648" s="2135"/>
      <c r="AR648" s="2135"/>
      <c r="AS648" s="21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t="e">
        <f t="shared" si="25"/>
        <v>#VALUE!</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3.2">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7">
        <f>SUM(AO637:AR648)</f>
        <v>15575896.546938701</v>
      </c>
      <c r="AP649" s="2138"/>
      <c r="AQ649" s="2138"/>
      <c r="AR649" s="2138"/>
      <c r="AS649" s="2139"/>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t="e">
        <f t="shared" si="25"/>
        <v>#VALUE!</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032">
        <v>12732175.1726695</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75" customHeight="1">
      <c r="B651" s="2248"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49"/>
      <c r="AO651" s="2137">
        <f>AO649+AO650</f>
        <v>28308071.719608203</v>
      </c>
      <c r="AP651" s="2138"/>
      <c r="AQ651" s="2138"/>
      <c r="AR651" s="2138"/>
      <c r="AS651" s="2139"/>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3.2">
      <c r="A653" s="87" t="s">
        <v>117</v>
      </c>
      <c r="B653" s="12" t="s">
        <v>495</v>
      </c>
      <c r="G653" s="2040" t="str">
        <f>C637</f>
        <v>Citibank - Perm Loan</v>
      </c>
      <c r="H653" s="2040"/>
      <c r="I653" s="2040"/>
      <c r="J653" s="2040"/>
      <c r="K653" s="2040"/>
      <c r="L653" s="2040"/>
      <c r="M653" s="2040"/>
      <c r="N653" s="2040"/>
      <c r="O653" s="2040"/>
      <c r="P653" s="2040"/>
      <c r="Q653" s="2040"/>
      <c r="R653" s="2040"/>
      <c r="S653" s="14"/>
      <c r="T653" s="87" t="s">
        <v>118</v>
      </c>
      <c r="U653" s="12" t="s">
        <v>495</v>
      </c>
      <c r="Z653" s="2040" t="str">
        <f>C638</f>
        <v>Deferred Developer Fee</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3.2">
      <c r="A654" s="35"/>
      <c r="B654" s="12" t="s">
        <v>90</v>
      </c>
      <c r="G654" s="2039" t="s">
        <v>2588</v>
      </c>
      <c r="H654" s="2039"/>
      <c r="I654" s="2039"/>
      <c r="J654" s="2039"/>
      <c r="K654" s="2039"/>
      <c r="L654" s="2039"/>
      <c r="M654" s="2039"/>
      <c r="N654" s="2039"/>
      <c r="O654" s="2039"/>
      <c r="P654" s="2039"/>
      <c r="Q654" s="2039"/>
      <c r="R654" s="2039"/>
      <c r="S654" s="14"/>
      <c r="T654" s="35"/>
      <c r="U654" s="12" t="s">
        <v>90</v>
      </c>
      <c r="Z654" s="2039" t="s">
        <v>2536</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3.2">
      <c r="A655" s="35"/>
      <c r="B655" s="12" t="s">
        <v>614</v>
      </c>
      <c r="G655" s="2039" t="s">
        <v>2589</v>
      </c>
      <c r="H655" s="2039"/>
      <c r="I655" s="2039"/>
      <c r="J655" s="2039"/>
      <c r="K655" s="2039"/>
      <c r="L655" s="2039"/>
      <c r="M655" s="2039"/>
      <c r="N655" s="2039"/>
      <c r="O655" s="2039"/>
      <c r="P655" s="2039"/>
      <c r="Q655" s="2039"/>
      <c r="R655" s="2039"/>
      <c r="S655" s="88"/>
      <c r="T655" s="35"/>
      <c r="U655" s="12" t="s">
        <v>614</v>
      </c>
      <c r="Z655" s="2042" t="s">
        <v>2525</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3.2">
      <c r="A656" s="35"/>
      <c r="B656" s="12" t="s">
        <v>17</v>
      </c>
      <c r="G656" s="2039" t="s">
        <v>2590</v>
      </c>
      <c r="H656" s="2039"/>
      <c r="I656" s="2039"/>
      <c r="J656" s="2039"/>
      <c r="K656" s="2039"/>
      <c r="L656" s="2039"/>
      <c r="M656" s="2039"/>
      <c r="N656" s="2039"/>
      <c r="O656" s="2039"/>
      <c r="P656" s="2039"/>
      <c r="Q656" s="2039"/>
      <c r="R656" s="2039"/>
      <c r="S656" s="14"/>
      <c r="T656" s="35"/>
      <c r="U656" s="12" t="s">
        <v>17</v>
      </c>
      <c r="Z656" s="2042" t="s">
        <v>2523</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3.2">
      <c r="A657" s="35"/>
      <c r="B657" s="12" t="s">
        <v>325</v>
      </c>
      <c r="G657" s="2177" t="s">
        <v>2591</v>
      </c>
      <c r="H657" s="2063"/>
      <c r="I657" s="2063"/>
      <c r="J657" s="2063"/>
      <c r="K657" s="2063"/>
      <c r="L657" s="2063"/>
      <c r="O657" s="137" t="s">
        <v>212</v>
      </c>
      <c r="P657" s="2030"/>
      <c r="Q657" s="2030"/>
      <c r="R657" s="2030"/>
      <c r="S657" s="16"/>
      <c r="T657" s="35"/>
      <c r="U657" s="12" t="s">
        <v>325</v>
      </c>
      <c r="Z657" s="2177" t="s">
        <v>2538</v>
      </c>
      <c r="AA657" s="2063"/>
      <c r="AB657" s="2063"/>
      <c r="AC657" s="2063"/>
      <c r="AD657" s="2063"/>
      <c r="AE657" s="2063"/>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3.2">
      <c r="A658" s="35"/>
      <c r="B658" s="12" t="s">
        <v>18</v>
      </c>
      <c r="H658" s="2039" t="s">
        <v>2597</v>
      </c>
      <c r="I658" s="2039"/>
      <c r="J658" s="2039"/>
      <c r="K658" s="2039"/>
      <c r="L658" s="2039"/>
      <c r="M658" s="2039"/>
      <c r="N658" s="2039"/>
      <c r="O658" s="2039"/>
      <c r="P658" s="2039"/>
      <c r="Q658" s="2039"/>
      <c r="R658" s="2039"/>
      <c r="S658" s="14"/>
      <c r="T658" s="35"/>
      <c r="U658" s="12" t="s">
        <v>18</v>
      </c>
      <c r="AA658" s="2039" t="s">
        <v>2126</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3.2">
      <c r="A659" s="35"/>
      <c r="B659" s="12" t="s">
        <v>20</v>
      </c>
      <c r="N659" s="2038" t="s">
        <v>577</v>
      </c>
      <c r="O659" s="2038"/>
      <c r="T659" s="35"/>
      <c r="U659" s="12" t="s">
        <v>20</v>
      </c>
      <c r="AG659" s="2038" t="s">
        <v>577</v>
      </c>
      <c r="AH659" s="203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3.2">
      <c r="A661" s="87" t="s">
        <v>124</v>
      </c>
      <c r="B661" s="12" t="s">
        <v>495</v>
      </c>
      <c r="G661" s="2040">
        <f>C639</f>
        <v>0</v>
      </c>
      <c r="H661" s="2040"/>
      <c r="I661" s="2040"/>
      <c r="J661" s="2040"/>
      <c r="K661" s="2040"/>
      <c r="L661" s="2040"/>
      <c r="M661" s="2040"/>
      <c r="N661" s="2040"/>
      <c r="O661" s="2040"/>
      <c r="P661" s="2040"/>
      <c r="Q661" s="2040"/>
      <c r="R661" s="2040"/>
      <c r="T661" s="87" t="s">
        <v>615</v>
      </c>
      <c r="U661" s="12" t="s">
        <v>495</v>
      </c>
      <c r="Z661" s="2040">
        <f>C640</f>
        <v>0</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3.2">
      <c r="A662" s="35"/>
      <c r="B662" s="12" t="s">
        <v>90</v>
      </c>
      <c r="G662" s="2039"/>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3.2">
      <c r="A663" s="35"/>
      <c r="B663" s="12" t="s">
        <v>614</v>
      </c>
      <c r="G663" s="2042"/>
      <c r="H663" s="2042"/>
      <c r="I663" s="2042"/>
      <c r="J663" s="2042"/>
      <c r="K663" s="2042"/>
      <c r="L663" s="2042"/>
      <c r="M663" s="2042"/>
      <c r="N663" s="2042"/>
      <c r="O663" s="2042"/>
      <c r="P663" s="2042"/>
      <c r="Q663" s="2042"/>
      <c r="R663" s="2042"/>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0</v>
      </c>
      <c r="BT663" s="2010"/>
      <c r="BU663" s="2010"/>
      <c r="BV663" s="2010"/>
      <c r="BW663" s="2011"/>
      <c r="BX663" s="2009">
        <f>BX635+BX644+BX658</f>
        <v>6</v>
      </c>
      <c r="BY663" s="2010"/>
      <c r="BZ663" s="2010"/>
      <c r="CA663" s="2010"/>
      <c r="CB663" s="2011"/>
      <c r="CC663" s="2009">
        <f>CC635+CC644+CC658</f>
        <v>64</v>
      </c>
      <c r="CD663" s="2010"/>
      <c r="CE663" s="2010"/>
      <c r="CF663" s="2010"/>
      <c r="CG663" s="2011"/>
      <c r="CH663" s="2009">
        <f>CH635+CH644+CH658</f>
        <v>0</v>
      </c>
      <c r="CI663" s="2010"/>
      <c r="CJ663" s="2010"/>
      <c r="CK663" s="2010"/>
      <c r="CL663" s="2011"/>
      <c r="CM663" s="2019">
        <f>CM658+CM644+CM635</f>
        <v>0</v>
      </c>
      <c r="CN663" s="2182"/>
      <c r="CO663" s="2182"/>
      <c r="CP663" s="2182"/>
      <c r="CQ663" s="2020"/>
      <c r="CR663" s="177"/>
      <c r="CS663" s="1470">
        <f>CS637+CS661</f>
        <v>202</v>
      </c>
      <c r="CT663" s="134" t="s">
        <v>2391</v>
      </c>
      <c r="CU663" s="58"/>
      <c r="CV663" s="58"/>
      <c r="CW663" s="58"/>
      <c r="CX663" s="58"/>
      <c r="CY663" s="58"/>
      <c r="CZ663" s="58"/>
      <c r="DA663" s="58"/>
      <c r="DB663" s="58"/>
      <c r="DC663" s="58"/>
      <c r="DD663" s="58"/>
      <c r="DE663" s="58"/>
      <c r="DF663" s="58"/>
      <c r="DX663" s="2551">
        <f>SUMIF(DX638:EB662,"&gt;0")</f>
        <v>0</v>
      </c>
      <c r="DY663" s="2551"/>
      <c r="DZ663" s="2551"/>
      <c r="EA663" s="2551"/>
      <c r="EB663" s="2551"/>
      <c r="EC663" s="2551">
        <f>SUMIF(EC638:EG662,"&gt;0")</f>
        <v>0</v>
      </c>
      <c r="ED663" s="2551"/>
      <c r="EE663" s="2551"/>
      <c r="EF663" s="2551"/>
      <c r="EG663" s="2551"/>
      <c r="EH663" s="2551">
        <f>SUMIF(EH638:EL662,"&gt;0")</f>
        <v>935.8</v>
      </c>
      <c r="EI663" s="2551"/>
      <c r="EJ663" s="2551"/>
      <c r="EK663" s="2551"/>
      <c r="EL663" s="2551"/>
      <c r="EM663" s="2551">
        <f>SUMIF(EM638:EQ662,"&gt;0")</f>
        <v>1790.234375</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3.2">
      <c r="A664" s="35"/>
      <c r="B664" s="12" t="s">
        <v>17</v>
      </c>
      <c r="G664" s="2042"/>
      <c r="H664" s="2042"/>
      <c r="I664" s="2042"/>
      <c r="J664" s="2042"/>
      <c r="K664" s="2042"/>
      <c r="L664" s="2042"/>
      <c r="M664" s="2042"/>
      <c r="N664" s="2042"/>
      <c r="O664" s="2042"/>
      <c r="P664" s="2042"/>
      <c r="Q664" s="2042"/>
      <c r="R664" s="2042"/>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3"/>
      <c r="H665" s="2063"/>
      <c r="I665" s="2063"/>
      <c r="J665" s="2063"/>
      <c r="K665" s="2063"/>
      <c r="L665" s="2063"/>
      <c r="O665" s="137" t="s">
        <v>212</v>
      </c>
      <c r="P665" s="2030"/>
      <c r="Q665" s="2030"/>
      <c r="R665" s="2030"/>
      <c r="T665" s="35"/>
      <c r="U665" s="12" t="s">
        <v>325</v>
      </c>
      <c r="Z665" s="2063"/>
      <c r="AA665" s="2063"/>
      <c r="AB665" s="2063"/>
      <c r="AC665" s="2063"/>
      <c r="AD665" s="2063"/>
      <c r="AE665" s="2063"/>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8" t="s">
        <v>705</v>
      </c>
      <c r="O667" s="2038"/>
      <c r="T667" s="35"/>
      <c r="U667" s="12" t="s">
        <v>20</v>
      </c>
      <c r="AG667" s="2038" t="s">
        <v>705</v>
      </c>
      <c r="AH667" s="203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40">
        <f>C641</f>
        <v>0</v>
      </c>
      <c r="H669" s="2040"/>
      <c r="I669" s="2040"/>
      <c r="J669" s="2040"/>
      <c r="K669" s="2040"/>
      <c r="L669" s="2040"/>
      <c r="M669" s="2040"/>
      <c r="N669" s="2040"/>
      <c r="O669" s="2040"/>
      <c r="P669" s="2040"/>
      <c r="Q669" s="2040"/>
      <c r="R669" s="2040"/>
      <c r="T669" s="87" t="s">
        <v>618</v>
      </c>
      <c r="U669" s="12" t="s">
        <v>495</v>
      </c>
      <c r="Z669" s="2040">
        <f>C642</f>
        <v>0</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0">IF($G728=0,"N/A",VLOOKUP($T$189,TC_Rent,(MATCH($B728,bedrooms,FALSE))))</f>
        <v>2660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39"/>
      <c r="H671" s="2039"/>
      <c r="I671" s="2039"/>
      <c r="J671" s="2039"/>
      <c r="K671" s="2039"/>
      <c r="L671" s="2039"/>
      <c r="M671" s="2039"/>
      <c r="N671" s="2039"/>
      <c r="O671" s="2039"/>
      <c r="P671" s="2039"/>
      <c r="Q671" s="2039"/>
      <c r="R671" s="2039"/>
      <c r="T671" s="35"/>
      <c r="U671" s="12" t="s">
        <v>614</v>
      </c>
      <c r="Z671" s="2042"/>
      <c r="AA671" s="2042"/>
      <c r="AB671" s="2042"/>
      <c r="AC671" s="2042"/>
      <c r="AD671" s="2042"/>
      <c r="AE671" s="2042"/>
      <c r="AF671" s="2042"/>
      <c r="AG671" s="2042"/>
      <c r="AH671" s="2042"/>
      <c r="AI671" s="2042"/>
      <c r="AJ671" s="2042"/>
      <c r="AK671" s="2042"/>
      <c r="AZ671" s="58"/>
      <c r="BA671" s="446">
        <f t="shared" si="40"/>
        <v>2660</v>
      </c>
      <c r="BB671" s="58"/>
      <c r="BC671" s="58"/>
      <c r="BD671" s="58"/>
      <c r="BE671" s="58"/>
      <c r="BF671" s="382"/>
      <c r="BG671" s="456">
        <f t="shared" ref="BG671:BG695" si="41">G728</f>
        <v>3</v>
      </c>
      <c r="BH671" s="460">
        <f>BG671/$BG$696</f>
        <v>4.3478260869565216E-2</v>
      </c>
      <c r="BI671" s="461">
        <f t="shared" ref="BI671:BI695" si="42">IF(BH671=0," ",BH671*AH728)</f>
        <v>1.3043478260869565E-2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f t="shared" si="40"/>
        <v>3072</v>
      </c>
      <c r="BB672" s="58"/>
      <c r="BC672" s="58"/>
      <c r="BD672" s="58"/>
      <c r="BE672" s="58"/>
      <c r="BF672" s="382"/>
      <c r="BG672" s="457">
        <f t="shared" si="41"/>
        <v>2</v>
      </c>
      <c r="BH672" s="460">
        <f t="shared" ref="BH672:BH695" si="43">BG672/$BG$696</f>
        <v>2.8985507246376812E-2</v>
      </c>
      <c r="BI672" s="461">
        <f t="shared" si="42"/>
        <v>1.4492753623188406E-2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3"/>
      <c r="H673" s="2063"/>
      <c r="I673" s="2063"/>
      <c r="J673" s="2063"/>
      <c r="K673" s="2063"/>
      <c r="L673" s="2063"/>
      <c r="O673" s="137" t="s">
        <v>212</v>
      </c>
      <c r="P673" s="2030"/>
      <c r="Q673" s="2030"/>
      <c r="R673" s="2030"/>
      <c r="T673" s="35"/>
      <c r="U673" s="12" t="s">
        <v>325</v>
      </c>
      <c r="Z673" s="2063"/>
      <c r="AA673" s="2063"/>
      <c r="AB673" s="2063"/>
      <c r="AC673" s="2063"/>
      <c r="AD673" s="2063"/>
      <c r="AE673" s="2063"/>
      <c r="AH673" s="137" t="s">
        <v>212</v>
      </c>
      <c r="AI673" s="2030"/>
      <c r="AJ673" s="2030"/>
      <c r="AK673" s="2030"/>
      <c r="AZ673" s="58"/>
      <c r="BA673" s="446">
        <f t="shared" si="40"/>
        <v>3072</v>
      </c>
      <c r="BB673" s="58"/>
      <c r="BC673" s="58"/>
      <c r="BD673" s="58"/>
      <c r="BE673" s="58"/>
      <c r="BF673" s="382"/>
      <c r="BG673" s="457">
        <f t="shared" si="41"/>
        <v>4</v>
      </c>
      <c r="BH673" s="460">
        <f t="shared" si="43"/>
        <v>5.7971014492753624E-2</v>
      </c>
      <c r="BI673" s="461">
        <f t="shared" si="42"/>
        <v>1.7391304347826087E-2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f t="shared" si="40"/>
        <v>3072</v>
      </c>
      <c r="BB674" s="58"/>
      <c r="BC674" s="58"/>
      <c r="BD674" s="58"/>
      <c r="BE674" s="58"/>
      <c r="BF674" s="382"/>
      <c r="BG674" s="457">
        <f t="shared" si="41"/>
        <v>5</v>
      </c>
      <c r="BH674" s="460">
        <f t="shared" si="43"/>
        <v>7.2463768115942032E-2</v>
      </c>
      <c r="BI674" s="461">
        <f t="shared" si="42"/>
        <v>3.6231884057971016E-2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8" t="s">
        <v>705</v>
      </c>
      <c r="O675" s="2038"/>
      <c r="T675" s="35"/>
      <c r="U675" s="12" t="s">
        <v>20</v>
      </c>
      <c r="AG675" s="2038" t="s">
        <v>705</v>
      </c>
      <c r="AH675" s="2038"/>
      <c r="AZ675" s="58"/>
      <c r="BA675" s="446">
        <f t="shared" si="40"/>
        <v>3072</v>
      </c>
      <c r="BB675" s="58"/>
      <c r="BC675" s="58"/>
      <c r="BD675" s="58"/>
      <c r="BE675" s="58"/>
      <c r="BF675" s="382"/>
      <c r="BG675" s="457">
        <f t="shared" si="41"/>
        <v>30</v>
      </c>
      <c r="BH675" s="460">
        <f t="shared" si="43"/>
        <v>0.43478260869565216</v>
      </c>
      <c r="BI675" s="461">
        <f t="shared" si="42"/>
        <v>0.2608695652173913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25</v>
      </c>
      <c r="BH676" s="460">
        <f t="shared" si="43"/>
        <v>0.36231884057971014</v>
      </c>
      <c r="BI676" s="461">
        <f t="shared" si="42"/>
        <v>0.25362318840579706</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40">
        <f>C643</f>
        <v>0</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9"/>
      <c r="H679" s="2039"/>
      <c r="I679" s="2039"/>
      <c r="J679" s="2039"/>
      <c r="K679" s="2039"/>
      <c r="L679" s="2039"/>
      <c r="M679" s="2039"/>
      <c r="N679" s="2039"/>
      <c r="O679" s="2039"/>
      <c r="P679" s="2039"/>
      <c r="Q679" s="2039"/>
      <c r="R679" s="2039"/>
      <c r="T679" s="35"/>
      <c r="U679" s="12" t="s">
        <v>614</v>
      </c>
      <c r="Z679" s="2042"/>
      <c r="AA679" s="2042"/>
      <c r="AB679" s="2042"/>
      <c r="AC679" s="2042"/>
      <c r="AD679" s="2042"/>
      <c r="AE679" s="2042"/>
      <c r="AF679" s="2042"/>
      <c r="AG679" s="2042"/>
      <c r="AH679" s="2042"/>
      <c r="AI679" s="2042"/>
      <c r="AJ679" s="2042"/>
      <c r="AK679" s="204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3"/>
      <c r="H681" s="2063"/>
      <c r="I681" s="2063"/>
      <c r="J681" s="2063"/>
      <c r="K681" s="2063"/>
      <c r="L681" s="2063"/>
      <c r="O681" s="137" t="s">
        <v>212</v>
      </c>
      <c r="P681" s="2030"/>
      <c r="Q681" s="2030"/>
      <c r="R681" s="2030"/>
      <c r="T681" s="35"/>
      <c r="U681" s="12" t="s">
        <v>325</v>
      </c>
      <c r="Z681" s="2063"/>
      <c r="AA681" s="2063"/>
      <c r="AB681" s="2063"/>
      <c r="AC681" s="2063"/>
      <c r="AD681" s="2063"/>
      <c r="AE681" s="2063"/>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8" t="s">
        <v>705</v>
      </c>
      <c r="O683" s="2038"/>
      <c r="T683" s="35"/>
      <c r="U683" s="12" t="s">
        <v>20</v>
      </c>
      <c r="AG683" s="2038" t="s">
        <v>705</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39"/>
      <c r="H687" s="2039"/>
      <c r="I687" s="2039"/>
      <c r="J687" s="2039"/>
      <c r="K687" s="2039"/>
      <c r="L687" s="2039"/>
      <c r="M687" s="2039"/>
      <c r="N687" s="2039"/>
      <c r="O687" s="2039"/>
      <c r="P687" s="2039"/>
      <c r="Q687" s="2039"/>
      <c r="R687" s="2039"/>
      <c r="T687" s="35"/>
      <c r="U687" s="12" t="s">
        <v>614</v>
      </c>
      <c r="Z687" s="2042"/>
      <c r="AA687" s="2042"/>
      <c r="AB687" s="2042"/>
      <c r="AC687" s="2042"/>
      <c r="AD687" s="2042"/>
      <c r="AE687" s="2042"/>
      <c r="AF687" s="2042"/>
      <c r="AG687" s="2042"/>
      <c r="AH687" s="2042"/>
      <c r="AI687" s="2042"/>
      <c r="AJ687" s="2042"/>
      <c r="AK687" s="204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3"/>
      <c r="H689" s="2063"/>
      <c r="I689" s="2063"/>
      <c r="J689" s="2063"/>
      <c r="K689" s="2063"/>
      <c r="L689" s="2063"/>
      <c r="O689" s="137" t="s">
        <v>212</v>
      </c>
      <c r="P689" s="2030"/>
      <c r="Q689" s="2030"/>
      <c r="R689" s="2030"/>
      <c r="T689" s="35"/>
      <c r="U689" s="12" t="s">
        <v>325</v>
      </c>
      <c r="Z689" s="2063"/>
      <c r="AA689" s="2063"/>
      <c r="AB689" s="2063"/>
      <c r="AC689" s="2063"/>
      <c r="AD689" s="2063"/>
      <c r="AE689" s="2063"/>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8" t="s">
        <v>705</v>
      </c>
      <c r="O691" s="2038"/>
      <c r="T691" s="35"/>
      <c r="U691" s="12" t="s">
        <v>20</v>
      </c>
      <c r="AG691" s="2038" t="s">
        <v>705</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2040">
        <f>C647</f>
        <v>0</v>
      </c>
      <c r="H693" s="2040"/>
      <c r="I693" s="2040"/>
      <c r="J693" s="2040"/>
      <c r="K693" s="2040"/>
      <c r="L693" s="2040"/>
      <c r="M693" s="2040"/>
      <c r="N693" s="2040"/>
      <c r="O693" s="2040"/>
      <c r="P693" s="2040"/>
      <c r="Q693" s="2040"/>
      <c r="R693" s="2040"/>
      <c r="T693" s="87" t="s">
        <v>373</v>
      </c>
      <c r="U693" s="12" t="s">
        <v>495</v>
      </c>
      <c r="Z693" s="2040">
        <f>C648</f>
        <v>0</v>
      </c>
      <c r="AA693" s="2040"/>
      <c r="AB693" s="2040"/>
      <c r="AC693" s="2040"/>
      <c r="AD693" s="2040"/>
      <c r="AE693" s="2040"/>
      <c r="AF693" s="2040"/>
      <c r="AG693" s="2040"/>
      <c r="AH693" s="2040"/>
      <c r="AI693" s="2040"/>
      <c r="AJ693" s="2040"/>
      <c r="AK693" s="204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39"/>
      <c r="H695" s="2039"/>
      <c r="I695" s="2039"/>
      <c r="J695" s="2039"/>
      <c r="K695" s="2039"/>
      <c r="L695" s="2039"/>
      <c r="M695" s="2039"/>
      <c r="N695" s="2039"/>
      <c r="O695" s="2039"/>
      <c r="P695" s="2039"/>
      <c r="Q695" s="2039"/>
      <c r="R695" s="2039"/>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69</v>
      </c>
      <c r="BH696" s="463">
        <f>SUM(BH671:BH695)</f>
        <v>1</v>
      </c>
      <c r="BI696" s="463">
        <f>SUM(BI671:BI695)</f>
        <v>0.59565217391304337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3"/>
      <c r="H697" s="2063"/>
      <c r="I697" s="2063"/>
      <c r="J697" s="2063"/>
      <c r="K697" s="2063"/>
      <c r="L697" s="2063"/>
      <c r="O697" s="137" t="s">
        <v>212</v>
      </c>
      <c r="P697" s="2030"/>
      <c r="Q697" s="2030"/>
      <c r="R697" s="2030"/>
      <c r="U697" s="12" t="s">
        <v>325</v>
      </c>
      <c r="Z697" s="2063"/>
      <c r="AA697" s="2063"/>
      <c r="AB697" s="2063"/>
      <c r="AC697" s="2063"/>
      <c r="AD697" s="2063"/>
      <c r="AE697" s="2063"/>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8" t="s">
        <v>705</v>
      </c>
      <c r="O699" s="2038"/>
      <c r="U699" s="12" t="s">
        <v>20</v>
      </c>
      <c r="AG699" s="2038" t="s">
        <v>705</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577</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4.3478260869565216E-2</v>
      </c>
      <c r="BI703" s="461">
        <f t="shared" ref="BI703:BI727" si="45">IF(BH703=0," ",BH703*AM728)</f>
        <v>1.3043478260869565E-2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705</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2.8985507246376812E-2</v>
      </c>
      <c r="BI704" s="461">
        <f t="shared" si="45"/>
        <v>1.4492753623188406E-2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44448</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5.7971014492753624E-2</v>
      </c>
      <c r="BI705" s="461">
        <f t="shared" si="45"/>
        <v>1.7398852657004828E-2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44538</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7.2463768115942032E-2</v>
      </c>
      <c r="BI706" s="461">
        <f t="shared" si="45"/>
        <v>3.6231884057971016E-2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30</v>
      </c>
      <c r="BH707" s="460">
        <f t="shared" si="46"/>
        <v>0.43478260869565216</v>
      </c>
      <c r="BI707" s="461">
        <f t="shared" si="45"/>
        <v>0.26098278985507245</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44713</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25</v>
      </c>
      <c r="BH708" s="460">
        <f t="shared" si="46"/>
        <v>0.36231884057971014</v>
      </c>
      <c r="BI708" s="461">
        <f t="shared" si="45"/>
        <v>0.25369395380434784</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0.55000000000000004</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California Municipal Finance Authority</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705</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3"/>
      <c r="K715" s="2063"/>
      <c r="L715" s="2063"/>
      <c r="M715" s="2063"/>
      <c r="N715" s="2063"/>
      <c r="O715" s="2063"/>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407</v>
      </c>
      <c r="C724" s="2114"/>
      <c r="D724" s="2114"/>
      <c r="E724" s="2114"/>
      <c r="F724" s="2115"/>
      <c r="G724" s="2113" t="s">
        <v>291</v>
      </c>
      <c r="H724" s="2114"/>
      <c r="I724" s="2114"/>
      <c r="J724" s="2115"/>
      <c r="K724" s="2282" t="s">
        <v>2156</v>
      </c>
      <c r="L724" s="2283"/>
      <c r="M724" s="2283"/>
      <c r="N724" s="2284"/>
      <c r="O724" s="2113" t="s">
        <v>477</v>
      </c>
      <c r="P724" s="2114"/>
      <c r="Q724" s="2114"/>
      <c r="R724" s="2114"/>
      <c r="S724" s="2115"/>
      <c r="T724" s="2113" t="s">
        <v>292</v>
      </c>
      <c r="U724" s="2114"/>
      <c r="V724" s="2114"/>
      <c r="W724" s="2114"/>
      <c r="X724" s="2115"/>
      <c r="Y724" s="2113" t="s">
        <v>293</v>
      </c>
      <c r="Z724" s="2114"/>
      <c r="AA724" s="2114"/>
      <c r="AB724" s="2115"/>
      <c r="AC724" s="2113" t="s">
        <v>294</v>
      </c>
      <c r="AD724" s="2114"/>
      <c r="AE724" s="2114"/>
      <c r="AF724" s="2114"/>
      <c r="AG724" s="2115"/>
      <c r="AH724" s="2113" t="s">
        <v>408</v>
      </c>
      <c r="AI724" s="2114"/>
      <c r="AJ724" s="2114"/>
      <c r="AK724" s="2114"/>
      <c r="AL724" s="2115"/>
      <c r="AM724" s="2113" t="s">
        <v>681</v>
      </c>
      <c r="AN724" s="2114"/>
      <c r="AO724" s="211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6"/>
      <c r="C725" s="2117"/>
      <c r="D725" s="2117"/>
      <c r="E725" s="2117"/>
      <c r="F725" s="2118"/>
      <c r="G725" s="2116"/>
      <c r="H725" s="2117"/>
      <c r="I725" s="2117"/>
      <c r="J725" s="2118"/>
      <c r="K725" s="2285"/>
      <c r="L725" s="2286"/>
      <c r="M725" s="2286"/>
      <c r="N725" s="2287"/>
      <c r="O725" s="2116"/>
      <c r="P725" s="2117"/>
      <c r="Q725" s="2117"/>
      <c r="R725" s="2117"/>
      <c r="S725" s="2118"/>
      <c r="T725" s="2116"/>
      <c r="U725" s="2117"/>
      <c r="V725" s="2117"/>
      <c r="W725" s="2117"/>
      <c r="X725" s="2118"/>
      <c r="Y725" s="2116"/>
      <c r="Z725" s="2117"/>
      <c r="AA725" s="2117"/>
      <c r="AB725" s="2118"/>
      <c r="AC725" s="2116"/>
      <c r="AD725" s="2117"/>
      <c r="AE725" s="2117"/>
      <c r="AF725" s="2117"/>
      <c r="AG725" s="2118"/>
      <c r="AH725" s="2116"/>
      <c r="AI725" s="2117"/>
      <c r="AJ725" s="2117"/>
      <c r="AK725" s="2117"/>
      <c r="AL725" s="2118"/>
      <c r="AM725" s="2116"/>
      <c r="AN725" s="2117"/>
      <c r="AO725" s="211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6"/>
      <c r="C726" s="2117"/>
      <c r="D726" s="2117"/>
      <c r="E726" s="2117"/>
      <c r="F726" s="2118"/>
      <c r="G726" s="2116"/>
      <c r="H726" s="2117"/>
      <c r="I726" s="2117"/>
      <c r="J726" s="2118"/>
      <c r="K726" s="2285"/>
      <c r="L726" s="2286"/>
      <c r="M726" s="2286"/>
      <c r="N726" s="2287"/>
      <c r="O726" s="2116"/>
      <c r="P726" s="2117"/>
      <c r="Q726" s="2117"/>
      <c r="R726" s="2117"/>
      <c r="S726" s="2118"/>
      <c r="T726" s="2116"/>
      <c r="U726" s="2117"/>
      <c r="V726" s="2117"/>
      <c r="W726" s="2117"/>
      <c r="X726" s="2118"/>
      <c r="Y726" s="2116"/>
      <c r="Z726" s="2117"/>
      <c r="AA726" s="2117"/>
      <c r="AB726" s="2118"/>
      <c r="AC726" s="2116"/>
      <c r="AD726" s="2117"/>
      <c r="AE726" s="2117"/>
      <c r="AF726" s="2117"/>
      <c r="AG726" s="2118"/>
      <c r="AH726" s="2116"/>
      <c r="AI726" s="2117"/>
      <c r="AJ726" s="2117"/>
      <c r="AK726" s="2117"/>
      <c r="AL726" s="2118"/>
      <c r="AM726" s="2116"/>
      <c r="AN726" s="2117"/>
      <c r="AO726" s="211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9"/>
      <c r="C727" s="2120"/>
      <c r="D727" s="2120"/>
      <c r="E727" s="2120"/>
      <c r="F727" s="2121"/>
      <c r="G727" s="2119"/>
      <c r="H727" s="2120"/>
      <c r="I727" s="2120"/>
      <c r="J727" s="2121"/>
      <c r="K727" s="2285"/>
      <c r="L727" s="2286"/>
      <c r="M727" s="2286"/>
      <c r="N727" s="2287"/>
      <c r="O727" s="2119"/>
      <c r="P727" s="2120"/>
      <c r="Q727" s="2120"/>
      <c r="R727" s="2120"/>
      <c r="S727" s="2121"/>
      <c r="T727" s="2119"/>
      <c r="U727" s="2120"/>
      <c r="V727" s="2120"/>
      <c r="W727" s="2120"/>
      <c r="X727" s="2121"/>
      <c r="Y727" s="2119"/>
      <c r="Z727" s="2120"/>
      <c r="AA727" s="2120"/>
      <c r="AB727" s="2121"/>
      <c r="AC727" s="2119"/>
      <c r="AD727" s="2120"/>
      <c r="AE727" s="2120"/>
      <c r="AF727" s="2120"/>
      <c r="AG727" s="2121"/>
      <c r="AH727" s="2119"/>
      <c r="AI727" s="2120"/>
      <c r="AJ727" s="2120"/>
      <c r="AK727" s="2120"/>
      <c r="AL727" s="2121"/>
      <c r="AM727" s="2119"/>
      <c r="AN727" s="2120"/>
      <c r="AO727" s="212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6" t="s">
        <v>168</v>
      </c>
      <c r="C728" s="2047"/>
      <c r="D728" s="2047"/>
      <c r="E728" s="2047"/>
      <c r="F728" s="2048"/>
      <c r="G728" s="2278">
        <v>3</v>
      </c>
      <c r="H728" s="2279"/>
      <c r="I728" s="2279"/>
      <c r="J728" s="2280"/>
      <c r="K728" s="2075">
        <v>850</v>
      </c>
      <c r="L728" s="2076"/>
      <c r="M728" s="2076"/>
      <c r="N728" s="2077"/>
      <c r="O728" s="2066">
        <v>723</v>
      </c>
      <c r="P728" s="2067"/>
      <c r="Q728" s="2067"/>
      <c r="R728" s="2067"/>
      <c r="S728" s="2068"/>
      <c r="T728" s="2143">
        <f t="shared" ref="T728:T752" si="47">G728*O728</f>
        <v>2169</v>
      </c>
      <c r="U728" s="2144"/>
      <c r="V728" s="2144"/>
      <c r="W728" s="2144"/>
      <c r="X728" s="2145"/>
      <c r="Y728" s="2066">
        <v>75</v>
      </c>
      <c r="Z728" s="2067"/>
      <c r="AA728" s="2067"/>
      <c r="AB728" s="2068"/>
      <c r="AC728" s="2143">
        <f t="shared" ref="AC728:AC752" si="48">O728+Y728</f>
        <v>798</v>
      </c>
      <c r="AD728" s="2144"/>
      <c r="AE728" s="2144"/>
      <c r="AF728" s="2144"/>
      <c r="AG728" s="2145"/>
      <c r="AH728" s="2271">
        <v>0.3</v>
      </c>
      <c r="AI728" s="2272"/>
      <c r="AJ728" s="2272"/>
      <c r="AK728" s="2272"/>
      <c r="AL728" s="2273"/>
      <c r="AM728" s="2245">
        <f t="shared" ref="AM728:AM752" si="49">IF($AH728&gt;0,($AC728/$BA670), " ")</f>
        <v>0.3</v>
      </c>
      <c r="AN728" s="2246"/>
      <c r="AO728" s="2247"/>
      <c r="AP728" s="239"/>
      <c r="AQ728" s="239"/>
      <c r="AR728" s="239"/>
      <c r="AS728" s="239"/>
      <c r="AT728" s="239"/>
      <c r="AU728" s="239"/>
      <c r="AV728" s="239"/>
      <c r="AW728" s="239"/>
      <c r="AX728" s="239"/>
      <c r="AY728" s="239"/>
      <c r="AZ728" s="58"/>
      <c r="BA728" s="58"/>
      <c r="BB728" s="58"/>
      <c r="BC728" s="58"/>
      <c r="BD728" s="58"/>
      <c r="BE728" s="58"/>
      <c r="BF728" s="58"/>
      <c r="BG728" s="1420">
        <f>SUM(BG703:BG727)</f>
        <v>69</v>
      </c>
      <c r="BH728" s="463">
        <f>SUM(BH703:BH727)</f>
        <v>1</v>
      </c>
      <c r="BI728" s="463">
        <f>SUM(BI703:BI727)</f>
        <v>0.59584371225845412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6" t="s">
        <v>168</v>
      </c>
      <c r="C729" s="2047"/>
      <c r="D729" s="2047"/>
      <c r="E729" s="2047"/>
      <c r="F729" s="2048"/>
      <c r="G729" s="2278">
        <v>2</v>
      </c>
      <c r="H729" s="2279"/>
      <c r="I729" s="2279"/>
      <c r="J729" s="2280"/>
      <c r="K729" s="2075">
        <v>850</v>
      </c>
      <c r="L729" s="2076"/>
      <c r="M729" s="2076"/>
      <c r="N729" s="2077"/>
      <c r="O729" s="2066">
        <v>1255</v>
      </c>
      <c r="P729" s="2067"/>
      <c r="Q729" s="2067"/>
      <c r="R729" s="2067"/>
      <c r="S729" s="2068"/>
      <c r="T729" s="2143">
        <f t="shared" si="47"/>
        <v>2510</v>
      </c>
      <c r="U729" s="2144"/>
      <c r="V729" s="2144"/>
      <c r="W729" s="2144"/>
      <c r="X729" s="2145"/>
      <c r="Y729" s="2066">
        <v>75</v>
      </c>
      <c r="Z729" s="2067"/>
      <c r="AA729" s="2067"/>
      <c r="AB729" s="2068"/>
      <c r="AC729" s="2143">
        <f t="shared" si="48"/>
        <v>1330</v>
      </c>
      <c r="AD729" s="2144"/>
      <c r="AE729" s="2144"/>
      <c r="AF729" s="2144"/>
      <c r="AG729" s="2145"/>
      <c r="AH729" s="2271">
        <v>0.5</v>
      </c>
      <c r="AI729" s="2272"/>
      <c r="AJ729" s="2272"/>
      <c r="AK729" s="2272"/>
      <c r="AL729" s="2273"/>
      <c r="AM729" s="2245">
        <f t="shared" si="49"/>
        <v>0.5</v>
      </c>
      <c r="AN729" s="2246"/>
      <c r="AO729" s="224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6" t="s">
        <v>169</v>
      </c>
      <c r="C730" s="2047"/>
      <c r="D730" s="2047"/>
      <c r="E730" s="2047"/>
      <c r="F730" s="2048"/>
      <c r="G730" s="2278">
        <v>4</v>
      </c>
      <c r="H730" s="2279"/>
      <c r="I730" s="2279"/>
      <c r="J730" s="2280"/>
      <c r="K730" s="2075">
        <v>1250</v>
      </c>
      <c r="L730" s="2076"/>
      <c r="M730" s="2076"/>
      <c r="N730" s="2077"/>
      <c r="O730" s="2066">
        <v>830</v>
      </c>
      <c r="P730" s="2067"/>
      <c r="Q730" s="2067"/>
      <c r="R730" s="2067"/>
      <c r="S730" s="2068"/>
      <c r="T730" s="2143">
        <f t="shared" si="47"/>
        <v>3320</v>
      </c>
      <c r="U730" s="2144"/>
      <c r="V730" s="2144"/>
      <c r="W730" s="2144"/>
      <c r="X730" s="2145"/>
      <c r="Y730" s="2066">
        <v>92</v>
      </c>
      <c r="Z730" s="2067"/>
      <c r="AA730" s="2067"/>
      <c r="AB730" s="2068"/>
      <c r="AC730" s="2143">
        <f t="shared" si="48"/>
        <v>922</v>
      </c>
      <c r="AD730" s="2144"/>
      <c r="AE730" s="2144"/>
      <c r="AF730" s="2144"/>
      <c r="AG730" s="2145"/>
      <c r="AH730" s="2271">
        <v>0.3</v>
      </c>
      <c r="AI730" s="2272"/>
      <c r="AJ730" s="2272"/>
      <c r="AK730" s="2272"/>
      <c r="AL730" s="2273"/>
      <c r="AM730" s="2245">
        <f t="shared" si="49"/>
        <v>0.30013020833333331</v>
      </c>
      <c r="AN730" s="2246"/>
      <c r="AO730" s="224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6" t="s">
        <v>169</v>
      </c>
      <c r="C731" s="2047"/>
      <c r="D731" s="2047"/>
      <c r="E731" s="2047"/>
      <c r="F731" s="2048"/>
      <c r="G731" s="2278">
        <v>5</v>
      </c>
      <c r="H731" s="2279"/>
      <c r="I731" s="2279"/>
      <c r="J731" s="2280"/>
      <c r="K731" s="2075">
        <v>1250</v>
      </c>
      <c r="L731" s="2076"/>
      <c r="M731" s="2076"/>
      <c r="N731" s="2077"/>
      <c r="O731" s="2066">
        <v>1444</v>
      </c>
      <c r="P731" s="2067"/>
      <c r="Q731" s="2067"/>
      <c r="R731" s="2067"/>
      <c r="S731" s="2068"/>
      <c r="T731" s="2143">
        <f t="shared" si="47"/>
        <v>7220</v>
      </c>
      <c r="U731" s="2144"/>
      <c r="V731" s="2144"/>
      <c r="W731" s="2144"/>
      <c r="X731" s="2145"/>
      <c r="Y731" s="2066">
        <v>92</v>
      </c>
      <c r="Z731" s="2067"/>
      <c r="AA731" s="2067"/>
      <c r="AB731" s="2068"/>
      <c r="AC731" s="2143">
        <f t="shared" si="48"/>
        <v>1536</v>
      </c>
      <c r="AD731" s="2144"/>
      <c r="AE731" s="2144"/>
      <c r="AF731" s="2144"/>
      <c r="AG731" s="2145"/>
      <c r="AH731" s="2271">
        <v>0.5</v>
      </c>
      <c r="AI731" s="2272"/>
      <c r="AJ731" s="2272"/>
      <c r="AK731" s="2272"/>
      <c r="AL731" s="2273"/>
      <c r="AM731" s="2245">
        <f t="shared" si="49"/>
        <v>0.5</v>
      </c>
      <c r="AN731" s="2246"/>
      <c r="AO731" s="224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6" t="s">
        <v>169</v>
      </c>
      <c r="C732" s="2047"/>
      <c r="D732" s="2047"/>
      <c r="E732" s="2047"/>
      <c r="F732" s="2048"/>
      <c r="G732" s="2278">
        <v>30</v>
      </c>
      <c r="H732" s="2279"/>
      <c r="I732" s="2279"/>
      <c r="J732" s="2280"/>
      <c r="K732" s="2075">
        <v>1250</v>
      </c>
      <c r="L732" s="2076"/>
      <c r="M732" s="2076"/>
      <c r="N732" s="2077"/>
      <c r="O732" s="2066">
        <v>1752</v>
      </c>
      <c r="P732" s="2067"/>
      <c r="Q732" s="2067"/>
      <c r="R732" s="2067"/>
      <c r="S732" s="2068"/>
      <c r="T732" s="2143">
        <f t="shared" si="47"/>
        <v>52560</v>
      </c>
      <c r="U732" s="2144"/>
      <c r="V732" s="2144"/>
      <c r="W732" s="2144"/>
      <c r="X732" s="2145"/>
      <c r="Y732" s="2066">
        <v>92</v>
      </c>
      <c r="Z732" s="2067"/>
      <c r="AA732" s="2067"/>
      <c r="AB732" s="2068"/>
      <c r="AC732" s="2143">
        <f t="shared" si="48"/>
        <v>1844</v>
      </c>
      <c r="AD732" s="2144"/>
      <c r="AE732" s="2144"/>
      <c r="AF732" s="2144"/>
      <c r="AG732" s="2145"/>
      <c r="AH732" s="2271">
        <v>0.6</v>
      </c>
      <c r="AI732" s="2272"/>
      <c r="AJ732" s="2272"/>
      <c r="AK732" s="2272"/>
      <c r="AL732" s="2273"/>
      <c r="AM732" s="2245">
        <f t="shared" si="49"/>
        <v>0.60026041666666663</v>
      </c>
      <c r="AN732" s="2246"/>
      <c r="AO732" s="224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6" t="s">
        <v>169</v>
      </c>
      <c r="C733" s="2047"/>
      <c r="D733" s="2047"/>
      <c r="E733" s="2047"/>
      <c r="F733" s="2048"/>
      <c r="G733" s="2278">
        <v>25</v>
      </c>
      <c r="H733" s="2279"/>
      <c r="I733" s="2279"/>
      <c r="J733" s="2280"/>
      <c r="K733" s="2075">
        <v>1250</v>
      </c>
      <c r="L733" s="2076"/>
      <c r="M733" s="2076"/>
      <c r="N733" s="2077"/>
      <c r="O733" s="2066">
        <v>2059</v>
      </c>
      <c r="P733" s="2067"/>
      <c r="Q733" s="2067"/>
      <c r="R733" s="2067"/>
      <c r="S733" s="2068"/>
      <c r="T733" s="2143">
        <f t="shared" si="47"/>
        <v>51475</v>
      </c>
      <c r="U733" s="2144"/>
      <c r="V733" s="2144"/>
      <c r="W733" s="2144"/>
      <c r="X733" s="2145"/>
      <c r="Y733" s="2066">
        <v>92</v>
      </c>
      <c r="Z733" s="2067"/>
      <c r="AA733" s="2067"/>
      <c r="AB733" s="2068"/>
      <c r="AC733" s="2143">
        <f t="shared" si="48"/>
        <v>2151</v>
      </c>
      <c r="AD733" s="2144"/>
      <c r="AE733" s="2144"/>
      <c r="AF733" s="2144"/>
      <c r="AG733" s="2145"/>
      <c r="AH733" s="2271">
        <v>0.7</v>
      </c>
      <c r="AI733" s="2272"/>
      <c r="AJ733" s="2272"/>
      <c r="AK733" s="2272"/>
      <c r="AL733" s="2273"/>
      <c r="AM733" s="2245">
        <f t="shared" si="49"/>
        <v>0.7001953125</v>
      </c>
      <c r="AN733" s="2246"/>
      <c r="AO733" s="224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6"/>
      <c r="C734" s="2047"/>
      <c r="D734" s="2047"/>
      <c r="E734" s="2047"/>
      <c r="F734" s="2048"/>
      <c r="G734" s="2278"/>
      <c r="H734" s="2279"/>
      <c r="I734" s="2279"/>
      <c r="J734" s="2280"/>
      <c r="K734" s="2075"/>
      <c r="L734" s="2076"/>
      <c r="M734" s="2076"/>
      <c r="N734" s="2077"/>
      <c r="O734" s="2066"/>
      <c r="P734" s="2067"/>
      <c r="Q734" s="2067"/>
      <c r="R734" s="2067"/>
      <c r="S734" s="2068"/>
      <c r="T734" s="2143">
        <f t="shared" si="47"/>
        <v>0</v>
      </c>
      <c r="U734" s="2144"/>
      <c r="V734" s="2144"/>
      <c r="W734" s="2144"/>
      <c r="X734" s="2145"/>
      <c r="Y734" s="2066"/>
      <c r="Z734" s="2067"/>
      <c r="AA734" s="2067"/>
      <c r="AB734" s="2068"/>
      <c r="AC734" s="2143">
        <f t="shared" si="48"/>
        <v>0</v>
      </c>
      <c r="AD734" s="2144"/>
      <c r="AE734" s="2144"/>
      <c r="AF734" s="2144"/>
      <c r="AG734" s="2145"/>
      <c r="AH734" s="2271"/>
      <c r="AI734" s="2272"/>
      <c r="AJ734" s="2272"/>
      <c r="AK734" s="2272"/>
      <c r="AL734" s="2273"/>
      <c r="AM734" s="2245" t="str">
        <f t="shared" si="49"/>
        <v xml:space="preserve"> </v>
      </c>
      <c r="AN734" s="2246"/>
      <c r="AO734" s="224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6"/>
      <c r="C735" s="2047"/>
      <c r="D735" s="2047"/>
      <c r="E735" s="2047"/>
      <c r="F735" s="2048"/>
      <c r="G735" s="2278"/>
      <c r="H735" s="2279"/>
      <c r="I735" s="2279"/>
      <c r="J735" s="2280"/>
      <c r="K735" s="2075"/>
      <c r="L735" s="2076"/>
      <c r="M735" s="2076"/>
      <c r="N735" s="2077"/>
      <c r="O735" s="2066"/>
      <c r="P735" s="2067"/>
      <c r="Q735" s="2067"/>
      <c r="R735" s="2067"/>
      <c r="S735" s="2068"/>
      <c r="T735" s="2143">
        <f t="shared" si="47"/>
        <v>0</v>
      </c>
      <c r="U735" s="2144"/>
      <c r="V735" s="2144"/>
      <c r="W735" s="2144"/>
      <c r="X735" s="2145"/>
      <c r="Y735" s="2066"/>
      <c r="Z735" s="2067"/>
      <c r="AA735" s="2067"/>
      <c r="AB735" s="2068"/>
      <c r="AC735" s="2143">
        <f t="shared" si="48"/>
        <v>0</v>
      </c>
      <c r="AD735" s="2144"/>
      <c r="AE735" s="2144"/>
      <c r="AF735" s="2144"/>
      <c r="AG735" s="2145"/>
      <c r="AH735" s="2271"/>
      <c r="AI735" s="2272"/>
      <c r="AJ735" s="2272"/>
      <c r="AK735" s="2272"/>
      <c r="AL735" s="2273"/>
      <c r="AM735" s="2245" t="str">
        <f t="shared" si="49"/>
        <v xml:space="preserve"> </v>
      </c>
      <c r="AN735" s="2246"/>
      <c r="AO735" s="224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6"/>
      <c r="C736" s="2047"/>
      <c r="D736" s="2047"/>
      <c r="E736" s="2047"/>
      <c r="F736" s="2048"/>
      <c r="G736" s="2278"/>
      <c r="H736" s="2279"/>
      <c r="I736" s="2279"/>
      <c r="J736" s="2280"/>
      <c r="K736" s="2075"/>
      <c r="L736" s="2076"/>
      <c r="M736" s="2076"/>
      <c r="N736" s="2077"/>
      <c r="O736" s="2066"/>
      <c r="P736" s="2067"/>
      <c r="Q736" s="2067"/>
      <c r="R736" s="2067"/>
      <c r="S736" s="2068"/>
      <c r="T736" s="2143">
        <f t="shared" si="47"/>
        <v>0</v>
      </c>
      <c r="U736" s="2144"/>
      <c r="V736" s="2144"/>
      <c r="W736" s="2144"/>
      <c r="X736" s="2145"/>
      <c r="Y736" s="2066"/>
      <c r="Z736" s="2067"/>
      <c r="AA736" s="2067"/>
      <c r="AB736" s="2068"/>
      <c r="AC736" s="2143">
        <f t="shared" si="48"/>
        <v>0</v>
      </c>
      <c r="AD736" s="2144"/>
      <c r="AE736" s="2144"/>
      <c r="AF736" s="2144"/>
      <c r="AG736" s="2145"/>
      <c r="AH736" s="2271"/>
      <c r="AI736" s="2272"/>
      <c r="AJ736" s="2272"/>
      <c r="AK736" s="2272"/>
      <c r="AL736" s="2273"/>
      <c r="AM736" s="2245" t="str">
        <f t="shared" si="49"/>
        <v xml:space="preserve"> </v>
      </c>
      <c r="AN736" s="2246"/>
      <c r="AO736" s="224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6"/>
      <c r="C737" s="2047"/>
      <c r="D737" s="2047"/>
      <c r="E737" s="2047"/>
      <c r="F737" s="2048"/>
      <c r="G737" s="2278"/>
      <c r="H737" s="2279"/>
      <c r="I737" s="2279"/>
      <c r="J737" s="2280"/>
      <c r="K737" s="2075"/>
      <c r="L737" s="2076"/>
      <c r="M737" s="2076"/>
      <c r="N737" s="2077"/>
      <c r="O737" s="2066"/>
      <c r="P737" s="2067"/>
      <c r="Q737" s="2067"/>
      <c r="R737" s="2067"/>
      <c r="S737" s="2068"/>
      <c r="T737" s="2143">
        <f t="shared" si="47"/>
        <v>0</v>
      </c>
      <c r="U737" s="2144"/>
      <c r="V737" s="2144"/>
      <c r="W737" s="2144"/>
      <c r="X737" s="2145"/>
      <c r="Y737" s="2066"/>
      <c r="Z737" s="2067"/>
      <c r="AA737" s="2067"/>
      <c r="AB737" s="2068"/>
      <c r="AC737" s="2143">
        <f t="shared" si="48"/>
        <v>0</v>
      </c>
      <c r="AD737" s="2144"/>
      <c r="AE737" s="2144"/>
      <c r="AF737" s="2144"/>
      <c r="AG737" s="2145"/>
      <c r="AH737" s="2271"/>
      <c r="AI737" s="2272"/>
      <c r="AJ737" s="2272"/>
      <c r="AK737" s="2272"/>
      <c r="AL737" s="2273"/>
      <c r="AM737" s="2245" t="str">
        <f t="shared" si="49"/>
        <v xml:space="preserve"> </v>
      </c>
      <c r="AN737" s="2246"/>
      <c r="AO737" s="224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6"/>
      <c r="C738" s="2047"/>
      <c r="D738" s="2047"/>
      <c r="E738" s="2047"/>
      <c r="F738" s="2048"/>
      <c r="G738" s="2278"/>
      <c r="H738" s="2279"/>
      <c r="I738" s="2279"/>
      <c r="J738" s="2280"/>
      <c r="K738" s="2075"/>
      <c r="L738" s="2076"/>
      <c r="M738" s="2076"/>
      <c r="N738" s="2077"/>
      <c r="O738" s="2066"/>
      <c r="P738" s="2067"/>
      <c r="Q738" s="2067"/>
      <c r="R738" s="2067"/>
      <c r="S738" s="2068"/>
      <c r="T738" s="2143">
        <f t="shared" si="47"/>
        <v>0</v>
      </c>
      <c r="U738" s="2144"/>
      <c r="V738" s="2144"/>
      <c r="W738" s="2144"/>
      <c r="X738" s="2145"/>
      <c r="Y738" s="2066"/>
      <c r="Z738" s="2067"/>
      <c r="AA738" s="2067"/>
      <c r="AB738" s="2068"/>
      <c r="AC738" s="2143">
        <f t="shared" si="48"/>
        <v>0</v>
      </c>
      <c r="AD738" s="2144"/>
      <c r="AE738" s="2144"/>
      <c r="AF738" s="2144"/>
      <c r="AG738" s="2145"/>
      <c r="AH738" s="2271"/>
      <c r="AI738" s="2272"/>
      <c r="AJ738" s="2272"/>
      <c r="AK738" s="2272"/>
      <c r="AL738" s="2273"/>
      <c r="AM738" s="2245" t="str">
        <f t="shared" si="49"/>
        <v xml:space="preserve"> </v>
      </c>
      <c r="AN738" s="2246"/>
      <c r="AO738" s="224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6"/>
      <c r="C739" s="2047"/>
      <c r="D739" s="2047"/>
      <c r="E739" s="2047"/>
      <c r="F739" s="2048"/>
      <c r="G739" s="2278"/>
      <c r="H739" s="2279"/>
      <c r="I739" s="2279"/>
      <c r="J739" s="2280"/>
      <c r="K739" s="2075"/>
      <c r="L739" s="2076"/>
      <c r="M739" s="2076"/>
      <c r="N739" s="2077"/>
      <c r="O739" s="2066"/>
      <c r="P739" s="2067"/>
      <c r="Q739" s="2067"/>
      <c r="R739" s="2067"/>
      <c r="S739" s="2068"/>
      <c r="T739" s="2143">
        <f t="shared" si="47"/>
        <v>0</v>
      </c>
      <c r="U739" s="2144"/>
      <c r="V739" s="2144"/>
      <c r="W739" s="2144"/>
      <c r="X739" s="2145"/>
      <c r="Y739" s="2066">
        <v>0</v>
      </c>
      <c r="Z739" s="2067"/>
      <c r="AA739" s="2067"/>
      <c r="AB739" s="2068"/>
      <c r="AC739" s="2143">
        <f t="shared" si="48"/>
        <v>0</v>
      </c>
      <c r="AD739" s="2144"/>
      <c r="AE739" s="2144"/>
      <c r="AF739" s="2144"/>
      <c r="AG739" s="2145"/>
      <c r="AH739" s="2271">
        <v>0</v>
      </c>
      <c r="AI739" s="2272"/>
      <c r="AJ739" s="2272"/>
      <c r="AK739" s="2272"/>
      <c r="AL739" s="2273"/>
      <c r="AM739" s="2245" t="str">
        <f t="shared" si="49"/>
        <v xml:space="preserve"> </v>
      </c>
      <c r="AN739" s="2246"/>
      <c r="AO739" s="224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6"/>
      <c r="C740" s="2047"/>
      <c r="D740" s="2047"/>
      <c r="E740" s="2047"/>
      <c r="F740" s="2048"/>
      <c r="G740" s="2278"/>
      <c r="H740" s="2279"/>
      <c r="I740" s="2279"/>
      <c r="J740" s="2280"/>
      <c r="K740" s="2075"/>
      <c r="L740" s="2076"/>
      <c r="M740" s="2076"/>
      <c r="N740" s="2077"/>
      <c r="O740" s="2066"/>
      <c r="P740" s="2067"/>
      <c r="Q740" s="2067"/>
      <c r="R740" s="2067"/>
      <c r="S740" s="2068"/>
      <c r="T740" s="2143">
        <f t="shared" si="47"/>
        <v>0</v>
      </c>
      <c r="U740" s="2144"/>
      <c r="V740" s="2144"/>
      <c r="W740" s="2144"/>
      <c r="X740" s="2145"/>
      <c r="Y740" s="2066">
        <v>0</v>
      </c>
      <c r="Z740" s="2067"/>
      <c r="AA740" s="2067"/>
      <c r="AB740" s="2068"/>
      <c r="AC740" s="2143">
        <f t="shared" si="48"/>
        <v>0</v>
      </c>
      <c r="AD740" s="2144"/>
      <c r="AE740" s="2144"/>
      <c r="AF740" s="2144"/>
      <c r="AG740" s="2145"/>
      <c r="AH740" s="2271">
        <v>0</v>
      </c>
      <c r="AI740" s="2272"/>
      <c r="AJ740" s="2272"/>
      <c r="AK740" s="2272"/>
      <c r="AL740" s="2273"/>
      <c r="AM740" s="2245" t="str">
        <f t="shared" si="49"/>
        <v xml:space="preserve"> </v>
      </c>
      <c r="AN740" s="2246"/>
      <c r="AO740" s="224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6"/>
      <c r="C741" s="2047"/>
      <c r="D741" s="2047"/>
      <c r="E741" s="2047"/>
      <c r="F741" s="2048"/>
      <c r="G741" s="2278"/>
      <c r="H741" s="2279"/>
      <c r="I741" s="2279"/>
      <c r="J741" s="2280"/>
      <c r="K741" s="2075"/>
      <c r="L741" s="2076"/>
      <c r="M741" s="2076"/>
      <c r="N741" s="2077"/>
      <c r="O741" s="2066"/>
      <c r="P741" s="2067"/>
      <c r="Q741" s="2067"/>
      <c r="R741" s="2067"/>
      <c r="S741" s="2068"/>
      <c r="T741" s="2143">
        <f t="shared" si="47"/>
        <v>0</v>
      </c>
      <c r="U741" s="2144"/>
      <c r="V741" s="2144"/>
      <c r="W741" s="2144"/>
      <c r="X741" s="2145"/>
      <c r="Y741" s="2066">
        <v>0</v>
      </c>
      <c r="Z741" s="2067"/>
      <c r="AA741" s="2067"/>
      <c r="AB741" s="2068"/>
      <c r="AC741" s="2143">
        <f t="shared" si="48"/>
        <v>0</v>
      </c>
      <c r="AD741" s="2144"/>
      <c r="AE741" s="2144"/>
      <c r="AF741" s="2144"/>
      <c r="AG741" s="2145"/>
      <c r="AH741" s="2271">
        <v>0</v>
      </c>
      <c r="AI741" s="2272"/>
      <c r="AJ741" s="2272"/>
      <c r="AK741" s="2272"/>
      <c r="AL741" s="2273"/>
      <c r="AM741" s="2245" t="str">
        <f t="shared" si="49"/>
        <v xml:space="preserve"> </v>
      </c>
      <c r="AN741" s="2246"/>
      <c r="AO741" s="224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6"/>
      <c r="C742" s="2047"/>
      <c r="D742" s="2047"/>
      <c r="E742" s="2047"/>
      <c r="F742" s="2048"/>
      <c r="G742" s="2278"/>
      <c r="H742" s="2279"/>
      <c r="I742" s="2279"/>
      <c r="J742" s="2280"/>
      <c r="K742" s="2075"/>
      <c r="L742" s="2076"/>
      <c r="M742" s="2076"/>
      <c r="N742" s="2077"/>
      <c r="O742" s="2066"/>
      <c r="P742" s="2067"/>
      <c r="Q742" s="2067"/>
      <c r="R742" s="2067"/>
      <c r="S742" s="2068"/>
      <c r="T742" s="2143">
        <f t="shared" si="47"/>
        <v>0</v>
      </c>
      <c r="U742" s="2144"/>
      <c r="V742" s="2144"/>
      <c r="W742" s="2144"/>
      <c r="X742" s="2145"/>
      <c r="Y742" s="2066">
        <v>0</v>
      </c>
      <c r="Z742" s="2067"/>
      <c r="AA742" s="2067"/>
      <c r="AB742" s="2068"/>
      <c r="AC742" s="2143">
        <f t="shared" si="48"/>
        <v>0</v>
      </c>
      <c r="AD742" s="2144"/>
      <c r="AE742" s="2144"/>
      <c r="AF742" s="2144"/>
      <c r="AG742" s="2145"/>
      <c r="AH742" s="2271">
        <v>0</v>
      </c>
      <c r="AI742" s="2272"/>
      <c r="AJ742" s="2272"/>
      <c r="AK742" s="2272"/>
      <c r="AL742" s="2273"/>
      <c r="AM742" s="2245" t="str">
        <f t="shared" si="49"/>
        <v xml:space="preserve"> </v>
      </c>
      <c r="AN742" s="2246"/>
      <c r="AO742" s="224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6"/>
      <c r="C743" s="2047"/>
      <c r="D743" s="2047"/>
      <c r="E743" s="2047"/>
      <c r="F743" s="2048"/>
      <c r="G743" s="2278"/>
      <c r="H743" s="2279"/>
      <c r="I743" s="2279"/>
      <c r="J743" s="2280"/>
      <c r="K743" s="2075"/>
      <c r="L743" s="2076"/>
      <c r="M743" s="2076"/>
      <c r="N743" s="2077"/>
      <c r="O743" s="2066"/>
      <c r="P743" s="2067"/>
      <c r="Q743" s="2067"/>
      <c r="R743" s="2067"/>
      <c r="S743" s="2068"/>
      <c r="T743" s="2143">
        <f t="shared" si="47"/>
        <v>0</v>
      </c>
      <c r="U743" s="2144"/>
      <c r="V743" s="2144"/>
      <c r="W743" s="2144"/>
      <c r="X743" s="2145"/>
      <c r="Y743" s="2066">
        <v>0</v>
      </c>
      <c r="Z743" s="2067"/>
      <c r="AA743" s="2067"/>
      <c r="AB743" s="2068"/>
      <c r="AC743" s="2143">
        <f t="shared" si="48"/>
        <v>0</v>
      </c>
      <c r="AD743" s="2144"/>
      <c r="AE743" s="2144"/>
      <c r="AF743" s="2144"/>
      <c r="AG743" s="2145"/>
      <c r="AH743" s="2271">
        <v>0</v>
      </c>
      <c r="AI743" s="2272"/>
      <c r="AJ743" s="2272"/>
      <c r="AK743" s="2272"/>
      <c r="AL743" s="2273"/>
      <c r="AM743" s="2245" t="str">
        <f t="shared" si="49"/>
        <v xml:space="preserve"> </v>
      </c>
      <c r="AN743" s="2246"/>
      <c r="AO743" s="224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6"/>
      <c r="C744" s="2047"/>
      <c r="D744" s="2047"/>
      <c r="E744" s="2047"/>
      <c r="F744" s="2048"/>
      <c r="G744" s="2278"/>
      <c r="H744" s="2279"/>
      <c r="I744" s="2279"/>
      <c r="J744" s="2280"/>
      <c r="K744" s="2075"/>
      <c r="L744" s="2076"/>
      <c r="M744" s="2076"/>
      <c r="N744" s="2077"/>
      <c r="O744" s="2066"/>
      <c r="P744" s="2067"/>
      <c r="Q744" s="2067"/>
      <c r="R744" s="2067"/>
      <c r="S744" s="2068"/>
      <c r="T744" s="2143">
        <f t="shared" si="47"/>
        <v>0</v>
      </c>
      <c r="U744" s="2144"/>
      <c r="V744" s="2144"/>
      <c r="W744" s="2144"/>
      <c r="X744" s="2145"/>
      <c r="Y744" s="2066">
        <v>0</v>
      </c>
      <c r="Z744" s="2067"/>
      <c r="AA744" s="2067"/>
      <c r="AB744" s="2068"/>
      <c r="AC744" s="2143">
        <f t="shared" si="48"/>
        <v>0</v>
      </c>
      <c r="AD744" s="2144"/>
      <c r="AE744" s="2144"/>
      <c r="AF744" s="2144"/>
      <c r="AG744" s="2145"/>
      <c r="AH744" s="2271">
        <v>0</v>
      </c>
      <c r="AI744" s="2272"/>
      <c r="AJ744" s="2272"/>
      <c r="AK744" s="2272"/>
      <c r="AL744" s="2273"/>
      <c r="AM744" s="2245" t="str">
        <f t="shared" si="49"/>
        <v xml:space="preserve"> </v>
      </c>
      <c r="AN744" s="2246"/>
      <c r="AO744" s="224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6"/>
      <c r="C745" s="2047"/>
      <c r="D745" s="2047"/>
      <c r="E745" s="2047"/>
      <c r="F745" s="2048"/>
      <c r="G745" s="2278"/>
      <c r="H745" s="2279"/>
      <c r="I745" s="2279"/>
      <c r="J745" s="2280"/>
      <c r="K745" s="2075"/>
      <c r="L745" s="2076"/>
      <c r="M745" s="2076"/>
      <c r="N745" s="2077"/>
      <c r="O745" s="2066"/>
      <c r="P745" s="2067"/>
      <c r="Q745" s="2067"/>
      <c r="R745" s="2067"/>
      <c r="S745" s="2068"/>
      <c r="T745" s="2143">
        <f t="shared" si="47"/>
        <v>0</v>
      </c>
      <c r="U745" s="2144"/>
      <c r="V745" s="2144"/>
      <c r="W745" s="2144"/>
      <c r="X745" s="2145"/>
      <c r="Y745" s="2066">
        <v>0</v>
      </c>
      <c r="Z745" s="2067"/>
      <c r="AA745" s="2067"/>
      <c r="AB745" s="2068"/>
      <c r="AC745" s="2143">
        <f t="shared" si="48"/>
        <v>0</v>
      </c>
      <c r="AD745" s="2144"/>
      <c r="AE745" s="2144"/>
      <c r="AF745" s="2144"/>
      <c r="AG745" s="2145"/>
      <c r="AH745" s="2271">
        <v>0</v>
      </c>
      <c r="AI745" s="2272"/>
      <c r="AJ745" s="2272"/>
      <c r="AK745" s="2272"/>
      <c r="AL745" s="2273"/>
      <c r="AM745" s="2245" t="str">
        <f t="shared" si="49"/>
        <v xml:space="preserve"> </v>
      </c>
      <c r="AN745" s="2246"/>
      <c r="AO745" s="224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6"/>
      <c r="C746" s="2047"/>
      <c r="D746" s="2047"/>
      <c r="E746" s="2047"/>
      <c r="F746" s="2048"/>
      <c r="G746" s="2278"/>
      <c r="H746" s="2279"/>
      <c r="I746" s="2279"/>
      <c r="J746" s="2280"/>
      <c r="K746" s="2075"/>
      <c r="L746" s="2076"/>
      <c r="M746" s="2076"/>
      <c r="N746" s="2077"/>
      <c r="O746" s="2066"/>
      <c r="P746" s="2067"/>
      <c r="Q746" s="2067"/>
      <c r="R746" s="2067"/>
      <c r="S746" s="2068"/>
      <c r="T746" s="2143">
        <f t="shared" si="47"/>
        <v>0</v>
      </c>
      <c r="U746" s="2144"/>
      <c r="V746" s="2144"/>
      <c r="W746" s="2144"/>
      <c r="X746" s="2145"/>
      <c r="Y746" s="2066">
        <v>0</v>
      </c>
      <c r="Z746" s="2067"/>
      <c r="AA746" s="2067"/>
      <c r="AB746" s="2068"/>
      <c r="AC746" s="2143">
        <f t="shared" si="48"/>
        <v>0</v>
      </c>
      <c r="AD746" s="2144"/>
      <c r="AE746" s="2144"/>
      <c r="AF746" s="2144"/>
      <c r="AG746" s="2145"/>
      <c r="AH746" s="2271">
        <v>0</v>
      </c>
      <c r="AI746" s="2272"/>
      <c r="AJ746" s="2272"/>
      <c r="AK746" s="2272"/>
      <c r="AL746" s="2273"/>
      <c r="AM746" s="2245" t="str">
        <f t="shared" si="49"/>
        <v xml:space="preserve"> </v>
      </c>
      <c r="AN746" s="2246"/>
      <c r="AO746" s="224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6"/>
      <c r="C747" s="2047"/>
      <c r="D747" s="2047"/>
      <c r="E747" s="2047"/>
      <c r="F747" s="2048"/>
      <c r="G747" s="2278"/>
      <c r="H747" s="2279"/>
      <c r="I747" s="2279"/>
      <c r="J747" s="2280"/>
      <c r="K747" s="2075"/>
      <c r="L747" s="2076"/>
      <c r="M747" s="2076"/>
      <c r="N747" s="2077"/>
      <c r="O747" s="2066"/>
      <c r="P747" s="2067"/>
      <c r="Q747" s="2067"/>
      <c r="R747" s="2067"/>
      <c r="S747" s="2068"/>
      <c r="T747" s="2143">
        <f t="shared" si="47"/>
        <v>0</v>
      </c>
      <c r="U747" s="2144"/>
      <c r="V747" s="2144"/>
      <c r="W747" s="2144"/>
      <c r="X747" s="2145"/>
      <c r="Y747" s="2066">
        <v>0</v>
      </c>
      <c r="Z747" s="2067"/>
      <c r="AA747" s="2067"/>
      <c r="AB747" s="2068"/>
      <c r="AC747" s="2143">
        <f t="shared" si="48"/>
        <v>0</v>
      </c>
      <c r="AD747" s="2144"/>
      <c r="AE747" s="2144"/>
      <c r="AF747" s="2144"/>
      <c r="AG747" s="2145"/>
      <c r="AH747" s="2271">
        <v>0</v>
      </c>
      <c r="AI747" s="2272"/>
      <c r="AJ747" s="2272"/>
      <c r="AK747" s="2272"/>
      <c r="AL747" s="2273"/>
      <c r="AM747" s="2245" t="str">
        <f t="shared" si="49"/>
        <v xml:space="preserve"> </v>
      </c>
      <c r="AN747" s="2246"/>
      <c r="AO747" s="224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6"/>
      <c r="C748" s="2047"/>
      <c r="D748" s="2047"/>
      <c r="E748" s="2047"/>
      <c r="F748" s="2048"/>
      <c r="G748" s="2278"/>
      <c r="H748" s="2279"/>
      <c r="I748" s="2279"/>
      <c r="J748" s="2280"/>
      <c r="K748" s="2075"/>
      <c r="L748" s="2076"/>
      <c r="M748" s="2076"/>
      <c r="N748" s="2077"/>
      <c r="O748" s="2066"/>
      <c r="P748" s="2067"/>
      <c r="Q748" s="2067"/>
      <c r="R748" s="2067"/>
      <c r="S748" s="2068"/>
      <c r="T748" s="2143">
        <f t="shared" si="47"/>
        <v>0</v>
      </c>
      <c r="U748" s="2144"/>
      <c r="V748" s="2144"/>
      <c r="W748" s="2144"/>
      <c r="X748" s="2145"/>
      <c r="Y748" s="2066">
        <v>0</v>
      </c>
      <c r="Z748" s="2067"/>
      <c r="AA748" s="2067"/>
      <c r="AB748" s="2068"/>
      <c r="AC748" s="2143">
        <f t="shared" si="48"/>
        <v>0</v>
      </c>
      <c r="AD748" s="2144"/>
      <c r="AE748" s="2144"/>
      <c r="AF748" s="2144"/>
      <c r="AG748" s="2145"/>
      <c r="AH748" s="2271">
        <v>0</v>
      </c>
      <c r="AI748" s="2272"/>
      <c r="AJ748" s="2272"/>
      <c r="AK748" s="2272"/>
      <c r="AL748" s="2273"/>
      <c r="AM748" s="2245" t="str">
        <f t="shared" si="49"/>
        <v xml:space="preserve"> </v>
      </c>
      <c r="AN748" s="2246"/>
      <c r="AO748" s="224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6"/>
      <c r="C749" s="2047"/>
      <c r="D749" s="2047"/>
      <c r="E749" s="2047"/>
      <c r="F749" s="2048"/>
      <c r="G749" s="2278"/>
      <c r="H749" s="2279"/>
      <c r="I749" s="2279"/>
      <c r="J749" s="2280"/>
      <c r="K749" s="2075"/>
      <c r="L749" s="2076"/>
      <c r="M749" s="2076"/>
      <c r="N749" s="2077"/>
      <c r="O749" s="2066"/>
      <c r="P749" s="2067"/>
      <c r="Q749" s="2067"/>
      <c r="R749" s="2067"/>
      <c r="S749" s="2068"/>
      <c r="T749" s="2143">
        <f t="shared" si="47"/>
        <v>0</v>
      </c>
      <c r="U749" s="2144"/>
      <c r="V749" s="2144"/>
      <c r="W749" s="2144"/>
      <c r="X749" s="2145"/>
      <c r="Y749" s="2066">
        <v>0</v>
      </c>
      <c r="Z749" s="2067"/>
      <c r="AA749" s="2067"/>
      <c r="AB749" s="2068"/>
      <c r="AC749" s="2143">
        <f t="shared" si="48"/>
        <v>0</v>
      </c>
      <c r="AD749" s="2144"/>
      <c r="AE749" s="2144"/>
      <c r="AF749" s="2144"/>
      <c r="AG749" s="2145"/>
      <c r="AH749" s="2271">
        <v>0</v>
      </c>
      <c r="AI749" s="2272"/>
      <c r="AJ749" s="2272"/>
      <c r="AK749" s="2272"/>
      <c r="AL749" s="2273"/>
      <c r="AM749" s="2245" t="str">
        <f t="shared" si="49"/>
        <v xml:space="preserve"> </v>
      </c>
      <c r="AN749" s="2246"/>
      <c r="AO749" s="224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78"/>
      <c r="H750" s="2279"/>
      <c r="I750" s="2279"/>
      <c r="J750" s="2280"/>
      <c r="K750" s="2075"/>
      <c r="L750" s="2076"/>
      <c r="M750" s="2076"/>
      <c r="N750" s="2077"/>
      <c r="O750" s="2066"/>
      <c r="P750" s="2067"/>
      <c r="Q750" s="2067"/>
      <c r="R750" s="2067"/>
      <c r="S750" s="2068"/>
      <c r="T750" s="2143">
        <f t="shared" si="47"/>
        <v>0</v>
      </c>
      <c r="U750" s="2144"/>
      <c r="V750" s="2144"/>
      <c r="W750" s="2144"/>
      <c r="X750" s="2145"/>
      <c r="Y750" s="2066">
        <v>0</v>
      </c>
      <c r="Z750" s="2067"/>
      <c r="AA750" s="2067"/>
      <c r="AB750" s="2068"/>
      <c r="AC750" s="2143">
        <f t="shared" si="48"/>
        <v>0</v>
      </c>
      <c r="AD750" s="2144"/>
      <c r="AE750" s="2144"/>
      <c r="AF750" s="2144"/>
      <c r="AG750" s="2145"/>
      <c r="AH750" s="2271">
        <v>0</v>
      </c>
      <c r="AI750" s="2272"/>
      <c r="AJ750" s="2272"/>
      <c r="AK750" s="2272"/>
      <c r="AL750" s="2273"/>
      <c r="AM750" s="2245" t="str">
        <f t="shared" si="49"/>
        <v xml:space="preserve"> </v>
      </c>
      <c r="AN750" s="2246"/>
      <c r="AO750" s="224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6"/>
      <c r="C751" s="2047"/>
      <c r="D751" s="2047"/>
      <c r="E751" s="2047"/>
      <c r="F751" s="2048"/>
      <c r="G751" s="2278"/>
      <c r="H751" s="2279"/>
      <c r="I751" s="2279"/>
      <c r="J751" s="2280"/>
      <c r="K751" s="2075"/>
      <c r="L751" s="2076"/>
      <c r="M751" s="2076"/>
      <c r="N751" s="2077"/>
      <c r="O751" s="2066"/>
      <c r="P751" s="2067"/>
      <c r="Q751" s="2067"/>
      <c r="R751" s="2067"/>
      <c r="S751" s="2068"/>
      <c r="T751" s="2143">
        <f t="shared" si="47"/>
        <v>0</v>
      </c>
      <c r="U751" s="2144"/>
      <c r="V751" s="2144"/>
      <c r="W751" s="2144"/>
      <c r="X751" s="2145"/>
      <c r="Y751" s="2066">
        <v>0</v>
      </c>
      <c r="Z751" s="2067"/>
      <c r="AA751" s="2067"/>
      <c r="AB751" s="2068"/>
      <c r="AC751" s="2143">
        <f t="shared" si="48"/>
        <v>0</v>
      </c>
      <c r="AD751" s="2144"/>
      <c r="AE751" s="2144"/>
      <c r="AF751" s="2144"/>
      <c r="AG751" s="2145"/>
      <c r="AH751" s="2271">
        <v>0</v>
      </c>
      <c r="AI751" s="2272"/>
      <c r="AJ751" s="2272"/>
      <c r="AK751" s="2272"/>
      <c r="AL751" s="2273"/>
      <c r="AM751" s="2245" t="str">
        <f t="shared" si="49"/>
        <v xml:space="preserve"> </v>
      </c>
      <c r="AN751" s="2246"/>
      <c r="AO751" s="224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6"/>
      <c r="C752" s="2047"/>
      <c r="D752" s="2047"/>
      <c r="E752" s="2047"/>
      <c r="F752" s="2048"/>
      <c r="G752" s="2278"/>
      <c r="H752" s="2279"/>
      <c r="I752" s="2279"/>
      <c r="J752" s="2280"/>
      <c r="K752" s="2075"/>
      <c r="L752" s="2076"/>
      <c r="M752" s="2076"/>
      <c r="N752" s="2077"/>
      <c r="O752" s="2066"/>
      <c r="P752" s="2067"/>
      <c r="Q752" s="2067"/>
      <c r="R752" s="2067"/>
      <c r="S752" s="2068"/>
      <c r="T752" s="2143">
        <f t="shared" si="47"/>
        <v>0</v>
      </c>
      <c r="U752" s="2144"/>
      <c r="V752" s="2144"/>
      <c r="W752" s="2144"/>
      <c r="X752" s="2145"/>
      <c r="Y752" s="2066">
        <v>0</v>
      </c>
      <c r="Z752" s="2067"/>
      <c r="AA752" s="2067"/>
      <c r="AB752" s="2068"/>
      <c r="AC752" s="2143">
        <f t="shared" si="48"/>
        <v>0</v>
      </c>
      <c r="AD752" s="2144"/>
      <c r="AE752" s="2144"/>
      <c r="AF752" s="2144"/>
      <c r="AG752" s="2145"/>
      <c r="AH752" s="2271">
        <v>0</v>
      </c>
      <c r="AI752" s="2272"/>
      <c r="AJ752" s="2272"/>
      <c r="AK752" s="2272"/>
      <c r="AL752" s="2273"/>
      <c r="AM752" s="2245" t="str">
        <f t="shared" si="49"/>
        <v xml:space="preserve"> </v>
      </c>
      <c r="AN752" s="2246"/>
      <c r="AO752" s="224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5" t="s">
        <v>130</v>
      </c>
      <c r="C753" s="2186"/>
      <c r="D753" s="2186"/>
      <c r="E753" s="2186"/>
      <c r="F753" s="2188"/>
      <c r="G753" s="2262">
        <f>SUM(G728:J752)</f>
        <v>69</v>
      </c>
      <c r="H753" s="2263"/>
      <c r="I753" s="2263"/>
      <c r="J753" s="2264"/>
      <c r="O753" s="1585" t="s">
        <v>129</v>
      </c>
      <c r="P753" s="1586"/>
      <c r="Q753" s="1586"/>
      <c r="R753" s="1586"/>
      <c r="S753" s="1587"/>
      <c r="T753" s="2143">
        <f>SUM(T728:X752)</f>
        <v>119254</v>
      </c>
      <c r="U753" s="2144"/>
      <c r="V753" s="2144"/>
      <c r="W753" s="2144"/>
      <c r="X753" s="2145"/>
      <c r="AC753" s="1589" t="s">
        <v>968</v>
      </c>
      <c r="AD753" s="1588"/>
      <c r="AE753" s="1588"/>
      <c r="AF753" s="1588"/>
      <c r="AG753" s="1590"/>
      <c r="AH753" s="2365">
        <f>BI696</f>
        <v>0.59565217391304337</v>
      </c>
      <c r="AI753" s="2366"/>
      <c r="AJ753" s="2366"/>
      <c r="AK753" s="2366"/>
      <c r="AL753" s="2367"/>
      <c r="AM753" s="2365">
        <f>BI728</f>
        <v>0.59584371225845412</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625</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3" t="s">
        <v>407</v>
      </c>
      <c r="K768" s="2114"/>
      <c r="L768" s="2114"/>
      <c r="M768" s="2114"/>
      <c r="N768" s="2115"/>
      <c r="O768" s="2294" t="s">
        <v>291</v>
      </c>
      <c r="P768" s="2294"/>
      <c r="Q768" s="2294"/>
      <c r="R768" s="2294"/>
      <c r="S768" s="2294"/>
      <c r="T768" s="2282" t="s">
        <v>2156</v>
      </c>
      <c r="U768" s="2283"/>
      <c r="V768" s="2283"/>
      <c r="W768" s="2284"/>
      <c r="X768" s="2113" t="s">
        <v>477</v>
      </c>
      <c r="Y768" s="2114"/>
      <c r="Z768" s="2114"/>
      <c r="AA768" s="2114"/>
      <c r="AB768" s="2115"/>
      <c r="AC768" s="2113" t="s">
        <v>292</v>
      </c>
      <c r="AD768" s="2114"/>
      <c r="AE768" s="2114"/>
      <c r="AF768" s="2114"/>
      <c r="AG768" s="211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294"/>
      <c r="P769" s="2294"/>
      <c r="Q769" s="2294"/>
      <c r="R769" s="2294"/>
      <c r="S769" s="2294"/>
      <c r="T769" s="2285"/>
      <c r="U769" s="2286"/>
      <c r="V769" s="2286"/>
      <c r="W769" s="2287"/>
      <c r="X769" s="2116"/>
      <c r="Y769" s="2117"/>
      <c r="Z769" s="2117"/>
      <c r="AA769" s="2117"/>
      <c r="AB769" s="2118"/>
      <c r="AC769" s="2116"/>
      <c r="AD769" s="2117"/>
      <c r="AE769" s="2117"/>
      <c r="AF769" s="2117"/>
      <c r="AG769" s="211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294"/>
      <c r="P770" s="2294"/>
      <c r="Q770" s="2294"/>
      <c r="R770" s="2294"/>
      <c r="S770" s="2294"/>
      <c r="T770" s="2285"/>
      <c r="U770" s="2286"/>
      <c r="V770" s="2286"/>
      <c r="W770" s="2287"/>
      <c r="X770" s="2116"/>
      <c r="Y770" s="2117"/>
      <c r="Z770" s="2117"/>
      <c r="AA770" s="2117"/>
      <c r="AB770" s="2118"/>
      <c r="AC770" s="2116"/>
      <c r="AD770" s="2117"/>
      <c r="AE770" s="2117"/>
      <c r="AF770" s="2117"/>
      <c r="AG770" s="211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294"/>
      <c r="P771" s="2294"/>
      <c r="Q771" s="2294"/>
      <c r="R771" s="2294"/>
      <c r="S771" s="2294"/>
      <c r="T771" s="2288"/>
      <c r="U771" s="2289"/>
      <c r="V771" s="2289"/>
      <c r="W771" s="2290"/>
      <c r="X771" s="2119"/>
      <c r="Y771" s="2120"/>
      <c r="Z771" s="2120"/>
      <c r="AA771" s="2120"/>
      <c r="AB771" s="2121"/>
      <c r="AC771" s="2119"/>
      <c r="AD771" s="2120"/>
      <c r="AE771" s="2120"/>
      <c r="AF771" s="2120"/>
      <c r="AG771" s="212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2">
        <v>1</v>
      </c>
      <c r="P772" s="2082"/>
      <c r="Q772" s="2082"/>
      <c r="R772" s="2082"/>
      <c r="S772" s="2082"/>
      <c r="T772" s="2075">
        <v>850</v>
      </c>
      <c r="U772" s="2076"/>
      <c r="V772" s="2076"/>
      <c r="W772" s="2077"/>
      <c r="X772" s="2066"/>
      <c r="Y772" s="2067"/>
      <c r="Z772" s="2067"/>
      <c r="AA772" s="2067"/>
      <c r="AB772" s="2068"/>
      <c r="AC772" s="2143">
        <f>X772*O772</f>
        <v>0</v>
      </c>
      <c r="AD772" s="2144"/>
      <c r="AE772" s="2144"/>
      <c r="AF772" s="2144"/>
      <c r="AG772" s="214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2"/>
      <c r="P773" s="2082"/>
      <c r="Q773" s="2082"/>
      <c r="R773" s="2082"/>
      <c r="S773" s="2082"/>
      <c r="T773" s="2075"/>
      <c r="U773" s="2076"/>
      <c r="V773" s="2076"/>
      <c r="W773" s="2077"/>
      <c r="X773" s="2066"/>
      <c r="Y773" s="2067"/>
      <c r="Z773" s="2067"/>
      <c r="AA773" s="2067"/>
      <c r="AB773" s="2068"/>
      <c r="AC773" s="2143">
        <f>X773*O773</f>
        <v>0</v>
      </c>
      <c r="AD773" s="2144"/>
      <c r="AE773" s="2144"/>
      <c r="AF773" s="2144"/>
      <c r="AG773" s="214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2"/>
      <c r="P774" s="2082"/>
      <c r="Q774" s="2082"/>
      <c r="R774" s="2082"/>
      <c r="S774" s="2082"/>
      <c r="T774" s="2075"/>
      <c r="U774" s="2076"/>
      <c r="V774" s="2076"/>
      <c r="W774" s="2077"/>
      <c r="X774" s="2066"/>
      <c r="Y774" s="2067"/>
      <c r="Z774" s="2067"/>
      <c r="AA774" s="2067"/>
      <c r="AB774" s="2068"/>
      <c r="AC774" s="2143">
        <f>X774*O774</f>
        <v>0</v>
      </c>
      <c r="AD774" s="2144"/>
      <c r="AE774" s="2144"/>
      <c r="AF774" s="2144"/>
      <c r="AG774" s="214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2"/>
      <c r="P775" s="2082"/>
      <c r="Q775" s="2082"/>
      <c r="R775" s="2082"/>
      <c r="S775" s="2082"/>
      <c r="T775" s="2075"/>
      <c r="U775" s="2076"/>
      <c r="V775" s="2076"/>
      <c r="W775" s="2077"/>
      <c r="X775" s="2066"/>
      <c r="Y775" s="2067"/>
      <c r="Z775" s="2067"/>
      <c r="AA775" s="2067"/>
      <c r="AB775" s="2068"/>
      <c r="AC775" s="2143">
        <f>X775*O775</f>
        <v>0</v>
      </c>
      <c r="AD775" s="2144"/>
      <c r="AE775" s="2144"/>
      <c r="AF775" s="2144"/>
      <c r="AG775" s="214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296">
        <f>SUM(O772:S775)</f>
        <v>1</v>
      </c>
      <c r="P776" s="2297"/>
      <c r="Q776" s="2297"/>
      <c r="R776" s="2297"/>
      <c r="S776" s="2298"/>
      <c r="X776" s="2387" t="s">
        <v>129</v>
      </c>
      <c r="Y776" s="2388"/>
      <c r="Z776" s="2388"/>
      <c r="AA776" s="2388"/>
      <c r="AB776" s="2389"/>
      <c r="AC776" s="2143">
        <f>SUM(AC772:AG775)</f>
        <v>0</v>
      </c>
      <c r="AD776" s="2144"/>
      <c r="AE776" s="2144"/>
      <c r="AF776" s="2144"/>
      <c r="AG776" s="214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705</v>
      </c>
      <c r="K778" s="206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407</v>
      </c>
      <c r="K782" s="2114"/>
      <c r="L782" s="2114"/>
      <c r="M782" s="2114"/>
      <c r="N782" s="2115"/>
      <c r="O782" s="2294" t="s">
        <v>291</v>
      </c>
      <c r="P782" s="2294"/>
      <c r="Q782" s="2294"/>
      <c r="R782" s="2294"/>
      <c r="S782" s="2294"/>
      <c r="T782" s="2282" t="s">
        <v>2156</v>
      </c>
      <c r="U782" s="2283"/>
      <c r="V782" s="2283"/>
      <c r="W782" s="2284"/>
      <c r="X782" s="2113" t="s">
        <v>477</v>
      </c>
      <c r="Y782" s="2114"/>
      <c r="Z782" s="2114"/>
      <c r="AA782" s="2114"/>
      <c r="AB782" s="2115"/>
      <c r="AC782" s="2113" t="s">
        <v>292</v>
      </c>
      <c r="AD782" s="2114"/>
      <c r="AE782" s="2114"/>
      <c r="AF782" s="2114"/>
      <c r="AG782" s="2115"/>
      <c r="AH782" s="2270" t="s">
        <v>2396</v>
      </c>
      <c r="AI782" s="2114"/>
      <c r="AJ782" s="2114"/>
      <c r="AK782" s="2114"/>
      <c r="AL782" s="21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294"/>
      <c r="P783" s="2294"/>
      <c r="Q783" s="2294"/>
      <c r="R783" s="2294"/>
      <c r="S783" s="2294"/>
      <c r="T783" s="2285"/>
      <c r="U783" s="2286"/>
      <c r="V783" s="2286"/>
      <c r="W783" s="2287"/>
      <c r="X783" s="2116"/>
      <c r="Y783" s="2117"/>
      <c r="Z783" s="2117"/>
      <c r="AA783" s="2117"/>
      <c r="AB783" s="2118"/>
      <c r="AC783" s="2116"/>
      <c r="AD783" s="2117"/>
      <c r="AE783" s="2117"/>
      <c r="AF783" s="2117"/>
      <c r="AG783" s="2118"/>
      <c r="AH783" s="2116"/>
      <c r="AI783" s="2117"/>
      <c r="AJ783" s="2117"/>
      <c r="AK783" s="2117"/>
      <c r="AL783" s="21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294"/>
      <c r="P784" s="2294"/>
      <c r="Q784" s="2294"/>
      <c r="R784" s="2294"/>
      <c r="S784" s="2294"/>
      <c r="T784" s="2285"/>
      <c r="U784" s="2286"/>
      <c r="V784" s="2286"/>
      <c r="W784" s="2287"/>
      <c r="X784" s="2116"/>
      <c r="Y784" s="2117"/>
      <c r="Z784" s="2117"/>
      <c r="AA784" s="2117"/>
      <c r="AB784" s="2118"/>
      <c r="AC784" s="2116"/>
      <c r="AD784" s="2117"/>
      <c r="AE784" s="2117"/>
      <c r="AF784" s="2117"/>
      <c r="AG784" s="2118"/>
      <c r="AH784" s="2116"/>
      <c r="AI784" s="2117"/>
      <c r="AJ784" s="2117"/>
      <c r="AK784" s="2117"/>
      <c r="AL784" s="21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294"/>
      <c r="P785" s="2294"/>
      <c r="Q785" s="2294"/>
      <c r="R785" s="2294"/>
      <c r="S785" s="2294"/>
      <c r="T785" s="2288"/>
      <c r="U785" s="2289"/>
      <c r="V785" s="2289"/>
      <c r="W785" s="2290"/>
      <c r="X785" s="2119"/>
      <c r="Y785" s="2120"/>
      <c r="Z785" s="2120"/>
      <c r="AA785" s="2120"/>
      <c r="AB785" s="2121"/>
      <c r="AC785" s="2119"/>
      <c r="AD785" s="2120"/>
      <c r="AE785" s="2120"/>
      <c r="AF785" s="2120"/>
      <c r="AG785" s="2121"/>
      <c r="AH785" s="2119"/>
      <c r="AI785" s="2120"/>
      <c r="AJ785" s="2120"/>
      <c r="AK785" s="2120"/>
      <c r="AL785" s="21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2"/>
      <c r="P786" s="2082"/>
      <c r="Q786" s="2082"/>
      <c r="R786" s="2082"/>
      <c r="S786" s="2082"/>
      <c r="T786" s="2075"/>
      <c r="U786" s="2076"/>
      <c r="V786" s="2076"/>
      <c r="W786" s="2077"/>
      <c r="X786" s="2066"/>
      <c r="Y786" s="2067"/>
      <c r="Z786" s="2067"/>
      <c r="AA786" s="2067"/>
      <c r="AB786" s="2068"/>
      <c r="AC786" s="2143">
        <f t="shared" ref="AC786:AC795" si="50">X786*O786</f>
        <v>0</v>
      </c>
      <c r="AD786" s="2144"/>
      <c r="AE786" s="2144"/>
      <c r="AF786" s="2144"/>
      <c r="AG786" s="2145"/>
      <c r="AH786" s="2271"/>
      <c r="AI786" s="2272"/>
      <c r="AJ786" s="2272"/>
      <c r="AK786" s="2272"/>
      <c r="AL786" s="227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2"/>
      <c r="P787" s="2082"/>
      <c r="Q787" s="2082"/>
      <c r="R787" s="2082"/>
      <c r="S787" s="2082"/>
      <c r="T787" s="2075"/>
      <c r="U787" s="2076"/>
      <c r="V787" s="2076"/>
      <c r="W787" s="2077"/>
      <c r="X787" s="2066"/>
      <c r="Y787" s="2067"/>
      <c r="Z787" s="2067"/>
      <c r="AA787" s="2067"/>
      <c r="AB787" s="2068"/>
      <c r="AC787" s="2143">
        <f t="shared" si="50"/>
        <v>0</v>
      </c>
      <c r="AD787" s="2144"/>
      <c r="AE787" s="2144"/>
      <c r="AF787" s="2144"/>
      <c r="AG787" s="2145"/>
      <c r="AH787" s="2271"/>
      <c r="AI787" s="2272"/>
      <c r="AJ787" s="2272"/>
      <c r="AK787" s="2272"/>
      <c r="AL787" s="227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2"/>
      <c r="P788" s="2082"/>
      <c r="Q788" s="2082"/>
      <c r="R788" s="2082"/>
      <c r="S788" s="2082"/>
      <c r="T788" s="2075"/>
      <c r="U788" s="2076"/>
      <c r="V788" s="2076"/>
      <c r="W788" s="2077"/>
      <c r="X788" s="2066"/>
      <c r="Y788" s="2067"/>
      <c r="Z788" s="2067"/>
      <c r="AA788" s="2067"/>
      <c r="AB788" s="2068"/>
      <c r="AC788" s="2143">
        <f t="shared" si="50"/>
        <v>0</v>
      </c>
      <c r="AD788" s="2144"/>
      <c r="AE788" s="2144"/>
      <c r="AF788" s="2144"/>
      <c r="AG788" s="2145"/>
      <c r="AH788" s="2271"/>
      <c r="AI788" s="2272"/>
      <c r="AJ788" s="2272"/>
      <c r="AK788" s="2272"/>
      <c r="AL788" s="227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2"/>
      <c r="P789" s="2082"/>
      <c r="Q789" s="2082"/>
      <c r="R789" s="2082"/>
      <c r="S789" s="2082"/>
      <c r="T789" s="2075"/>
      <c r="U789" s="2076"/>
      <c r="V789" s="2076"/>
      <c r="W789" s="2077"/>
      <c r="X789" s="2066"/>
      <c r="Y789" s="2067"/>
      <c r="Z789" s="2067"/>
      <c r="AA789" s="2067"/>
      <c r="AB789" s="2068"/>
      <c r="AC789" s="2143">
        <f t="shared" si="50"/>
        <v>0</v>
      </c>
      <c r="AD789" s="2144"/>
      <c r="AE789" s="2144"/>
      <c r="AF789" s="2144"/>
      <c r="AG789" s="2145"/>
      <c r="AH789" s="2271"/>
      <c r="AI789" s="2272"/>
      <c r="AJ789" s="2272"/>
      <c r="AK789" s="2272"/>
      <c r="AL789" s="227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2"/>
      <c r="P790" s="2082"/>
      <c r="Q790" s="2082"/>
      <c r="R790" s="2082"/>
      <c r="S790" s="2082"/>
      <c r="T790" s="2075"/>
      <c r="U790" s="2076"/>
      <c r="V790" s="2076"/>
      <c r="W790" s="2077"/>
      <c r="X790" s="2066"/>
      <c r="Y790" s="2067"/>
      <c r="Z790" s="2067"/>
      <c r="AA790" s="2067"/>
      <c r="AB790" s="2068"/>
      <c r="AC790" s="2143">
        <f t="shared" si="50"/>
        <v>0</v>
      </c>
      <c r="AD790" s="2144"/>
      <c r="AE790" s="2144"/>
      <c r="AF790" s="2144"/>
      <c r="AG790" s="2145"/>
      <c r="AH790" s="2271"/>
      <c r="AI790" s="2272"/>
      <c r="AJ790" s="2272"/>
      <c r="AK790" s="2272"/>
      <c r="AL790" s="227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2"/>
      <c r="P791" s="2082"/>
      <c r="Q791" s="2082"/>
      <c r="R791" s="2082"/>
      <c r="S791" s="2082"/>
      <c r="T791" s="2075"/>
      <c r="U791" s="2076"/>
      <c r="V791" s="2076"/>
      <c r="W791" s="2077"/>
      <c r="X791" s="2066"/>
      <c r="Y791" s="2067"/>
      <c r="Z791" s="2067"/>
      <c r="AA791" s="2067"/>
      <c r="AB791" s="2068"/>
      <c r="AC791" s="2143">
        <f t="shared" si="50"/>
        <v>0</v>
      </c>
      <c r="AD791" s="2144"/>
      <c r="AE791" s="2144"/>
      <c r="AF791" s="2144"/>
      <c r="AG791" s="2145"/>
      <c r="AH791" s="2271"/>
      <c r="AI791" s="2272"/>
      <c r="AJ791" s="2272"/>
      <c r="AK791" s="2272"/>
      <c r="AL791" s="227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2"/>
      <c r="P792" s="2082"/>
      <c r="Q792" s="2082"/>
      <c r="R792" s="2082"/>
      <c r="S792" s="2082"/>
      <c r="T792" s="2075"/>
      <c r="U792" s="2076"/>
      <c r="V792" s="2076"/>
      <c r="W792" s="2077"/>
      <c r="X792" s="2066"/>
      <c r="Y792" s="2067"/>
      <c r="Z792" s="2067"/>
      <c r="AA792" s="2067"/>
      <c r="AB792" s="2068"/>
      <c r="AC792" s="2143">
        <f t="shared" si="50"/>
        <v>0</v>
      </c>
      <c r="AD792" s="2144"/>
      <c r="AE792" s="2144"/>
      <c r="AF792" s="2144"/>
      <c r="AG792" s="2145"/>
      <c r="AH792" s="2271"/>
      <c r="AI792" s="2272"/>
      <c r="AJ792" s="2272"/>
      <c r="AK792" s="2272"/>
      <c r="AL792" s="227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2"/>
      <c r="P793" s="2082"/>
      <c r="Q793" s="2082"/>
      <c r="R793" s="2082"/>
      <c r="S793" s="2082"/>
      <c r="T793" s="2075"/>
      <c r="U793" s="2076"/>
      <c r="V793" s="2076"/>
      <c r="W793" s="2077"/>
      <c r="X793" s="2066"/>
      <c r="Y793" s="2067"/>
      <c r="Z793" s="2067"/>
      <c r="AA793" s="2067"/>
      <c r="AB793" s="2068"/>
      <c r="AC793" s="2143">
        <f t="shared" si="50"/>
        <v>0</v>
      </c>
      <c r="AD793" s="2144"/>
      <c r="AE793" s="2144"/>
      <c r="AF793" s="2144"/>
      <c r="AG793" s="2145"/>
      <c r="AH793" s="2271"/>
      <c r="AI793" s="2272"/>
      <c r="AJ793" s="2272"/>
      <c r="AK793" s="2272"/>
      <c r="AL793" s="227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2"/>
      <c r="P794" s="2082"/>
      <c r="Q794" s="2082"/>
      <c r="R794" s="2082"/>
      <c r="S794" s="2082"/>
      <c r="T794" s="2075"/>
      <c r="U794" s="2076"/>
      <c r="V794" s="2076"/>
      <c r="W794" s="2077"/>
      <c r="X794" s="2066"/>
      <c r="Y794" s="2067"/>
      <c r="Z794" s="2067"/>
      <c r="AA794" s="2067"/>
      <c r="AB794" s="2068"/>
      <c r="AC794" s="2143">
        <f t="shared" si="50"/>
        <v>0</v>
      </c>
      <c r="AD794" s="2144"/>
      <c r="AE794" s="2144"/>
      <c r="AF794" s="2144"/>
      <c r="AG794" s="2145"/>
      <c r="AH794" s="2271"/>
      <c r="AI794" s="2272"/>
      <c r="AJ794" s="2272"/>
      <c r="AK794" s="2272"/>
      <c r="AL794" s="227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2"/>
      <c r="P795" s="2082"/>
      <c r="Q795" s="2082"/>
      <c r="R795" s="2082"/>
      <c r="S795" s="2082"/>
      <c r="T795" s="2075"/>
      <c r="U795" s="2076"/>
      <c r="V795" s="2076"/>
      <c r="W795" s="2077"/>
      <c r="X795" s="2066"/>
      <c r="Y795" s="2067"/>
      <c r="Z795" s="2067"/>
      <c r="AA795" s="2067"/>
      <c r="AB795" s="2068"/>
      <c r="AC795" s="2143">
        <f t="shared" si="50"/>
        <v>0</v>
      </c>
      <c r="AD795" s="2144"/>
      <c r="AE795" s="2144"/>
      <c r="AF795" s="2144"/>
      <c r="AG795" s="2145"/>
      <c r="AH795" s="2271"/>
      <c r="AI795" s="2272"/>
      <c r="AJ795" s="2272"/>
      <c r="AK795" s="2272"/>
      <c r="AL795" s="227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95">
        <f>SUM(O786:S795)</f>
        <v>0</v>
      </c>
      <c r="P796" s="2295"/>
      <c r="Q796" s="2295"/>
      <c r="R796" s="2295"/>
      <c r="S796" s="2295"/>
      <c r="X796" s="1602" t="s">
        <v>129</v>
      </c>
      <c r="Y796" s="1603"/>
      <c r="Z796" s="1603"/>
      <c r="AA796" s="1603"/>
      <c r="AB796" s="1604"/>
      <c r="AC796" s="2143">
        <f>SUM(AC786:AG795)</f>
        <v>0</v>
      </c>
      <c r="AD796" s="2144"/>
      <c r="AE796" s="2144"/>
      <c r="AF796" s="2144"/>
      <c r="AG796" s="214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6">
        <f>T753+AC776+AC796</f>
        <v>119254</v>
      </c>
      <c r="Z798" s="2136"/>
      <c r="AA798" s="2136"/>
      <c r="AB798" s="2136"/>
      <c r="AC798" s="21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6">
        <f>(T753+AC776+AC796)*12</f>
        <v>1431048</v>
      </c>
      <c r="Z799" s="2136"/>
      <c r="AA799" s="2136"/>
      <c r="AB799" s="2136"/>
      <c r="AC799" s="2136"/>
      <c r="AZ799" s="58"/>
      <c r="BA799" s="51" t="s">
        <v>666</v>
      </c>
      <c r="BB799" s="51"/>
      <c r="BC799" s="51"/>
      <c r="BD799" s="51"/>
      <c r="BE799" s="51"/>
      <c r="BF799" s="51"/>
      <c r="BG799" s="51"/>
      <c r="BH799" s="51"/>
      <c r="BI799" s="51"/>
      <c r="BJ799" s="51"/>
      <c r="BK799" s="51"/>
      <c r="BL799" s="51"/>
      <c r="BM799" s="51"/>
      <c r="BN799" s="2363" t="s">
        <v>501</v>
      </c>
      <c r="BO799" s="2364"/>
      <c r="BP799" s="58"/>
      <c r="BQ799" s="58"/>
      <c r="BR799" s="58"/>
      <c r="BS799" s="51" t="s">
        <v>668</v>
      </c>
      <c r="BT799" s="51"/>
      <c r="BU799" s="51"/>
      <c r="BV799" s="51"/>
      <c r="BW799" s="51"/>
      <c r="BX799" s="51"/>
      <c r="BY799" s="51"/>
      <c r="BZ799" s="51"/>
      <c r="CA799" s="51"/>
      <c r="CB799" s="2360" t="str">
        <f>T189</f>
        <v>Los Angeles</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6"/>
      <c r="AA804" s="2267"/>
      <c r="AB804" s="2267"/>
      <c r="AC804" s="2267"/>
      <c r="AD804" s="2267"/>
      <c r="AE804" s="22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9"/>
      <c r="AA805" s="2267"/>
      <c r="AB805" s="2267"/>
      <c r="AC805" s="2267"/>
      <c r="AD805" s="2267"/>
      <c r="AE805" s="22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30"/>
      <c r="AB806" s="2330"/>
      <c r="AC806" s="2330"/>
      <c r="AD806" s="2330"/>
      <c r="AE806" s="233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7">
        <f>'Subsidy Contract Calculation'!I30</f>
        <v>0</v>
      </c>
      <c r="AA807" s="2138"/>
      <c r="AB807" s="2138"/>
      <c r="AC807" s="2138"/>
      <c r="AD807" s="2138"/>
      <c r="AE807" s="21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15000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1" t="s">
        <v>343</v>
      </c>
      <c r="Q814" s="2292"/>
      <c r="R814" s="2292"/>
      <c r="S814" s="2292"/>
      <c r="T814" s="2292"/>
      <c r="U814" s="2292"/>
      <c r="V814" s="2292"/>
      <c r="W814" s="2292"/>
      <c r="X814" s="2292"/>
      <c r="Y814" s="2293"/>
      <c r="Z814" s="2032"/>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7">
        <f>SUM(Z811:AE814)</f>
        <v>15000</v>
      </c>
      <c r="AA815" s="2138"/>
      <c r="AB815" s="2138"/>
      <c r="AC815" s="2138"/>
      <c r="AD815" s="2138"/>
      <c r="AE815" s="21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7">
        <f>Z815+Y799+Z807</f>
        <v>1446048</v>
      </c>
      <c r="AA816" s="2138"/>
      <c r="AB816" s="2138"/>
      <c r="AC816" s="2138"/>
      <c r="AD816" s="2138"/>
      <c r="AE816" s="21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81" t="s">
        <v>298</v>
      </c>
      <c r="R821" s="2281"/>
      <c r="S821" s="2281"/>
      <c r="T821" s="2281"/>
      <c r="U821" s="2281" t="s">
        <v>299</v>
      </c>
      <c r="V821" s="2281"/>
      <c r="W821" s="2281"/>
      <c r="X821" s="2281"/>
      <c r="Y821" s="2281" t="s">
        <v>300</v>
      </c>
      <c r="Z821" s="2281"/>
      <c r="AA821" s="2281"/>
      <c r="AB821" s="2281"/>
      <c r="AC821" s="2281" t="s">
        <v>371</v>
      </c>
      <c r="AD821" s="2281"/>
      <c r="AE821" s="2281"/>
      <c r="AF821" s="2281"/>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81"/>
      <c r="R822" s="2281"/>
      <c r="S822" s="2281"/>
      <c r="T822" s="2281"/>
      <c r="U822" s="2281"/>
      <c r="V822" s="2281"/>
      <c r="W822" s="2281"/>
      <c r="X822" s="2281"/>
      <c r="Y822" s="2281"/>
      <c r="Z822" s="2281"/>
      <c r="AA822" s="2281"/>
      <c r="AB822" s="2281"/>
      <c r="AC822" s="2281"/>
      <c r="AD822" s="2281"/>
      <c r="AE822" s="2281"/>
      <c r="AF822" s="2281"/>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5"/>
      <c r="N823" s="2265"/>
      <c r="O823" s="2265"/>
      <c r="P823" s="2265"/>
      <c r="Q823" s="2265"/>
      <c r="R823" s="2265"/>
      <c r="S823" s="2265"/>
      <c r="T823" s="2265"/>
      <c r="U823" s="2265">
        <v>20</v>
      </c>
      <c r="V823" s="2265"/>
      <c r="W823" s="2265"/>
      <c r="X823" s="2265"/>
      <c r="Y823" s="2265">
        <v>24</v>
      </c>
      <c r="Z823" s="2265"/>
      <c r="AA823" s="2265"/>
      <c r="AB823" s="2265"/>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5"/>
      <c r="N824" s="2265"/>
      <c r="O824" s="2265"/>
      <c r="P824" s="2265"/>
      <c r="Q824" s="2265"/>
      <c r="R824" s="2265"/>
      <c r="S824" s="2265"/>
      <c r="T824" s="2265"/>
      <c r="U824" s="2265"/>
      <c r="V824" s="2265"/>
      <c r="W824" s="2265"/>
      <c r="X824" s="2265"/>
      <c r="Y824" s="2265"/>
      <c r="Z824" s="2265"/>
      <c r="AA824" s="2265"/>
      <c r="AB824" s="2265"/>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5"/>
      <c r="N825" s="2265"/>
      <c r="O825" s="2265"/>
      <c r="P825" s="2265"/>
      <c r="Q825" s="2265"/>
      <c r="R825" s="2265"/>
      <c r="S825" s="2265"/>
      <c r="T825" s="2265"/>
      <c r="U825" s="2265">
        <v>10</v>
      </c>
      <c r="V825" s="2265"/>
      <c r="W825" s="2265"/>
      <c r="X825" s="2265"/>
      <c r="Y825" s="2265">
        <v>12</v>
      </c>
      <c r="Z825" s="2265"/>
      <c r="AA825" s="2265"/>
      <c r="AB825" s="2265"/>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819</v>
      </c>
      <c r="D826" s="2069"/>
      <c r="E826" s="2069"/>
      <c r="F826" s="2069"/>
      <c r="G826" s="2069"/>
      <c r="H826" s="2069"/>
      <c r="I826" s="96"/>
      <c r="J826" s="96"/>
      <c r="K826" s="96"/>
      <c r="L826" s="97"/>
      <c r="M826" s="2265"/>
      <c r="N826" s="2265"/>
      <c r="O826" s="2265"/>
      <c r="P826" s="2265"/>
      <c r="Q826" s="2265"/>
      <c r="R826" s="2265"/>
      <c r="S826" s="2265"/>
      <c r="T826" s="2265"/>
      <c r="U826" s="2265"/>
      <c r="V826" s="2265"/>
      <c r="W826" s="2265"/>
      <c r="X826" s="2265"/>
      <c r="Y826" s="2265"/>
      <c r="Z826" s="2265"/>
      <c r="AA826" s="2265"/>
      <c r="AB826" s="2265"/>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491</v>
      </c>
      <c r="D827" s="2069"/>
      <c r="E827" s="2069"/>
      <c r="F827" s="2069"/>
      <c r="G827" s="2069"/>
      <c r="H827" s="2069"/>
      <c r="I827" s="96"/>
      <c r="J827" s="96"/>
      <c r="K827" s="96"/>
      <c r="L827" s="97"/>
      <c r="M827" s="2265"/>
      <c r="N827" s="2265"/>
      <c r="O827" s="2265"/>
      <c r="P827" s="2265"/>
      <c r="Q827" s="2265"/>
      <c r="R827" s="2265"/>
      <c r="S827" s="2265"/>
      <c r="T827" s="2265"/>
      <c r="U827" s="2265">
        <v>30</v>
      </c>
      <c r="V827" s="2265"/>
      <c r="W827" s="2265"/>
      <c r="X827" s="2265"/>
      <c r="Y827" s="2265">
        <v>37</v>
      </c>
      <c r="Z827" s="2265"/>
      <c r="AA827" s="2265"/>
      <c r="AB827" s="2265"/>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6" t="s">
        <v>840</v>
      </c>
      <c r="D828" s="2069"/>
      <c r="E828" s="2069"/>
      <c r="F828" s="2069"/>
      <c r="G828" s="2069"/>
      <c r="H828" s="2069"/>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7" t="s">
        <v>2624</v>
      </c>
      <c r="G829" s="2304"/>
      <c r="H829" s="2304"/>
      <c r="I829" s="2304"/>
      <c r="J829" s="2304"/>
      <c r="K829" s="2304"/>
      <c r="L829" s="2305"/>
      <c r="M829" s="2265"/>
      <c r="N829" s="2265"/>
      <c r="O829" s="2265"/>
      <c r="P829" s="2265"/>
      <c r="Q829" s="2265"/>
      <c r="R829" s="2265"/>
      <c r="S829" s="2265"/>
      <c r="T829" s="2265"/>
      <c r="U829" s="2265">
        <v>15</v>
      </c>
      <c r="V829" s="2265"/>
      <c r="W829" s="2265"/>
      <c r="X829" s="2265"/>
      <c r="Y829" s="2265">
        <v>19</v>
      </c>
      <c r="Z829" s="2265"/>
      <c r="AA829" s="2265"/>
      <c r="AB829" s="2265"/>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300">
        <f>SUM(M823:P829)</f>
        <v>0</v>
      </c>
      <c r="N830" s="2300"/>
      <c r="O830" s="2300"/>
      <c r="P830" s="2300"/>
      <c r="Q830" s="2300">
        <f>SUM(Q823:T829)</f>
        <v>0</v>
      </c>
      <c r="R830" s="2300"/>
      <c r="S830" s="2300"/>
      <c r="T830" s="2300"/>
      <c r="U830" s="2300">
        <f>SUM(U823:X829)</f>
        <v>75</v>
      </c>
      <c r="V830" s="2300"/>
      <c r="W830" s="2300"/>
      <c r="X830" s="2300"/>
      <c r="Y830" s="2300">
        <f>SUM(Y823:AB829)</f>
        <v>92</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9" t="s">
        <v>2623</v>
      </c>
      <c r="D835" s="2340"/>
      <c r="E835" s="2340"/>
      <c r="F835" s="2340"/>
      <c r="G835" s="2340"/>
      <c r="H835" s="2340"/>
      <c r="I835" s="2340"/>
      <c r="J835" s="2340"/>
      <c r="K835" s="2340"/>
      <c r="L835" s="2340"/>
      <c r="M835" s="2340"/>
      <c r="N835" s="2340"/>
      <c r="O835" s="2340"/>
      <c r="P835" s="2340"/>
      <c r="Q835" s="2340"/>
      <c r="R835" s="2340"/>
      <c r="S835" s="2340"/>
      <c r="T835" s="2340"/>
      <c r="U835" s="2340"/>
      <c r="V835" s="2340"/>
      <c r="W835" s="2340"/>
      <c r="X835" s="2340"/>
      <c r="Y835" s="2340"/>
      <c r="Z835" s="2340"/>
      <c r="AA835" s="2340"/>
      <c r="AB835" s="2340"/>
      <c r="AC835" s="2340"/>
      <c r="AD835" s="2340"/>
      <c r="AE835" s="2340"/>
      <c r="AF835" s="2340"/>
      <c r="AG835" s="2340"/>
      <c r="AH835" s="2340"/>
      <c r="AI835" s="2340"/>
      <c r="AJ835" s="23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5">
        <v>5000</v>
      </c>
      <c r="X840" s="2135"/>
      <c r="Y840" s="2135"/>
      <c r="Z840" s="2135"/>
      <c r="AA840" s="2135"/>
      <c r="AB840" s="2135"/>
      <c r="AC840" s="21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5">
        <v>3000</v>
      </c>
      <c r="X841" s="2135"/>
      <c r="Y841" s="2135"/>
      <c r="Z841" s="2135"/>
      <c r="AA841" s="2135"/>
      <c r="AB841" s="2135"/>
      <c r="AC841" s="21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5">
        <v>14800</v>
      </c>
      <c r="X842" s="2135"/>
      <c r="Y842" s="2135"/>
      <c r="Z842" s="2135"/>
      <c r="AA842" s="2135"/>
      <c r="AB842" s="2135"/>
      <c r="AC842" s="21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5"/>
      <c r="X843" s="2135"/>
      <c r="Y843" s="2135"/>
      <c r="Z843" s="2135"/>
      <c r="AA843" s="2135"/>
      <c r="AB843" s="2135"/>
      <c r="AC843" s="21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7" t="s">
        <v>2635</v>
      </c>
      <c r="N844" s="2304"/>
      <c r="O844" s="2304"/>
      <c r="P844" s="2304"/>
      <c r="Q844" s="2304"/>
      <c r="R844" s="2304"/>
      <c r="S844" s="2304"/>
      <c r="T844" s="2304"/>
      <c r="U844" s="2304"/>
      <c r="V844" s="2305"/>
      <c r="W844" s="2135">
        <v>15000</v>
      </c>
      <c r="X844" s="2135"/>
      <c r="Y844" s="2135"/>
      <c r="Z844" s="2135"/>
      <c r="AA844" s="2135"/>
      <c r="AB844" s="2135"/>
      <c r="AC844" s="21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7">
        <f>SUM(W840:AC844)</f>
        <v>37800</v>
      </c>
      <c r="X845" s="2138"/>
      <c r="Y845" s="2138"/>
      <c r="Z845" s="2138"/>
      <c r="AA845" s="2138"/>
      <c r="AB845" s="2138"/>
      <c r="AC845" s="21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32">
        <v>50400</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1"/>
      <c r="X849" s="2301"/>
      <c r="Y849" s="2301"/>
      <c r="Z849" s="2301"/>
      <c r="AA849" s="2301"/>
      <c r="AB849" s="2301"/>
      <c r="AC849" s="230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1"/>
      <c r="X850" s="2301"/>
      <c r="Y850" s="2301"/>
      <c r="Z850" s="2301"/>
      <c r="AA850" s="2301"/>
      <c r="AB850" s="2301"/>
      <c r="AC850" s="23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1">
        <v>53200</v>
      </c>
      <c r="X851" s="2301"/>
      <c r="Y851" s="2301"/>
      <c r="Z851" s="2301"/>
      <c r="AA851" s="2301"/>
      <c r="AB851" s="2301"/>
      <c r="AC851" s="23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3"/>
      <c r="BH851" s="2313"/>
      <c r="BI851" s="2313"/>
      <c r="BJ851" s="2313"/>
      <c r="BK851" s="2313"/>
      <c r="BL851" s="231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1">
        <v>47600</v>
      </c>
      <c r="X852" s="2301"/>
      <c r="Y852" s="2301"/>
      <c r="Z852" s="2301"/>
      <c r="AA852" s="2301"/>
      <c r="AB852" s="2301"/>
      <c r="AC852" s="23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8">
        <f>SUM(W849:AC852)</f>
        <v>100800</v>
      </c>
      <c r="X853" s="2308"/>
      <c r="Y853" s="2308"/>
      <c r="Z853" s="2308"/>
      <c r="AA853" s="2308"/>
      <c r="AB853" s="2308"/>
      <c r="AC853" s="230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2">
        <f>SUM(AZ821:AZ849)</f>
        <v>0</v>
      </c>
      <c r="BA854" s="2302"/>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0">
        <v>35800</v>
      </c>
      <c r="X855" s="2141"/>
      <c r="Y855" s="2141"/>
      <c r="Z855" s="2141"/>
      <c r="AA855" s="2141"/>
      <c r="AB855" s="2141"/>
      <c r="AC855" s="214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46">
        <v>1</v>
      </c>
      <c r="U856" s="2189"/>
      <c r="V856" s="234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0">
        <v>42600</v>
      </c>
      <c r="X857" s="2141"/>
      <c r="Y857" s="2141"/>
      <c r="Z857" s="2141"/>
      <c r="AA857" s="2141"/>
      <c r="AB857" s="2141"/>
      <c r="AC857" s="214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46">
        <v>1</v>
      </c>
      <c r="U858" s="2189"/>
      <c r="V858" s="234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7" t="s">
        <v>2637</v>
      </c>
      <c r="N859" s="2304"/>
      <c r="O859" s="2304"/>
      <c r="P859" s="2304"/>
      <c r="Q859" s="2304"/>
      <c r="R859" s="2304"/>
      <c r="S859" s="2304"/>
      <c r="T859" s="2304"/>
      <c r="U859" s="2304"/>
      <c r="V859" s="2305"/>
      <c r="W859" s="2140">
        <v>23200</v>
      </c>
      <c r="X859" s="2141"/>
      <c r="Y859" s="2141"/>
      <c r="Z859" s="2141"/>
      <c r="AA859" s="2141"/>
      <c r="AB859" s="2141"/>
      <c r="AC859" s="214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101600</v>
      </c>
      <c r="X860" s="2429"/>
      <c r="Y860" s="2429"/>
      <c r="Z860" s="2429"/>
      <c r="AA860" s="2429"/>
      <c r="AB860" s="2429"/>
      <c r="AC860" s="243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0">
        <v>74200</v>
      </c>
      <c r="X861" s="2141"/>
      <c r="Y861" s="2141"/>
      <c r="Z861" s="2141"/>
      <c r="AA861" s="2141"/>
      <c r="AB861" s="2141"/>
      <c r="AC861" s="214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5">
        <v>5000</v>
      </c>
      <c r="X863" s="2135"/>
      <c r="Y863" s="2135"/>
      <c r="Z863" s="2135"/>
      <c r="AA863" s="2135"/>
      <c r="AB863" s="2135"/>
      <c r="AC863" s="213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5">
        <v>12000</v>
      </c>
      <c r="X864" s="2135"/>
      <c r="Y864" s="2135"/>
      <c r="Z864" s="2135"/>
      <c r="AA864" s="2135"/>
      <c r="AB864" s="2135"/>
      <c r="AC864" s="213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5">
        <v>10000</v>
      </c>
      <c r="X865" s="2135"/>
      <c r="Y865" s="2135"/>
      <c r="Z865" s="2135"/>
      <c r="AA865" s="2135"/>
      <c r="AB865" s="2135"/>
      <c r="AC865" s="213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5">
        <v>4000</v>
      </c>
      <c r="X866" s="2135"/>
      <c r="Y866" s="2135"/>
      <c r="Z866" s="2135"/>
      <c r="AA866" s="2135"/>
      <c r="AB866" s="2135"/>
      <c r="AC866" s="213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5">
        <v>10000</v>
      </c>
      <c r="X867" s="2135"/>
      <c r="Y867" s="2135"/>
      <c r="Z867" s="2135"/>
      <c r="AA867" s="2135"/>
      <c r="AB867" s="2135"/>
      <c r="AC867" s="21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5">
        <v>0</v>
      </c>
      <c r="X868" s="2135"/>
      <c r="Y868" s="2135"/>
      <c r="Z868" s="2135"/>
      <c r="AA868" s="2135"/>
      <c r="AB868" s="2135"/>
      <c r="AC868" s="21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7" t="s">
        <v>2636</v>
      </c>
      <c r="N869" s="2304"/>
      <c r="O869" s="2304"/>
      <c r="P869" s="2304"/>
      <c r="Q869" s="2304"/>
      <c r="R869" s="2304"/>
      <c r="S869" s="2304"/>
      <c r="T869" s="2304"/>
      <c r="U869" s="2304"/>
      <c r="V869" s="2305"/>
      <c r="W869" s="2135">
        <v>2400</v>
      </c>
      <c r="X869" s="2135"/>
      <c r="Y869" s="2135"/>
      <c r="Z869" s="2135"/>
      <c r="AA869" s="2135"/>
      <c r="AB869" s="2135"/>
      <c r="AC869" s="213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6">
        <f>SUM(W863:AC869)</f>
        <v>43400</v>
      </c>
      <c r="X870" s="2136"/>
      <c r="Y870" s="2136"/>
      <c r="Z870" s="2136"/>
      <c r="AA870" s="2136"/>
      <c r="AB870" s="2136"/>
      <c r="AC870" s="21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03" t="s">
        <v>343</v>
      </c>
      <c r="N872" s="2304"/>
      <c r="O872" s="2304"/>
      <c r="P872" s="2304"/>
      <c r="Q872" s="2304"/>
      <c r="R872" s="2304"/>
      <c r="S872" s="2304"/>
      <c r="T872" s="2304"/>
      <c r="U872" s="2304"/>
      <c r="V872" s="2305"/>
      <c r="W872" s="2032"/>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03" t="s">
        <v>343</v>
      </c>
      <c r="N873" s="2304"/>
      <c r="O873" s="2304"/>
      <c r="P873" s="2304"/>
      <c r="Q873" s="2304"/>
      <c r="R873" s="2304"/>
      <c r="S873" s="2304"/>
      <c r="T873" s="2304"/>
      <c r="U873" s="2304"/>
      <c r="V873" s="2305"/>
      <c r="W873" s="2032"/>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3" t="s">
        <v>343</v>
      </c>
      <c r="N874" s="2304"/>
      <c r="O874" s="2304"/>
      <c r="P874" s="2304"/>
      <c r="Q874" s="2304"/>
      <c r="R874" s="2304"/>
      <c r="S874" s="2304"/>
      <c r="T874" s="2304"/>
      <c r="U874" s="2304"/>
      <c r="V874" s="2305"/>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3" t="s">
        <v>343</v>
      </c>
      <c r="N875" s="2304"/>
      <c r="O875" s="2304"/>
      <c r="P875" s="2304"/>
      <c r="Q875" s="2304"/>
      <c r="R875" s="2304"/>
      <c r="S875" s="2304"/>
      <c r="T875" s="2304"/>
      <c r="U875" s="2304"/>
      <c r="V875" s="2305"/>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3" t="s">
        <v>343</v>
      </c>
      <c r="N876" s="2304"/>
      <c r="O876" s="2304"/>
      <c r="P876" s="2304"/>
      <c r="Q876" s="2304"/>
      <c r="R876" s="2304"/>
      <c r="S876" s="2304"/>
      <c r="T876" s="2304"/>
      <c r="U876" s="2304"/>
      <c r="V876" s="2305"/>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7">
        <f>SUM(W872:AC876)</f>
        <v>0</v>
      </c>
      <c r="X877" s="2138"/>
      <c r="Y877" s="2138"/>
      <c r="Z877" s="2138"/>
      <c r="AA877" s="2138"/>
      <c r="AB877" s="2138"/>
      <c r="AC877" s="21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8">
        <f>W845+W853+W860+W861+W870+W877+W847</f>
        <v>408200</v>
      </c>
      <c r="AD881" s="2138"/>
      <c r="AE881" s="2138"/>
      <c r="AF881" s="2138"/>
      <c r="AG881" s="2138"/>
      <c r="AH881" s="21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4">
        <f>O796+O776+G753</f>
        <v>70</v>
      </c>
      <c r="AD882" s="2344"/>
      <c r="AE882" s="2344"/>
      <c r="AF882" s="2344"/>
      <c r="AG882" s="2344"/>
      <c r="AH882" s="23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2" t="s">
        <v>33</v>
      </c>
      <c r="F883" s="2342"/>
      <c r="G883" s="2342"/>
      <c r="H883" s="2342"/>
      <c r="I883" s="2342"/>
      <c r="J883" s="2342"/>
      <c r="K883" s="2342"/>
      <c r="L883" s="2342"/>
      <c r="M883" s="2342"/>
      <c r="N883" s="2342"/>
      <c r="O883" s="2342"/>
      <c r="P883" s="2342"/>
      <c r="Q883" s="2342"/>
      <c r="R883" s="2342"/>
      <c r="S883" s="2342"/>
      <c r="T883" s="2342"/>
      <c r="U883" s="2342"/>
      <c r="V883" s="2342"/>
      <c r="W883" s="2342"/>
      <c r="X883" s="2342"/>
      <c r="Y883" s="2342"/>
      <c r="Z883" s="2342"/>
      <c r="AA883" s="2342"/>
      <c r="AB883" s="2343"/>
      <c r="AC883" s="2136">
        <f>IF(ISERROR((ROUNDDOWN(AC881/AC882,0))),0,(ROUNDDOWN(AC881/AC882,0)))</f>
        <v>5831</v>
      </c>
      <c r="AD883" s="2136"/>
      <c r="AE883" s="2136"/>
      <c r="AF883" s="2136"/>
      <c r="AG883" s="2136"/>
      <c r="AH883" s="21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3">
        <v>313327</v>
      </c>
      <c r="AD884" s="2033"/>
      <c r="AE884" s="2033"/>
      <c r="AF884" s="2033"/>
      <c r="AG884" s="2033"/>
      <c r="AH884" s="203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4"/>
      <c r="AD885" s="2135"/>
      <c r="AE885" s="2135"/>
      <c r="AF885" s="2135"/>
      <c r="AG885" s="2135"/>
      <c r="AH885" s="21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3">
        <v>19200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3">
        <v>17500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3">
        <v>5500</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9" t="s">
        <v>1034</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35"/>
      <c r="AD891" s="2135"/>
      <c r="AE891" s="2135"/>
      <c r="AF891" s="2135"/>
      <c r="AG891" s="2135"/>
      <c r="AH891" s="21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9" t="s">
        <v>1034</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35"/>
      <c r="AD892" s="2135"/>
      <c r="AE892" s="2135"/>
      <c r="AF892" s="2135"/>
      <c r="AG892" s="2135"/>
      <c r="AH892" s="21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7">
        <f>Z896-(Z897+Z898)</f>
        <v>0</v>
      </c>
      <c r="AA899" s="2138"/>
      <c r="AB899" s="2138"/>
      <c r="AC899" s="2138"/>
      <c r="AD899" s="2138"/>
      <c r="AE899" s="213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0"/>
      <c r="BE901" s="231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2"/>
      <c r="BE902" s="231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1"/>
      <c r="BE903" s="231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1"/>
      <c r="BE904" s="231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1"/>
      <c r="BE905" s="231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0"/>
      <c r="BE906" s="231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7"/>
      <c r="BD907" s="2309"/>
      <c r="BE907" s="2309"/>
      <c r="BF907" s="230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7"/>
      <c r="BD908" s="2299"/>
      <c r="BE908" s="2299"/>
      <c r="BF908" s="22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1"/>
      <c r="BE909" s="231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0"/>
      <c r="BE910" s="231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7" t="s">
        <v>849</v>
      </c>
      <c r="G912" s="2498"/>
      <c r="H912" s="2498"/>
      <c r="I912" s="2498"/>
      <c r="J912" s="2498"/>
      <c r="K912" s="2498"/>
      <c r="L912" s="2498"/>
      <c r="M912" s="2498"/>
      <c r="N912" s="2498"/>
      <c r="O912" s="2498"/>
      <c r="P912" s="2498"/>
      <c r="Q912" s="2498"/>
      <c r="R912" s="2498"/>
      <c r="S912" s="2498"/>
      <c r="T912" s="2499"/>
      <c r="U912" s="2250" t="s">
        <v>32</v>
      </c>
      <c r="V912" s="2173"/>
      <c r="W912" s="2173"/>
      <c r="X912" s="2173"/>
      <c r="Y912" s="2173"/>
      <c r="Z912" s="2173"/>
      <c r="AA912" s="73"/>
      <c r="AB912" s="161"/>
      <c r="AC912" s="161"/>
      <c r="AD912" s="161"/>
      <c r="AE912" s="161"/>
      <c r="AF912" s="162"/>
      <c r="AZ912" s="61"/>
      <c r="BA912" s="1606"/>
      <c r="BB912" s="127"/>
      <c r="BC912" s="127"/>
      <c r="BD912" s="2310"/>
      <c r="BE912" s="231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1" t="s">
        <v>878</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32" t="s">
        <v>410</v>
      </c>
      <c r="AC914" s="2332"/>
      <c r="AD914" s="2332"/>
      <c r="AE914" s="233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9" t="s">
        <v>577</v>
      </c>
      <c r="V915" s="2058"/>
      <c r="W915" s="2058"/>
      <c r="X915" s="2058"/>
      <c r="Y915" s="2058"/>
      <c r="Z915" s="2059"/>
      <c r="AA915" s="2314">
        <f>+AM564</f>
        <v>14956026</v>
      </c>
      <c r="AB915" s="2043"/>
      <c r="AC915" s="2043"/>
      <c r="AD915" s="2043"/>
      <c r="AE915" s="2043"/>
      <c r="AF915" s="23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9" t="s">
        <v>625</v>
      </c>
      <c r="V916" s="2058"/>
      <c r="W916" s="2058"/>
      <c r="X916" s="2058"/>
      <c r="Y916" s="2058"/>
      <c r="Z916" s="2059"/>
      <c r="AA916" s="2314"/>
      <c r="AB916" s="2043"/>
      <c r="AC916" s="2043"/>
      <c r="AD916" s="2043"/>
      <c r="AE916" s="2043"/>
      <c r="AF916" s="23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9" t="s">
        <v>625</v>
      </c>
      <c r="V917" s="2058"/>
      <c r="W917" s="2058"/>
      <c r="X917" s="2058"/>
      <c r="Y917" s="2058"/>
      <c r="Z917" s="2059"/>
      <c r="AA917" s="2314"/>
      <c r="AB917" s="2043"/>
      <c r="AC917" s="2043"/>
      <c r="AD917" s="2043"/>
      <c r="AE917" s="2043"/>
      <c r="AF917" s="23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9" t="s">
        <v>625</v>
      </c>
      <c r="V918" s="2058"/>
      <c r="W918" s="2058"/>
      <c r="X918" s="2058"/>
      <c r="Y918" s="2058"/>
      <c r="Z918" s="2059"/>
      <c r="AA918" s="2314"/>
      <c r="AB918" s="2043"/>
      <c r="AC918" s="2043"/>
      <c r="AD918" s="2043"/>
      <c r="AE918" s="2043"/>
      <c r="AF918" s="23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9" t="s">
        <v>625</v>
      </c>
      <c r="V919" s="2058"/>
      <c r="W919" s="2058"/>
      <c r="X919" s="2058"/>
      <c r="Y919" s="2058"/>
      <c r="Z919" s="2059"/>
      <c r="AA919" s="2314"/>
      <c r="AB919" s="2043"/>
      <c r="AC919" s="2043"/>
      <c r="AD919" s="2043"/>
      <c r="AE919" s="2043"/>
      <c r="AF919" s="23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9" t="s">
        <v>625</v>
      </c>
      <c r="V920" s="2058"/>
      <c r="W920" s="2058"/>
      <c r="X920" s="2058"/>
      <c r="Y920" s="2058"/>
      <c r="Z920" s="2059"/>
      <c r="AA920" s="2314"/>
      <c r="AB920" s="2043"/>
      <c r="AC920" s="2043"/>
      <c r="AD920" s="2043"/>
      <c r="AE920" s="2043"/>
      <c r="AF920" s="23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9" t="s">
        <v>625</v>
      </c>
      <c r="V921" s="2058"/>
      <c r="W921" s="2058"/>
      <c r="X921" s="2058"/>
      <c r="Y921" s="2058"/>
      <c r="Z921" s="2059"/>
      <c r="AA921" s="2314"/>
      <c r="AB921" s="2043"/>
      <c r="AC921" s="2043"/>
      <c r="AD921" s="2043"/>
      <c r="AE921" s="2043"/>
      <c r="AF921" s="23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9" t="s">
        <v>625</v>
      </c>
      <c r="V922" s="2058"/>
      <c r="W922" s="2058"/>
      <c r="X922" s="2058"/>
      <c r="Y922" s="2058"/>
      <c r="Z922" s="2059"/>
      <c r="AA922" s="2314"/>
      <c r="AB922" s="2043"/>
      <c r="AC922" s="2043"/>
      <c r="AD922" s="2043"/>
      <c r="AE922" s="2043"/>
      <c r="AF922" s="23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9" t="s">
        <v>625</v>
      </c>
      <c r="V923" s="2058"/>
      <c r="W923" s="2058"/>
      <c r="X923" s="2058"/>
      <c r="Y923" s="2058"/>
      <c r="Z923" s="2059"/>
      <c r="AA923" s="2314"/>
      <c r="AB923" s="2043"/>
      <c r="AC923" s="2043"/>
      <c r="AD923" s="2043"/>
      <c r="AE923" s="2043"/>
      <c r="AF923" s="23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9" t="s">
        <v>625</v>
      </c>
      <c r="V924" s="2058"/>
      <c r="W924" s="2058"/>
      <c r="X924" s="2058"/>
      <c r="Y924" s="2058"/>
      <c r="Z924" s="2059"/>
      <c r="AA924" s="2314"/>
      <c r="AB924" s="2043"/>
      <c r="AC924" s="2043"/>
      <c r="AD924" s="2043"/>
      <c r="AE924" s="2043"/>
      <c r="AF924" s="23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9" t="s">
        <v>625</v>
      </c>
      <c r="V925" s="2058"/>
      <c r="W925" s="2058"/>
      <c r="X925" s="2058"/>
      <c r="Y925" s="2058"/>
      <c r="Z925" s="2059"/>
      <c r="AA925" s="2314"/>
      <c r="AB925" s="2043"/>
      <c r="AC925" s="2043"/>
      <c r="AD925" s="2043"/>
      <c r="AE925" s="2043"/>
      <c r="AF925" s="23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9" t="s">
        <v>625</v>
      </c>
      <c r="V926" s="2058"/>
      <c r="W926" s="2058"/>
      <c r="X926" s="2058"/>
      <c r="Y926" s="2058"/>
      <c r="Z926" s="2059"/>
      <c r="AA926" s="2314"/>
      <c r="AB926" s="2043"/>
      <c r="AC926" s="2043"/>
      <c r="AD926" s="2043"/>
      <c r="AE926" s="2043"/>
      <c r="AF926" s="23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9" t="s">
        <v>625</v>
      </c>
      <c r="V927" s="2058"/>
      <c r="W927" s="2058"/>
      <c r="X927" s="2058"/>
      <c r="Y927" s="2058"/>
      <c r="Z927" s="2059"/>
      <c r="AA927" s="2314"/>
      <c r="AB927" s="2043"/>
      <c r="AC927" s="2043"/>
      <c r="AD927" s="2043"/>
      <c r="AE927" s="2043"/>
      <c r="AF927" s="23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9" t="s">
        <v>625</v>
      </c>
      <c r="V928" s="2058"/>
      <c r="W928" s="2058"/>
      <c r="X928" s="2058"/>
      <c r="Y928" s="2058"/>
      <c r="Z928" s="2059"/>
      <c r="AA928" s="2314"/>
      <c r="AB928" s="2043"/>
      <c r="AC928" s="2043"/>
      <c r="AD928" s="2043"/>
      <c r="AE928" s="2043"/>
      <c r="AF928" s="23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9" t="s">
        <v>625</v>
      </c>
      <c r="V929" s="2058"/>
      <c r="W929" s="2058"/>
      <c r="X929" s="2058"/>
      <c r="Y929" s="2058"/>
      <c r="Z929" s="2059"/>
      <c r="AA929" s="2314"/>
      <c r="AB929" s="2043"/>
      <c r="AC929" s="2043"/>
      <c r="AD929" s="2043"/>
      <c r="AE929" s="2043"/>
      <c r="AF929" s="23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9" t="s">
        <v>705</v>
      </c>
      <c r="Q930" s="2058"/>
      <c r="R930" s="2058"/>
      <c r="S930" s="2058"/>
      <c r="T930" s="2059"/>
      <c r="U930" s="2319" t="s">
        <v>625</v>
      </c>
      <c r="V930" s="2058"/>
      <c r="W930" s="2058"/>
      <c r="X930" s="2058"/>
      <c r="Y930" s="2058"/>
      <c r="Z930" s="2059"/>
      <c r="AA930" s="2314"/>
      <c r="AB930" s="2043"/>
      <c r="AC930" s="2043"/>
      <c r="AD930" s="2043"/>
      <c r="AE930" s="2043"/>
      <c r="AF930" s="23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5" t="s">
        <v>343</v>
      </c>
      <c r="J931" s="2495"/>
      <c r="K931" s="2495"/>
      <c r="L931" s="2495"/>
      <c r="M931" s="2495"/>
      <c r="N931" s="2495"/>
      <c r="O931" s="2495"/>
      <c r="P931" s="2495"/>
      <c r="Q931" s="2495"/>
      <c r="R931" s="2495"/>
      <c r="S931" s="2495"/>
      <c r="T931" s="2496"/>
      <c r="U931" s="2319" t="s">
        <v>625</v>
      </c>
      <c r="V931" s="2058"/>
      <c r="W931" s="2058"/>
      <c r="X931" s="2058"/>
      <c r="Y931" s="2058"/>
      <c r="Z931" s="2059"/>
      <c r="AA931" s="2314"/>
      <c r="AB931" s="2043"/>
      <c r="AC931" s="2043"/>
      <c r="AD931" s="2043"/>
      <c r="AE931" s="2043"/>
      <c r="AF931" s="23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1" t="s">
        <v>343</v>
      </c>
      <c r="J932" s="2292"/>
      <c r="K932" s="2292"/>
      <c r="L932" s="2292"/>
      <c r="M932" s="2292"/>
      <c r="N932" s="2292"/>
      <c r="O932" s="2292"/>
      <c r="P932" s="2292"/>
      <c r="Q932" s="2292"/>
      <c r="R932" s="2292"/>
      <c r="S932" s="2292"/>
      <c r="T932" s="2293"/>
      <c r="U932" s="2319" t="s">
        <v>625</v>
      </c>
      <c r="V932" s="2058"/>
      <c r="W932" s="2058"/>
      <c r="X932" s="2058"/>
      <c r="Y932" s="2058"/>
      <c r="Z932" s="2059"/>
      <c r="AA932" s="2314"/>
      <c r="AB932" s="2043"/>
      <c r="AC932" s="2043"/>
      <c r="AD932" s="2043"/>
      <c r="AE932" s="2043"/>
      <c r="AF932" s="23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5" t="s">
        <v>2625</v>
      </c>
      <c r="J933" s="2292"/>
      <c r="K933" s="2292"/>
      <c r="L933" s="2292"/>
      <c r="M933" s="2292"/>
      <c r="N933" s="2292"/>
      <c r="O933" s="2292"/>
      <c r="P933" s="2292"/>
      <c r="Q933" s="2292"/>
      <c r="R933" s="2292"/>
      <c r="S933" s="2292"/>
      <c r="T933" s="2293"/>
      <c r="U933" s="2319" t="s">
        <v>577</v>
      </c>
      <c r="V933" s="2058"/>
      <c r="W933" s="2058"/>
      <c r="X933" s="2058"/>
      <c r="Y933" s="2058"/>
      <c r="Z933" s="2059"/>
      <c r="AA933" s="2314">
        <f>+AM565</f>
        <v>3000000</v>
      </c>
      <c r="AB933" s="2043"/>
      <c r="AC933" s="2043"/>
      <c r="AD933" s="2043"/>
      <c r="AE933" s="2043"/>
      <c r="AF933" s="23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1" t="s">
        <v>343</v>
      </c>
      <c r="J934" s="2292"/>
      <c r="K934" s="2292"/>
      <c r="L934" s="2292"/>
      <c r="M934" s="2292"/>
      <c r="N934" s="2292"/>
      <c r="O934" s="2292"/>
      <c r="P934" s="2292"/>
      <c r="Q934" s="2292"/>
      <c r="R934" s="2292"/>
      <c r="S934" s="2292"/>
      <c r="T934" s="2293"/>
      <c r="U934" s="2319" t="s">
        <v>625</v>
      </c>
      <c r="V934" s="2058"/>
      <c r="W934" s="2058"/>
      <c r="X934" s="2058"/>
      <c r="Y934" s="2058"/>
      <c r="Z934" s="2059"/>
      <c r="AA934" s="2314"/>
      <c r="AB934" s="2043"/>
      <c r="AC934" s="2043"/>
      <c r="AD934" s="2043"/>
      <c r="AE934" s="2043"/>
      <c r="AF934" s="23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9"/>
      <c r="N939" s="2330"/>
      <c r="O939" s="2330"/>
      <c r="P939" s="2330"/>
      <c r="Q939" s="2330"/>
      <c r="R939" s="2330"/>
      <c r="S939" s="2331"/>
      <c r="U939" s="103" t="s">
        <v>11</v>
      </c>
      <c r="V939" s="77"/>
      <c r="W939" s="77"/>
      <c r="X939" s="77"/>
      <c r="Y939" s="77"/>
      <c r="Z939" s="77"/>
      <c r="AA939" s="77"/>
      <c r="AB939" s="77"/>
      <c r="AC939" s="77"/>
      <c r="AD939" s="78"/>
      <c r="AE939" s="2329"/>
      <c r="AF939" s="2330"/>
      <c r="AG939" s="2330"/>
      <c r="AH939" s="2330"/>
      <c r="AI939" s="2330"/>
      <c r="AJ939" s="2330"/>
      <c r="AK939" s="233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6"/>
      <c r="N940" s="2317"/>
      <c r="O940" s="2317"/>
      <c r="P940" s="2317"/>
      <c r="Q940" s="2317"/>
      <c r="R940" s="2317"/>
      <c r="S940" s="2318"/>
      <c r="U940" s="103" t="s">
        <v>12</v>
      </c>
      <c r="V940" s="77"/>
      <c r="W940" s="77"/>
      <c r="X940" s="77"/>
      <c r="Y940" s="77"/>
      <c r="Z940" s="77"/>
      <c r="AA940" s="77"/>
      <c r="AB940" s="77"/>
      <c r="AC940" s="77"/>
      <c r="AD940" s="78"/>
      <c r="AE940" s="2316"/>
      <c r="AF940" s="2317"/>
      <c r="AG940" s="2317"/>
      <c r="AH940" s="2317"/>
      <c r="AI940" s="2317"/>
      <c r="AJ940" s="2317"/>
      <c r="AK940" s="231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0" t="s">
        <v>316</v>
      </c>
      <c r="K941" s="2321"/>
      <c r="L941" s="2321"/>
      <c r="M941" s="2321"/>
      <c r="N941" s="2321"/>
      <c r="O941" s="2321"/>
      <c r="P941" s="2321"/>
      <c r="Q941" s="2321"/>
      <c r="R941" s="2321"/>
      <c r="S941" s="2322"/>
      <c r="U941" s="103" t="s">
        <v>944</v>
      </c>
      <c r="V941" s="77"/>
      <c r="W941" s="77"/>
      <c r="AB941" s="2320" t="s">
        <v>316</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5"/>
      <c r="N942" s="2352"/>
      <c r="O942" s="2352"/>
      <c r="P942" s="2352"/>
      <c r="Q942" s="2352"/>
      <c r="R942" s="2352"/>
      <c r="S942" s="2353"/>
      <c r="U942" s="103" t="s">
        <v>13</v>
      </c>
      <c r="V942" s="77"/>
      <c r="W942" s="77"/>
      <c r="X942" s="77"/>
      <c r="Y942" s="77"/>
      <c r="Z942" s="77"/>
      <c r="AA942" s="77"/>
      <c r="AB942" s="77"/>
      <c r="AC942" s="77"/>
      <c r="AD942" s="78"/>
      <c r="AE942" s="2351"/>
      <c r="AF942" s="2352"/>
      <c r="AG942" s="2352"/>
      <c r="AH942" s="2352"/>
      <c r="AI942" s="2352"/>
      <c r="AJ942" s="2352"/>
      <c r="AK942" s="235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6"/>
      <c r="N943" s="2267"/>
      <c r="O943" s="2267"/>
      <c r="P943" s="2267"/>
      <c r="Q943" s="2267"/>
      <c r="R943" s="2267"/>
      <c r="S943" s="2268"/>
      <c r="U943" s="103" t="s">
        <v>14</v>
      </c>
      <c r="V943" s="77"/>
      <c r="W943" s="77"/>
      <c r="X943" s="77"/>
      <c r="Y943" s="77"/>
      <c r="Z943" s="77"/>
      <c r="AA943" s="77"/>
      <c r="AB943" s="77"/>
      <c r="AC943" s="77"/>
      <c r="AD943" s="78"/>
      <c r="AE943" s="2266"/>
      <c r="AF943" s="2267"/>
      <c r="AG943" s="2267"/>
      <c r="AH943" s="2267"/>
      <c r="AI943" s="2267"/>
      <c r="AJ943" s="2267"/>
      <c r="AK943" s="22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4"/>
      <c r="N944" s="2043"/>
      <c r="O944" s="2043"/>
      <c r="P944" s="2043"/>
      <c r="Q944" s="2043"/>
      <c r="R944" s="2043"/>
      <c r="S944" s="2315"/>
      <c r="U944" s="103" t="s">
        <v>15</v>
      </c>
      <c r="V944" s="77"/>
      <c r="W944" s="77"/>
      <c r="X944" s="77"/>
      <c r="Y944" s="77"/>
      <c r="Z944" s="77"/>
      <c r="AA944" s="77"/>
      <c r="AB944" s="77"/>
      <c r="AC944" s="77"/>
      <c r="AD944" s="78"/>
      <c r="AE944" s="2314"/>
      <c r="AF944" s="2043"/>
      <c r="AG944" s="2043"/>
      <c r="AH944" s="2043"/>
      <c r="AI944" s="2043"/>
      <c r="AJ944" s="2043"/>
      <c r="AK944" s="23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4"/>
      <c r="N945" s="2043"/>
      <c r="O945" s="2043"/>
      <c r="P945" s="2043"/>
      <c r="Q945" s="2043"/>
      <c r="R945" s="2043"/>
      <c r="S945" s="2315"/>
      <c r="U945" s="103" t="s">
        <v>16</v>
      </c>
      <c r="V945" s="77"/>
      <c r="W945" s="77"/>
      <c r="X945" s="77"/>
      <c r="Y945" s="77"/>
      <c r="Z945" s="77"/>
      <c r="AA945" s="77"/>
      <c r="AB945" s="77"/>
      <c r="AC945" s="77"/>
      <c r="AD945" s="78"/>
      <c r="AE945" s="2314"/>
      <c r="AF945" s="2043"/>
      <c r="AG945" s="2043"/>
      <c r="AH945" s="2043"/>
      <c r="AI945" s="2043"/>
      <c r="AJ945" s="2043"/>
      <c r="AK945" s="23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48"/>
      <c r="N946" s="2349"/>
      <c r="O946" s="2349"/>
      <c r="P946" s="2349"/>
      <c r="Q946" s="2349"/>
      <c r="R946" s="2349"/>
      <c r="S946" s="2350"/>
      <c r="U946" s="103" t="s">
        <v>604</v>
      </c>
      <c r="V946" s="77"/>
      <c r="W946" s="77"/>
      <c r="X946" s="77"/>
      <c r="Y946" s="77"/>
      <c r="Z946" s="77"/>
      <c r="AA946" s="77"/>
      <c r="AB946" s="77"/>
      <c r="AC946" s="77"/>
      <c r="AD946" s="78"/>
      <c r="AE946" s="2348"/>
      <c r="AF946" s="2349"/>
      <c r="AG946" s="2349"/>
      <c r="AH946" s="2349"/>
      <c r="AI946" s="2349"/>
      <c r="AJ946" s="2349"/>
      <c r="AK946" s="23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3"/>
      <c r="N951" s="2324"/>
      <c r="O951" s="2324"/>
      <c r="P951" s="2324"/>
      <c r="Q951" s="2324"/>
      <c r="R951" s="2324"/>
      <c r="S951" s="2325"/>
      <c r="T951" s="103" t="s">
        <v>847</v>
      </c>
      <c r="U951" s="77"/>
      <c r="V951" s="77"/>
      <c r="W951" s="77"/>
      <c r="X951" s="77"/>
      <c r="Y951" s="77"/>
      <c r="Z951" s="78"/>
      <c r="AA951" s="2323"/>
      <c r="AB951" s="2324"/>
      <c r="AC951" s="2324"/>
      <c r="AD951" s="2324"/>
      <c r="AE951" s="2324"/>
      <c r="AF951" s="2324"/>
      <c r="AG951" s="23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3"/>
      <c r="N952" s="2324"/>
      <c r="O952" s="2324"/>
      <c r="P952" s="2324"/>
      <c r="Q952" s="2324"/>
      <c r="R952" s="2324"/>
      <c r="S952" s="2325"/>
      <c r="T952" s="103" t="s">
        <v>846</v>
      </c>
      <c r="U952" s="77"/>
      <c r="V952" s="77"/>
      <c r="W952" s="77"/>
      <c r="X952" s="77"/>
      <c r="Y952" s="77"/>
      <c r="Z952" s="78"/>
      <c r="AA952" s="2323"/>
      <c r="AB952" s="2324"/>
      <c r="AC952" s="2324"/>
      <c r="AD952" s="2324"/>
      <c r="AE952" s="2324"/>
      <c r="AF952" s="2324"/>
      <c r="AG952" s="23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3" t="s">
        <v>625</v>
      </c>
      <c r="N953" s="2334"/>
      <c r="O953" s="2334"/>
      <c r="P953" s="2334"/>
      <c r="Q953" s="2334"/>
      <c r="R953" s="2334"/>
      <c r="S953" s="2335"/>
      <c r="T953" s="76" t="s">
        <v>346</v>
      </c>
      <c r="U953" s="77"/>
      <c r="V953" s="77"/>
      <c r="W953" s="77"/>
      <c r="X953" s="77"/>
      <c r="Y953" s="77"/>
      <c r="Z953" s="78"/>
      <c r="AA953" s="2323"/>
      <c r="AB953" s="2324"/>
      <c r="AC953" s="2324"/>
      <c r="AD953" s="2324"/>
      <c r="AE953" s="2324"/>
      <c r="AF953" s="2324"/>
      <c r="AG953" s="23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3"/>
      <c r="N954" s="2324"/>
      <c r="O954" s="2324"/>
      <c r="P954" s="2324"/>
      <c r="Q954" s="2324"/>
      <c r="R954" s="2324"/>
      <c r="S954" s="2325"/>
      <c r="T954" s="76" t="s">
        <v>347</v>
      </c>
      <c r="U954" s="77"/>
      <c r="V954" s="77"/>
      <c r="W954" s="77"/>
      <c r="X954" s="77"/>
      <c r="Y954" s="77"/>
      <c r="Z954" s="78"/>
      <c r="AA954" s="2323"/>
      <c r="AB954" s="2324"/>
      <c r="AC954" s="2324"/>
      <c r="AD954" s="2324"/>
      <c r="AE954" s="2324"/>
      <c r="AF954" s="2324"/>
      <c r="AG954" s="23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3"/>
      <c r="N955" s="2324"/>
      <c r="O955" s="2324"/>
      <c r="P955" s="2324"/>
      <c r="Q955" s="2324"/>
      <c r="R955" s="2324"/>
      <c r="S955" s="2325"/>
      <c r="T955" s="76" t="s">
        <v>394</v>
      </c>
      <c r="U955" s="77"/>
      <c r="V955" s="77"/>
      <c r="W955" s="77"/>
      <c r="X955" s="77"/>
      <c r="Y955" s="77"/>
      <c r="Z955" s="78"/>
      <c r="AA955" s="2323"/>
      <c r="AB955" s="2324"/>
      <c r="AC955" s="2324"/>
      <c r="AD955" s="2324"/>
      <c r="AE955" s="2324"/>
      <c r="AF955" s="2324"/>
      <c r="AG955" s="23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6" t="s">
        <v>316</v>
      </c>
      <c r="N956" s="2337"/>
      <c r="O956" s="2337"/>
      <c r="P956" s="2337"/>
      <c r="Q956" s="2337"/>
      <c r="R956" s="2337"/>
      <c r="S956" s="2338"/>
      <c r="T956" s="2326"/>
      <c r="U956" s="2327"/>
      <c r="V956" s="2327"/>
      <c r="W956" s="2327"/>
      <c r="X956" s="2327"/>
      <c r="Y956" s="2327"/>
      <c r="Z956" s="2328"/>
      <c r="AA956" s="2323"/>
      <c r="AB956" s="2324"/>
      <c r="AC956" s="2324"/>
      <c r="AD956" s="2324"/>
      <c r="AE956" s="2324"/>
      <c r="AF956" s="2324"/>
      <c r="AG956" s="23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3"/>
      <c r="N957" s="2324"/>
      <c r="O957" s="2324"/>
      <c r="P957" s="2324"/>
      <c r="Q957" s="2324"/>
      <c r="R957" s="2324"/>
      <c r="S957" s="2325"/>
      <c r="T957" s="2326"/>
      <c r="U957" s="2327"/>
      <c r="V957" s="2327"/>
      <c r="W957" s="2327"/>
      <c r="X957" s="2327"/>
      <c r="Y957" s="2327"/>
      <c r="Z957" s="2328"/>
      <c r="AA957" s="2323"/>
      <c r="AB957" s="2324"/>
      <c r="AC957" s="2324"/>
      <c r="AD957" s="2324"/>
      <c r="AE957" s="2324"/>
      <c r="AF957" s="2324"/>
      <c r="AG957" s="23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1" t="s">
        <v>705</v>
      </c>
      <c r="P958" s="2112"/>
      <c r="Q958" s="139"/>
      <c r="R958" s="139"/>
      <c r="S958" s="140"/>
      <c r="T958" s="71" t="s">
        <v>175</v>
      </c>
      <c r="U958" s="72"/>
      <c r="V958" s="72"/>
      <c r="W958" s="2303" t="s">
        <v>343</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23"/>
      <c r="N959" s="2324"/>
      <c r="O959" s="2324"/>
      <c r="P959" s="2324"/>
      <c r="Q959" s="2324"/>
      <c r="R959" s="2324"/>
      <c r="S959" s="2325"/>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6" t="s">
        <v>580</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3"/>
      <c r="BH965" s="2313"/>
      <c r="BI965" s="2313"/>
      <c r="BJ965" s="2313"/>
      <c r="BK965" s="2313"/>
      <c r="BL965" s="231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86" t="s">
        <v>672</v>
      </c>
      <c r="E968" s="2487"/>
      <c r="F968" s="2487"/>
      <c r="G968" s="2487"/>
      <c r="H968" s="2487"/>
      <c r="I968" s="2487"/>
      <c r="J968" s="2487"/>
      <c r="K968" s="2487"/>
      <c r="L968" s="2487"/>
      <c r="M968" s="2487"/>
      <c r="N968" s="2487"/>
      <c r="O968" s="2487"/>
      <c r="P968" s="2487"/>
      <c r="Q968" s="2488"/>
      <c r="R968" s="2486" t="s">
        <v>673</v>
      </c>
      <c r="S968" s="2487"/>
      <c r="T968" s="2487"/>
      <c r="U968" s="2487"/>
      <c r="V968" s="2487"/>
      <c r="W968" s="2487"/>
      <c r="X968" s="2487"/>
      <c r="Y968" s="2487"/>
      <c r="Z968" s="2487"/>
      <c r="AA968" s="2488"/>
      <c r="AB968" s="2486" t="s">
        <v>674</v>
      </c>
      <c r="AC968" s="2487"/>
      <c r="AD968" s="2487"/>
      <c r="AE968" s="2487"/>
      <c r="AF968" s="2487"/>
      <c r="AG968" s="2487"/>
      <c r="AH968" s="2487"/>
      <c r="AI968" s="2488"/>
      <c r="AJ968" s="2486" t="s">
        <v>675</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77" t="s">
        <v>667</v>
      </c>
      <c r="E969" s="2378"/>
      <c r="F969" s="2378"/>
      <c r="G969" s="2378"/>
      <c r="H969" s="2378"/>
      <c r="I969" s="2378"/>
      <c r="J969" s="2378"/>
      <c r="K969" s="2378"/>
      <c r="L969" s="2378"/>
      <c r="M969" s="2378"/>
      <c r="N969" s="2378"/>
      <c r="O969" s="2378"/>
      <c r="P969" s="2378"/>
      <c r="Q969" s="2379"/>
      <c r="R969" s="2358">
        <f>IF(ISNA(IF($BN$799="4%",(INDEX($BP$809:$BT$866,MATCH($CB$799,$BO$809:$BO$866,0),MATCH(D969,$BP$808:$BT$808,0))),(INDEX($BW$809:$CA$866,MATCH($CB$799,$BV$809:$BV$866,0),MATCH(D969,$BW$808:$CA$808,0))))),0,IF($BN$799="4%",(INDEX($BP$809:$BT$866,MATCH($CB$799,$BO$809:$BO$866,0),MATCH(D969,$BP$808:$BT$808,0))),(INDEX($BW$809:$CA$866,MATCH($CB$799,$BV$809:$BV$866,0),MATCH(D969,$BW$808:$CA$808,0)))))</f>
        <v>327289</v>
      </c>
      <c r="S969" s="2358"/>
      <c r="T969" s="2358"/>
      <c r="U969" s="2358"/>
      <c r="V969" s="2358"/>
      <c r="W969" s="2358"/>
      <c r="X969" s="2358"/>
      <c r="Y969" s="2358"/>
      <c r="Z969" s="2358"/>
      <c r="AA969" s="2358"/>
      <c r="AB969" s="2489">
        <f>BN663</f>
        <v>0</v>
      </c>
      <c r="AC969" s="2490"/>
      <c r="AD969" s="2490"/>
      <c r="AE969" s="2490"/>
      <c r="AF969" s="2490"/>
      <c r="AG969" s="2490"/>
      <c r="AH969" s="2490"/>
      <c r="AI969" s="2491"/>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77" t="s">
        <v>334</v>
      </c>
      <c r="E970" s="2378"/>
      <c r="F970" s="2378"/>
      <c r="G970" s="2378"/>
      <c r="H970" s="2378"/>
      <c r="I970" s="2378"/>
      <c r="J970" s="2378"/>
      <c r="K970" s="2378"/>
      <c r="L970" s="2378"/>
      <c r="M970" s="2378"/>
      <c r="N970" s="2378"/>
      <c r="O970" s="2378"/>
      <c r="P970" s="2378"/>
      <c r="Q970" s="2379"/>
      <c r="R970" s="2358">
        <f>IF(ISNA(IF($BN$799="4%",(INDEX($BP$809:$BT$866,MATCH($CB$799,$BO$809:$BO$866,0),MATCH(D970,$BP$808:$BT$808,0))),(INDEX($BW$809:$CA$866,MATCH($CB$799,$BV$809:$BV$866,0),MATCH(D970,$BW$808:$CA$808,0))))),0,IF($BN$799="4%",(INDEX($BP$809:$BT$866,MATCH($CB$799,$BO$809:$BO$866,0),MATCH(D970,$BP$808:$BT$808,0))),(INDEX($BW$809:$CA$866,MATCH($CB$799,$BV$809:$BV$866,0),MATCH(D970,$BW$808:$CA$808,0)))))</f>
        <v>377361</v>
      </c>
      <c r="S970" s="2358"/>
      <c r="T970" s="2358"/>
      <c r="U970" s="2358"/>
      <c r="V970" s="2358"/>
      <c r="W970" s="2358"/>
      <c r="X970" s="2358"/>
      <c r="Y970" s="2358"/>
      <c r="Z970" s="2358"/>
      <c r="AA970" s="2358"/>
      <c r="AB970" s="2489">
        <f>BS663</f>
        <v>0</v>
      </c>
      <c r="AC970" s="2490"/>
      <c r="AD970" s="2490"/>
      <c r="AE970" s="2490"/>
      <c r="AF970" s="2490"/>
      <c r="AG970" s="2490"/>
      <c r="AH970" s="2490"/>
      <c r="AI970" s="2491"/>
      <c r="AJ970" s="2383">
        <f>IF(ISERROR((R970*AB970)),0,(R970*AB970))</f>
        <v>0</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7" t="s">
        <v>168</v>
      </c>
      <c r="E971" s="2378"/>
      <c r="F971" s="2378"/>
      <c r="G971" s="2378"/>
      <c r="H971" s="2378"/>
      <c r="I971" s="2378"/>
      <c r="J971" s="2378"/>
      <c r="K971" s="2378"/>
      <c r="L971" s="2378"/>
      <c r="M971" s="2378"/>
      <c r="N971" s="2378"/>
      <c r="O971" s="2378"/>
      <c r="P971" s="2378"/>
      <c r="Q971" s="2379"/>
      <c r="R971" s="2358">
        <f>IF(ISNA(IF($BN$799="4%",(INDEX($BP$809:$BT$866,MATCH($CB$799,$BO$809:$BO$866,0),MATCH(D971,$BP$808:$BT$808,0))),(INDEX($BW$809:$CA$866,MATCH($CB$799,$BV$809:$BV$866,0),MATCH(D971,$BW$808:$CA$808,0))))),0,IF($BN$799="4%",(INDEX($BP$809:$BT$866,MATCH($CB$799,$BO$809:$BO$866,0),MATCH(D971,$BP$808:$BT$808,0))),(INDEX($BW$809:$CA$866,MATCH($CB$799,$BV$809:$BV$866,0),MATCH(D971,$BW$808:$CA$808,0)))))</f>
        <v>455200</v>
      </c>
      <c r="S971" s="2358"/>
      <c r="T971" s="2358"/>
      <c r="U971" s="2358"/>
      <c r="V971" s="2358"/>
      <c r="W971" s="2358"/>
      <c r="X971" s="2358"/>
      <c r="Y971" s="2358"/>
      <c r="Z971" s="2358"/>
      <c r="AA971" s="2358"/>
      <c r="AB971" s="2489">
        <f>BX663</f>
        <v>6</v>
      </c>
      <c r="AC971" s="2490"/>
      <c r="AD971" s="2490"/>
      <c r="AE971" s="2490"/>
      <c r="AF971" s="2490"/>
      <c r="AG971" s="2490"/>
      <c r="AH971" s="2490"/>
      <c r="AI971" s="2491"/>
      <c r="AJ971" s="2383">
        <f>IF(ISERROR((R971*AB971)),0,(R971*AB971))</f>
        <v>2731200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77" t="s">
        <v>169</v>
      </c>
      <c r="E972" s="2378"/>
      <c r="F972" s="2378"/>
      <c r="G972" s="2378"/>
      <c r="H972" s="2378"/>
      <c r="I972" s="2378"/>
      <c r="J972" s="2378"/>
      <c r="K972" s="2378"/>
      <c r="L972" s="2378"/>
      <c r="M972" s="2378"/>
      <c r="N972" s="2378"/>
      <c r="O972" s="2378"/>
      <c r="P972" s="2378"/>
      <c r="Q972" s="2379"/>
      <c r="R972" s="2358">
        <f>IF(ISNA(IF($BN$799="4%",(INDEX($BP$809:$BT$866,MATCH($CB$799,$BO$809:$BO$866,0),MATCH(D972,$BP$808:$BT$808,0))),(INDEX($BW$809:$CA$866,MATCH($CB$799,$BV$809:$BV$866,0),MATCH(D972,$BW$808:$CA$808,0))))),0,IF($BN$799="4%",(INDEX($BP$809:$BT$866,MATCH($CB$799,$BO$809:$BO$866,0),MATCH(D972,$BP$808:$BT$808,0))),(INDEX($BW$809:$CA$866,MATCH($CB$799,$BV$809:$BV$866,0),MATCH(D972,$BW$808:$CA$808,0)))))</f>
        <v>582656</v>
      </c>
      <c r="S972" s="2358"/>
      <c r="T972" s="2358"/>
      <c r="U972" s="2358"/>
      <c r="V972" s="2358"/>
      <c r="W972" s="2358"/>
      <c r="X972" s="2358"/>
      <c r="Y972" s="2358"/>
      <c r="Z972" s="2358"/>
      <c r="AA972" s="2358"/>
      <c r="AB972" s="2489">
        <f>CC663</f>
        <v>64</v>
      </c>
      <c r="AC972" s="2490"/>
      <c r="AD972" s="2490"/>
      <c r="AE972" s="2490"/>
      <c r="AF972" s="2490"/>
      <c r="AG972" s="2490"/>
      <c r="AH972" s="2490"/>
      <c r="AI972" s="2491"/>
      <c r="AJ972" s="2383">
        <f>IF(ISERROR((R972*AB972)),0,(R972*AB972))</f>
        <v>37289984</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7" t="s">
        <v>492</v>
      </c>
      <c r="E973" s="2378"/>
      <c r="F973" s="2378"/>
      <c r="G973" s="2378"/>
      <c r="H973" s="2378"/>
      <c r="I973" s="2378"/>
      <c r="J973" s="2378"/>
      <c r="K973" s="2378"/>
      <c r="L973" s="2378"/>
      <c r="M973" s="2378"/>
      <c r="N973" s="2378"/>
      <c r="O973" s="2378"/>
      <c r="P973" s="2378"/>
      <c r="Q973" s="2379"/>
      <c r="R973" s="2358">
        <f>IF(ISNA(IF($BN$799="4%",(INDEX($BP$809:$BT$866,MATCH($CB$799,$BO$809:$BO$866,0),MATCH(D973,$BP$808:$BT$808,0))),(INDEX($BW$809:$CA$866,MATCH($CB$799,$BV$809:$BV$866,0),MATCH(D973,$BW$808:$CA$808,0))))),0,IF($BN$799="4%",(INDEX($BP$809:$BT$866,MATCH($CB$799,$BO$809:$BO$866,0),MATCH(D973,$BP$808:$BT$808,0))),(INDEX($BW$809:$CA$866,MATCH($CB$799,$BV$809:$BV$866,0),MATCH(D973,$BW$808:$CA$808,0)))))</f>
        <v>649115</v>
      </c>
      <c r="S973" s="2358"/>
      <c r="T973" s="2358"/>
      <c r="U973" s="2358"/>
      <c r="V973" s="2358"/>
      <c r="W973" s="2358"/>
      <c r="X973" s="2358"/>
      <c r="Y973" s="2358"/>
      <c r="Z973" s="2358"/>
      <c r="AA973" s="2358"/>
      <c r="AB973" s="2489">
        <f>CM663+CH663</f>
        <v>0</v>
      </c>
      <c r="AC973" s="2490"/>
      <c r="AD973" s="2490"/>
      <c r="AE973" s="2490"/>
      <c r="AF973" s="2490"/>
      <c r="AG973" s="2490"/>
      <c r="AH973" s="2490"/>
      <c r="AI973" s="2491"/>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0" t="s">
        <v>848</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89">
        <f>SUM(AB969:AI973)</f>
        <v>70</v>
      </c>
      <c r="AC974" s="2490"/>
      <c r="AD974" s="2490"/>
      <c r="AE974" s="2490"/>
      <c r="AF974" s="2490"/>
      <c r="AG974" s="2490"/>
      <c r="AH974" s="2490"/>
      <c r="AI974" s="2491"/>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43" t="s">
        <v>544</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3">
        <f>SUM(AJ969:AQ973)</f>
        <v>40021184</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6" t="s">
        <v>702</v>
      </c>
      <c r="AG976" s="2547"/>
      <c r="AH976" s="2547"/>
      <c r="AI976" s="2548"/>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2" t="s">
        <v>1430</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49" t="s">
        <v>705</v>
      </c>
      <c r="AH977" s="2550"/>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3" t="s">
        <v>1431</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74"/>
      <c r="AK978" s="2146"/>
      <c r="AL978" s="2146"/>
      <c r="AM978" s="2146"/>
      <c r="AN978" s="2146"/>
      <c r="AO978" s="2146"/>
      <c r="AP978" s="2146"/>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1530</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13" t="s">
        <v>1528</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74"/>
      <c r="AK981" s="2146"/>
      <c r="AL981" s="2146"/>
      <c r="AM981" s="2146"/>
      <c r="AN981" s="2146"/>
      <c r="AO981" s="2146"/>
      <c r="AP981" s="2146"/>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74"/>
      <c r="AK982" s="2146"/>
      <c r="AL982" s="2146"/>
      <c r="AM982" s="2146"/>
      <c r="AN982" s="2146"/>
      <c r="AO982" s="2146"/>
      <c r="AP982" s="2146"/>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74"/>
      <c r="AK983" s="2146"/>
      <c r="AL983" s="2146"/>
      <c r="AM983" s="2146"/>
      <c r="AN983" s="2146"/>
      <c r="AO983" s="2146"/>
      <c r="AP983" s="2146"/>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74"/>
      <c r="AK984" s="2146"/>
      <c r="AL984" s="2146"/>
      <c r="AM984" s="2146"/>
      <c r="AN984" s="2146"/>
      <c r="AO984" s="2146"/>
      <c r="AP984" s="2146"/>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4" t="s">
        <v>2171</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705</v>
      </c>
      <c r="AH986" s="2447"/>
      <c r="AI986" s="125"/>
      <c r="AJ986" s="2471">
        <f>ROUND(IF(AG986="yes",AJ975*0.1,0),0)</f>
        <v>0</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1529</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6"/>
      <c r="AL987" s="2146"/>
      <c r="AM987" s="2146"/>
      <c r="AN987" s="2146"/>
      <c r="AO987" s="2146"/>
      <c r="AP987" s="2146"/>
      <c r="AQ987" s="2475"/>
      <c r="AR987" s="1583"/>
      <c r="AS987" s="1583"/>
      <c r="AT987" s="1583"/>
      <c r="AU987" s="1583"/>
      <c r="AV987" s="1583"/>
      <c r="AW987" s="1583"/>
      <c r="AX987" s="1583"/>
      <c r="AY987" s="1583"/>
      <c r="AZ987" s="61"/>
      <c r="BA987" s="1612">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6"/>
      <c r="AL988" s="2146"/>
      <c r="AM988" s="2146"/>
      <c r="AN988" s="2146"/>
      <c r="AO988" s="2146"/>
      <c r="AP988" s="2146"/>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4" t="s">
        <v>1531</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1532</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4" t="s">
        <v>1533</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7" t="s">
        <v>1534</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6"/>
      <c r="AL993" s="2146"/>
      <c r="AM993" s="2146"/>
      <c r="AN993" s="2146"/>
      <c r="AO993" s="2146"/>
      <c r="AP993" s="2146"/>
      <c r="AQ993" s="247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75" customHeight="1">
      <c r="A995" s="51"/>
      <c r="B995" s="117"/>
      <c r="C995" s="118" t="s">
        <v>224</v>
      </c>
      <c r="D995" s="2482" t="s">
        <v>1535</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705</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7" t="s">
        <v>1536</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6"/>
      <c r="AL996" s="2146"/>
      <c r="AM996" s="2146"/>
      <c r="AN996" s="2146"/>
      <c r="AO996" s="2146"/>
      <c r="AP996" s="2146"/>
      <c r="AQ996" s="2475"/>
      <c r="AR996" s="1583"/>
      <c r="AS996" s="1583"/>
      <c r="AT996" s="1583"/>
      <c r="AU996" s="1583"/>
      <c r="AV996" s="1583"/>
      <c r="AW996" s="1583"/>
      <c r="AX996" s="1583"/>
      <c r="AY996" s="1583"/>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6"/>
      <c r="AL997" s="2146"/>
      <c r="AM997" s="2146"/>
      <c r="AN997" s="2146"/>
      <c r="AO997" s="2146"/>
      <c r="AP997" s="2146"/>
      <c r="AQ997" s="2475"/>
      <c r="AR997" s="1583"/>
      <c r="AS997" s="1583"/>
      <c r="AT997" s="1583"/>
      <c r="AU997" s="1583"/>
      <c r="AV997" s="1583"/>
      <c r="AW997" s="1583"/>
      <c r="AX997" s="1583"/>
      <c r="AY997" s="1583"/>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v>
      </c>
    </row>
    <row r="999" spans="1:96" s="719" customFormat="1" ht="15" customHeight="1">
      <c r="A999" s="51"/>
      <c r="B999" s="117"/>
      <c r="C999" s="118" t="s">
        <v>229</v>
      </c>
      <c r="D999" s="2534" t="s">
        <v>1537</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6" t="s">
        <v>705</v>
      </c>
      <c r="AH999" s="2447"/>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3.2">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75" customHeight="1">
      <c r="A1001" s="51"/>
      <c r="B1001" s="119"/>
      <c r="C1001" s="122"/>
      <c r="D1001" s="2437" t="s">
        <v>1538</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0" t="s">
        <v>625</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4" t="s">
        <v>1539</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577</v>
      </c>
      <c r="AH1004" s="2447"/>
      <c r="AI1004" s="125"/>
      <c r="AJ1004" s="2501">
        <f>+'Sources and Uses Budget'!C85</f>
        <v>726675</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75" customHeight="1">
      <c r="A1005" s="51"/>
      <c r="B1005" s="110"/>
      <c r="C1005" s="111"/>
      <c r="D1005" s="2437" t="s">
        <v>2178</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75" customHeight="1">
      <c r="A1008" s="51"/>
      <c r="B1008" s="117"/>
      <c r="C1008" s="118" t="s">
        <v>240</v>
      </c>
      <c r="D1008" s="2482" t="s">
        <v>1540</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705</v>
      </c>
      <c r="AH1008" s="2447"/>
      <c r="AI1008" s="125"/>
      <c r="AJ1008" s="2471">
        <f>ROUND(IF(AG1008="yes",(AJ975*0.1),0),0)</f>
        <v>0</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75" customHeight="1">
      <c r="A1009" s="51"/>
      <c r="B1009" s="110"/>
      <c r="C1009" s="111"/>
      <c r="D1009" s="2437" t="s">
        <v>1541</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6"/>
      <c r="AL1009" s="2146"/>
      <c r="AM1009" s="2146"/>
      <c r="AN1009" s="2146"/>
      <c r="AO1009" s="2146"/>
      <c r="AP1009" s="2146"/>
      <c r="AQ1009" s="2475"/>
      <c r="AR1009" s="1583"/>
      <c r="AS1009" s="1583"/>
      <c r="AT1009" s="1583"/>
      <c r="AU1009" s="1583"/>
      <c r="AV1009" s="1583"/>
      <c r="AW1009" s="1583"/>
      <c r="AX1009" s="1583"/>
      <c r="AY1009" s="1583"/>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75" customHeight="1">
      <c r="A1011" s="51"/>
      <c r="B1011" s="110"/>
      <c r="C1011" s="531" t="s">
        <v>724</v>
      </c>
      <c r="D1011" s="2434" t="s">
        <v>2174</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75" customHeight="1">
      <c r="A1012" s="51"/>
      <c r="B1012" s="110"/>
      <c r="C1012" s="111"/>
      <c r="D1012" s="2465" t="s">
        <v>2175</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6"/>
      <c r="AL1012" s="2146"/>
      <c r="AM1012" s="2146"/>
      <c r="AN1012" s="2146"/>
      <c r="AO1012" s="2146"/>
      <c r="AP1012" s="2146"/>
      <c r="AQ1012" s="2475"/>
      <c r="AR1012" s="1583"/>
      <c r="AS1012" s="1583"/>
      <c r="AT1012" s="1583"/>
      <c r="AU1012" s="1583"/>
      <c r="AV1012" s="1583"/>
      <c r="AW1012" s="1583"/>
      <c r="AX1012" s="1583"/>
      <c r="AY1012" s="1583"/>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6"/>
      <c r="AL1013" s="2146"/>
      <c r="AM1013" s="2146"/>
      <c r="AN1013" s="2146"/>
      <c r="AO1013" s="2146"/>
      <c r="AP1013" s="2146"/>
      <c r="AQ1013" s="2475"/>
      <c r="AR1013" s="1583"/>
      <c r="AS1013" s="1583"/>
      <c r="AT1013" s="1583"/>
      <c r="AU1013" s="1583"/>
      <c r="AV1013" s="1583"/>
      <c r="AW1013" s="1583"/>
      <c r="AX1013" s="1583"/>
      <c r="AY1013" s="1583"/>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75" customHeight="1">
      <c r="A1015" s="51"/>
      <c r="B1015" s="110"/>
      <c r="C1015" s="531" t="s">
        <v>724</v>
      </c>
      <c r="D1015" s="2482" t="s">
        <v>2176</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705</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75" customHeight="1">
      <c r="A1016" s="51"/>
      <c r="B1016" s="110"/>
      <c r="C1016" s="111"/>
      <c r="D1016" s="2465" t="s">
        <v>2177</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6"/>
      <c r="AL1016" s="2146"/>
      <c r="AM1016" s="2146"/>
      <c r="AN1016" s="2146"/>
      <c r="AO1016" s="2146"/>
      <c r="AP1016" s="2146"/>
      <c r="AQ1016" s="2475"/>
      <c r="AR1016" s="1583"/>
      <c r="AS1016" s="1583"/>
      <c r="AT1016" s="1583"/>
      <c r="AU1016" s="1583"/>
      <c r="AV1016" s="1583"/>
      <c r="AW1016" s="1583"/>
      <c r="AX1016" s="1583"/>
      <c r="AY1016" s="1583"/>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6"/>
      <c r="AL1017" s="2146"/>
      <c r="AM1017" s="2146"/>
      <c r="AN1017" s="2146"/>
      <c r="AO1017" s="2146"/>
      <c r="AP1017" s="2146"/>
      <c r="AQ1017" s="2475"/>
      <c r="AR1017" s="1583"/>
      <c r="AS1017" s="1583"/>
      <c r="AT1017" s="1583"/>
      <c r="AU1017" s="1583"/>
      <c r="AV1017" s="1583"/>
      <c r="AW1017" s="1583"/>
      <c r="AX1017" s="1583"/>
      <c r="AY1017" s="1583"/>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6"/>
      <c r="AL1018" s="2146"/>
      <c r="AM1018" s="2146"/>
      <c r="AN1018" s="2146"/>
      <c r="AO1018" s="2146"/>
      <c r="AP1018" s="2146"/>
      <c r="AQ1018" s="2475"/>
      <c r="AR1018" s="1583"/>
      <c r="AS1018" s="1583"/>
      <c r="AT1018" s="1583"/>
      <c r="AU1018" s="1583"/>
      <c r="AV1018" s="1583"/>
      <c r="AW1018" s="1583"/>
      <c r="AX1018" s="1583"/>
      <c r="AY1018" s="1583"/>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6"/>
      <c r="AL1019" s="2146"/>
      <c r="AM1019" s="2146"/>
      <c r="AN1019" s="2146"/>
      <c r="AO1019" s="2146"/>
      <c r="AP1019" s="2146"/>
      <c r="AQ1019" s="2475"/>
      <c r="AR1019" s="1583"/>
      <c r="AS1019" s="1583"/>
      <c r="AT1019" s="1583"/>
      <c r="AU1019" s="1583"/>
      <c r="AV1019" s="1583"/>
      <c r="AW1019" s="1583"/>
      <c r="AX1019" s="1583"/>
      <c r="AY1019" s="1583"/>
      <c r="CR1019" s="25"/>
    </row>
    <row r="1020" spans="1:96" s="719" customFormat="1" ht="12.75" customHeight="1">
      <c r="A1020" s="51"/>
      <c r="B1020" s="117"/>
      <c r="C1020" s="198" t="s">
        <v>1116</v>
      </c>
      <c r="D1020" s="2434" t="s">
        <v>1542</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705</v>
      </c>
      <c r="AH1020" s="2447"/>
      <c r="AI1020" s="125"/>
      <c r="AJ1020" s="2471">
        <f>ROUND(IF(AG1020="yes",(AJ975*0.1),0),0)</f>
        <v>0</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75" customHeight="1">
      <c r="A1021" s="51"/>
      <c r="B1021" s="110"/>
      <c r="C1021" s="111"/>
      <c r="D1021" s="2437" t="s">
        <v>1543</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6"/>
      <c r="AL1021" s="2146"/>
      <c r="AM1021" s="2146"/>
      <c r="AN1021" s="2146"/>
      <c r="AO1021" s="2146"/>
      <c r="AP1021" s="2146"/>
      <c r="AQ1021" s="2475"/>
      <c r="AR1021" s="1583"/>
      <c r="AS1021" s="1583"/>
      <c r="AT1021" s="1583"/>
      <c r="AU1021" s="1583"/>
      <c r="AV1021" s="1583"/>
      <c r="AW1021" s="1583"/>
      <c r="AX1021" s="1583"/>
      <c r="AY1021" s="1583"/>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6"/>
      <c r="AL1022" s="2146"/>
      <c r="AM1022" s="2146"/>
      <c r="AN1022" s="2146"/>
      <c r="AO1022" s="2146"/>
      <c r="AP1022" s="2146"/>
      <c r="AQ1022" s="2475"/>
      <c r="AR1022" s="1583"/>
      <c r="AS1022" s="1583"/>
      <c r="AT1022" s="1583"/>
      <c r="AU1022" s="1583"/>
      <c r="AV1022" s="1583"/>
      <c r="AW1022" s="1583"/>
      <c r="AX1022" s="1583"/>
      <c r="AY1022" s="1583"/>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75" customHeight="1">
      <c r="A1024" s="51"/>
      <c r="B1024" s="117"/>
      <c r="C1024" s="198" t="s">
        <v>2172</v>
      </c>
      <c r="D1024" s="2482" t="s">
        <v>2393</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4002118.4000000004</v>
      </c>
      <c r="AK1024" s="2454"/>
      <c r="AL1024" s="2454"/>
      <c r="AM1024" s="2454"/>
      <c r="AN1024" s="2454"/>
      <c r="AO1024" s="2454"/>
      <c r="AP1024" s="2454"/>
      <c r="AQ1024" s="2455"/>
      <c r="AR1024" s="1583"/>
      <c r="AS1024" s="1583"/>
      <c r="AT1024" s="1583"/>
      <c r="AU1024" s="1583"/>
      <c r="AV1024" s="1583"/>
      <c r="AW1024" s="1583"/>
      <c r="AX1024" s="1583"/>
      <c r="AY1024" s="1583"/>
    </row>
    <row r="1025" spans="1:96" ht="12.75" customHeight="1">
      <c r="A1025" s="51"/>
      <c r="B1025" s="110"/>
      <c r="C1025" s="702"/>
      <c r="D1025" s="2437" t="s">
        <v>1545</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2">
        <f>BA987</f>
        <v>69</v>
      </c>
      <c r="J1027" s="2443"/>
      <c r="K1027" s="11"/>
      <c r="L1027" s="200"/>
      <c r="M1027" s="200"/>
      <c r="N1027" s="200"/>
      <c r="O1027" s="200"/>
      <c r="P1027" s="200"/>
      <c r="Q1027" s="200"/>
      <c r="R1027" s="200"/>
      <c r="S1027" s="200"/>
      <c r="T1027" s="200"/>
      <c r="U1027" s="200"/>
      <c r="V1027" s="201" t="s">
        <v>1051</v>
      </c>
      <c r="W1027" s="80"/>
      <c r="X1027" s="2440">
        <f>BG635</f>
        <v>7</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75" customHeight="1">
      <c r="A1028" s="51"/>
      <c r="B1028" s="117"/>
      <c r="C1028" s="198" t="s">
        <v>2173</v>
      </c>
      <c r="D1028" s="2434" t="s">
        <v>2394</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8004236.8000000007</v>
      </c>
      <c r="AK1028" s="2454"/>
      <c r="AL1028" s="2454"/>
      <c r="AM1028" s="2454"/>
      <c r="AN1028" s="2454"/>
      <c r="AO1028" s="2454"/>
      <c r="AP1028" s="2454"/>
      <c r="AQ1028" s="2455"/>
      <c r="AR1028" s="1583"/>
      <c r="AS1028" s="1583"/>
      <c r="AT1028" s="1583"/>
      <c r="AU1028" s="1583"/>
      <c r="AV1028" s="1583"/>
      <c r="AW1028" s="1583"/>
      <c r="AX1028" s="1583"/>
      <c r="AY1028" s="1583"/>
    </row>
    <row r="1029" spans="1:96" ht="12.75" customHeight="1">
      <c r="A1029" s="51"/>
      <c r="B1029" s="110"/>
      <c r="C1029" s="702"/>
      <c r="D1029" s="2437" t="s">
        <v>1544</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2">
        <f>BA987</f>
        <v>69</v>
      </c>
      <c r="J1031" s="2443"/>
      <c r="K1031" s="51"/>
      <c r="L1031" s="200"/>
      <c r="M1031" s="200"/>
      <c r="N1031" s="200"/>
      <c r="O1031" s="200"/>
      <c r="P1031" s="200"/>
      <c r="Q1031" s="200"/>
      <c r="R1031" s="200"/>
      <c r="S1031" s="200"/>
      <c r="T1031" s="200"/>
      <c r="U1031" s="200"/>
      <c r="V1031" s="201" t="s">
        <v>1052</v>
      </c>
      <c r="X1031" s="2440">
        <f>BK635</f>
        <v>7</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75" customHeight="1">
      <c r="A1032" s="51"/>
      <c r="B1032" s="158"/>
      <c r="C1032" s="159"/>
      <c r="D1032" s="2432" t="s">
        <v>545</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52754214.200000003</v>
      </c>
      <c r="AK1032" s="2463"/>
      <c r="AL1032" s="2463"/>
      <c r="AM1032" s="2463"/>
      <c r="AN1032" s="2463"/>
      <c r="AO1032" s="2463"/>
      <c r="AP1032" s="2463"/>
      <c r="AQ1032" s="246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1931</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5"/>
      <c r="Y1035" s="2395"/>
      <c r="Z1035" s="2395"/>
      <c r="AA1035" s="2395"/>
      <c r="AB1035" s="2395"/>
      <c r="AC1035" s="2395"/>
      <c r="AD1035" s="2126">
        <f>R971</f>
        <v>455200</v>
      </c>
      <c r="AE1035" s="2127"/>
      <c r="AF1035" s="2127"/>
      <c r="AG1035" s="2127"/>
      <c r="AH1035" s="2127"/>
      <c r="AI1035" s="2127"/>
      <c r="AJ1035" s="2127"/>
      <c r="AK1035" s="212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6"/>
      <c r="Y1036" s="2396"/>
      <c r="Z1036" s="2396"/>
      <c r="AA1036" s="2396"/>
      <c r="AB1036" s="2396"/>
      <c r="AC1036" s="2396"/>
      <c r="AD1036" s="2146">
        <f>MEDIAN((BR809:BR866))</f>
        <v>364800</v>
      </c>
      <c r="AE1036" s="2146"/>
      <c r="AF1036" s="2146"/>
      <c r="AG1036" s="2146"/>
      <c r="AH1036" s="2146"/>
      <c r="AI1036" s="2146"/>
      <c r="AJ1036" s="2146"/>
      <c r="AK1036" s="214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8" t="s">
        <v>1933</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6"/>
      <c r="AA1037" s="1416"/>
      <c r="AB1037" s="1416"/>
      <c r="AC1037" s="1416"/>
      <c r="AD1037" s="2123">
        <f>IF(((AD1035-AD1036)/AD1036)&gt;0.3,0.3,((AD1035-AD1036)/AD1036))</f>
        <v>0.24780701754385964</v>
      </c>
      <c r="AE1037" s="2124"/>
      <c r="AF1037" s="2124"/>
      <c r="AG1037" s="2124"/>
      <c r="AH1037" s="2124"/>
      <c r="AI1037" s="2124"/>
      <c r="AJ1037" s="2124"/>
      <c r="AK1037" s="212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4" t="s">
        <v>851</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625</v>
      </c>
      <c r="B1044" s="2038"/>
      <c r="C1044" s="13">
        <v>1</v>
      </c>
      <c r="D1044" s="1883" t="s">
        <v>1222</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8" t="s">
        <v>625</v>
      </c>
      <c r="B1050" s="2038"/>
      <c r="C1050" s="13">
        <v>2</v>
      </c>
      <c r="D1050" s="1883" t="s">
        <v>1221</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625</v>
      </c>
      <c r="B1056" s="2038"/>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625</v>
      </c>
      <c r="B1063" s="2038"/>
      <c r="C1063" s="13">
        <v>4</v>
      </c>
      <c r="D1063" s="1883" t="s">
        <v>1207</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8" t="s">
        <v>625</v>
      </c>
      <c r="B1066" s="2038"/>
      <c r="C1066" s="13">
        <v>5</v>
      </c>
      <c r="D1066" s="1883" t="s">
        <v>1416</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625</v>
      </c>
      <c r="B1071" s="2038"/>
      <c r="C1071" s="13">
        <v>6</v>
      </c>
      <c r="D1071" s="1883" t="s">
        <v>1208</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625</v>
      </c>
      <c r="B1074" s="2038"/>
      <c r="C1074" s="318">
        <v>7</v>
      </c>
      <c r="D1074" s="1883" t="s">
        <v>1210</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625</v>
      </c>
      <c r="B1078" s="2038"/>
      <c r="C1078" s="318">
        <v>8</v>
      </c>
      <c r="D1078" s="2394" t="s">
        <v>2168</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 customHeight="1">
      <c r="A1079" s="235"/>
      <c r="B1079" s="235"/>
      <c r="C1079" s="318"/>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 customHeight="1">
      <c r="A1080" s="235"/>
      <c r="B1080" s="235"/>
      <c r="C1080" s="318"/>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2" customHeight="1">
      <c r="A1081" s="62"/>
      <c r="B1081" s="66"/>
      <c r="C1081" s="318"/>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 customHeight="1">
      <c r="A1082" s="2038" t="s">
        <v>625</v>
      </c>
      <c r="B1082" s="2038"/>
      <c r="C1082" s="318">
        <v>9</v>
      </c>
      <c r="D1082" s="1883" t="s">
        <v>1209</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CS613:CW613"/>
    <mergeCell ref="CX610:DB61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N362:O362"/>
    <mergeCell ref="S391:U391"/>
    <mergeCell ref="M356:N356"/>
    <mergeCell ref="R410:S410"/>
    <mergeCell ref="Q388:U388"/>
    <mergeCell ref="P346:Z346"/>
    <mergeCell ref="AJ356:AK356"/>
    <mergeCell ref="AA337:AK337"/>
    <mergeCell ref="M354:N35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H316:R316"/>
    <mergeCell ref="L275:S275"/>
    <mergeCell ref="L277:Q277"/>
    <mergeCell ref="AA295:AK295"/>
    <mergeCell ref="AA288:AK288"/>
    <mergeCell ref="AA306:AF306"/>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A297:AK297"/>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C532:AF532"/>
    <mergeCell ref="AG400:AJ400"/>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M573:AS573"/>
    <mergeCell ref="AM568:AS568"/>
    <mergeCell ref="AC554:AF554"/>
    <mergeCell ref="AE574:AH574"/>
    <mergeCell ref="AM574:AS574"/>
    <mergeCell ref="AM566:AS566"/>
    <mergeCell ref="B576:AL576"/>
    <mergeCell ref="T575:V575"/>
    <mergeCell ref="AM575:AS575"/>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N628:BR628"/>
    <mergeCell ref="BG628:BH628"/>
    <mergeCell ref="BI628:BJ628"/>
    <mergeCell ref="BK628:BL628"/>
    <mergeCell ref="BS628:BW628"/>
    <mergeCell ref="BX628:CB628"/>
    <mergeCell ref="BX626:CB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BS630:BW630"/>
    <mergeCell ref="BI627:BJ627"/>
    <mergeCell ref="BK627:BL627"/>
    <mergeCell ref="BI626:BJ626"/>
    <mergeCell ref="BK626:BL626"/>
    <mergeCell ref="CC627:CG627"/>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AI570:AL570"/>
    <mergeCell ref="W569:Y569"/>
    <mergeCell ref="W570:Y570"/>
    <mergeCell ref="AI565:AL565"/>
    <mergeCell ref="AE566:AH566"/>
    <mergeCell ref="C568:P568"/>
    <mergeCell ref="AE568:AH568"/>
    <mergeCell ref="AI568:AL568"/>
    <mergeCell ref="T567:V567"/>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58:CG658"/>
    <mergeCell ref="CH658:CL658"/>
    <mergeCell ref="AM572:AS572"/>
    <mergeCell ref="AD494:AH494"/>
    <mergeCell ref="AC514:AF514"/>
    <mergeCell ref="AH512:AK512"/>
    <mergeCell ref="Q501:R502"/>
    <mergeCell ref="AC531:AF531"/>
    <mergeCell ref="AC533:AF533"/>
    <mergeCell ref="Q500:AK500"/>
    <mergeCell ref="Q505:AK505"/>
    <mergeCell ref="T571:V571"/>
    <mergeCell ref="T572:V572"/>
    <mergeCell ref="AM563:AS563"/>
    <mergeCell ref="AH515:AK515"/>
    <mergeCell ref="AH554:AK554"/>
    <mergeCell ref="W566:Y566"/>
    <mergeCell ref="AI564:AL564"/>
    <mergeCell ref="AI566:AL566"/>
    <mergeCell ref="W568:Y568"/>
    <mergeCell ref="Q564:S564"/>
    <mergeCell ref="Q569:S569"/>
    <mergeCell ref="Q570:S570"/>
    <mergeCell ref="Q565:S565"/>
    <mergeCell ref="AC539:AF539"/>
    <mergeCell ref="AC535:AF535"/>
    <mergeCell ref="AC515:AF515"/>
    <mergeCell ref="AH531:AK531"/>
    <mergeCell ref="AC543:AF543"/>
    <mergeCell ref="AH543:AK543"/>
    <mergeCell ref="AH516:AK516"/>
    <mergeCell ref="AH529:AK529"/>
    <mergeCell ref="AH533:AK533"/>
    <mergeCell ref="AC529:AF529"/>
    <mergeCell ref="G580:R580"/>
    <mergeCell ref="Q567:S567"/>
    <mergeCell ref="Q568:S568"/>
    <mergeCell ref="AE573:AH573"/>
    <mergeCell ref="W571:Y571"/>
    <mergeCell ref="AE571:AH571"/>
    <mergeCell ref="AH544:AK544"/>
    <mergeCell ref="AH527:AK527"/>
    <mergeCell ref="AC528:AF528"/>
    <mergeCell ref="T568:V568"/>
    <mergeCell ref="T569:V569"/>
    <mergeCell ref="W572:Y572"/>
    <mergeCell ref="W573:Y573"/>
    <mergeCell ref="W574:Y574"/>
    <mergeCell ref="W575:Y575"/>
    <mergeCell ref="B526:H528"/>
    <mergeCell ref="AE575:AH575"/>
    <mergeCell ref="W564:Y564"/>
    <mergeCell ref="W565:Y565"/>
    <mergeCell ref="Z568:AD568"/>
    <mergeCell ref="Z567:AD567"/>
    <mergeCell ref="AC541:AF541"/>
    <mergeCell ref="AH539:AK539"/>
    <mergeCell ref="O544:AA544"/>
    <mergeCell ref="AC549:AF549"/>
    <mergeCell ref="W563:Y563"/>
    <mergeCell ref="AC548:AF548"/>
    <mergeCell ref="AC538:AF538"/>
    <mergeCell ref="AH551:AK551"/>
    <mergeCell ref="AC544:AF544"/>
    <mergeCell ref="AC545:AF545"/>
    <mergeCell ref="AH545:AK545"/>
    <mergeCell ref="AI573:AL573"/>
    <mergeCell ref="C564:P564"/>
    <mergeCell ref="C565:P56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T570:V570"/>
    <mergeCell ref="Z571:AD571"/>
    <mergeCell ref="O532:AA532"/>
    <mergeCell ref="AI567:AL567"/>
    <mergeCell ref="AC516:AF516"/>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B532:H554"/>
    <mergeCell ref="Q563:S563"/>
    <mergeCell ref="W567:Y567"/>
    <mergeCell ref="AH534:AK534"/>
    <mergeCell ref="AH528:AK528"/>
    <mergeCell ref="AC519:AF519"/>
    <mergeCell ref="AH519:AK519"/>
    <mergeCell ref="AC530:AF530"/>
    <mergeCell ref="AH536:AK536"/>
    <mergeCell ref="AH537:AK537"/>
    <mergeCell ref="AH532:AK532"/>
    <mergeCell ref="T564:V564"/>
    <mergeCell ref="B563:P563"/>
    <mergeCell ref="C569:P569"/>
    <mergeCell ref="C570:P570"/>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C520:AF520"/>
    <mergeCell ref="Y489:AC489"/>
    <mergeCell ref="T484:X485"/>
    <mergeCell ref="Y487:AC487"/>
    <mergeCell ref="AH547:AK547"/>
    <mergeCell ref="AH542:AK542"/>
    <mergeCell ref="AH553:AK553"/>
    <mergeCell ref="AC547:AF547"/>
    <mergeCell ref="AE563:AH563"/>
    <mergeCell ref="Z563:AD563"/>
    <mergeCell ref="AC546:AF546"/>
    <mergeCell ref="AC542:AF542"/>
    <mergeCell ref="O538:AA538"/>
    <mergeCell ref="AH546:AK546"/>
    <mergeCell ref="AH541:AK541"/>
    <mergeCell ref="T563:V56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Z574:AD574"/>
    <mergeCell ref="Z575:AD575"/>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B73" zoomScale="85" zoomScaleNormal="100" zoomScaleSheetLayoutView="85" workbookViewId="0"/>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830000</v>
      </c>
      <c r="C4" s="217">
        <v>830000</v>
      </c>
      <c r="D4" s="217"/>
      <c r="E4" s="217"/>
      <c r="F4" s="217">
        <f>+C4</f>
        <v>830000</v>
      </c>
      <c r="G4" s="217"/>
      <c r="H4" s="217"/>
      <c r="I4" s="217"/>
      <c r="J4" s="217"/>
      <c r="K4" s="217"/>
      <c r="L4" s="217"/>
      <c r="M4" s="217"/>
      <c r="N4" s="217"/>
      <c r="O4" s="217"/>
      <c r="P4" s="217"/>
      <c r="Q4" s="217"/>
      <c r="R4" s="879">
        <f>SUM(E4:Q4)</f>
        <v>830000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25000</v>
      </c>
      <c r="C6" s="217">
        <v>25000</v>
      </c>
      <c r="D6" s="217"/>
      <c r="E6" s="217"/>
      <c r="F6" s="217">
        <f>+C6</f>
        <v>25000</v>
      </c>
      <c r="G6" s="217"/>
      <c r="H6" s="217"/>
      <c r="I6" s="217"/>
      <c r="J6" s="217"/>
      <c r="K6" s="217"/>
      <c r="L6" s="217"/>
      <c r="M6" s="217"/>
      <c r="N6" s="217"/>
      <c r="O6" s="217"/>
      <c r="P6" s="217"/>
      <c r="Q6" s="217"/>
      <c r="R6" s="879">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855000</v>
      </c>
      <c r="C8" s="216">
        <f t="shared" ref="C8:Q8" si="0">SUM(C4:C7)</f>
        <v>855000</v>
      </c>
      <c r="D8" s="216">
        <f t="shared" si="0"/>
        <v>0</v>
      </c>
      <c r="E8" s="216">
        <f t="shared" si="0"/>
        <v>0</v>
      </c>
      <c r="F8" s="216">
        <f t="shared" si="0"/>
        <v>855000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855000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175000</v>
      </c>
      <c r="C10" s="217">
        <v>175000</v>
      </c>
      <c r="D10" s="217"/>
      <c r="E10" s="217"/>
      <c r="F10" s="217">
        <f>+C10</f>
        <v>175000</v>
      </c>
      <c r="G10" s="217"/>
      <c r="H10" s="217"/>
      <c r="I10" s="217"/>
      <c r="J10" s="217"/>
      <c r="K10" s="217"/>
      <c r="L10" s="217"/>
      <c r="M10" s="217"/>
      <c r="N10" s="217"/>
      <c r="O10" s="217"/>
      <c r="P10" s="217"/>
      <c r="Q10" s="217"/>
      <c r="R10" s="879">
        <f>SUM(E10:Q10)</f>
        <v>175000</v>
      </c>
      <c r="S10" s="217">
        <f>+R10</f>
        <v>175000</v>
      </c>
      <c r="T10" s="217"/>
      <c r="U10" s="213"/>
    </row>
    <row r="11" spans="1:21" s="214" customFormat="1" ht="12">
      <c r="A11" s="219" t="s">
        <v>630</v>
      </c>
      <c r="B11" s="216">
        <f>SUM(C11:D11)</f>
        <v>175000</v>
      </c>
      <c r="C11" s="216">
        <f t="shared" ref="C11:Q11" si="1">SUM(C9:C10)</f>
        <v>175000</v>
      </c>
      <c r="D11" s="216">
        <f t="shared" si="1"/>
        <v>0</v>
      </c>
      <c r="E11" s="216">
        <f t="shared" si="1"/>
        <v>0</v>
      </c>
      <c r="F11" s="216">
        <f t="shared" si="1"/>
        <v>175000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175000</v>
      </c>
      <c r="S11" s="218"/>
      <c r="T11" s="220">
        <f>SUM(T9:T10)</f>
        <v>0</v>
      </c>
      <c r="U11" s="213"/>
    </row>
    <row r="12" spans="1:21" s="214" customFormat="1" ht="12">
      <c r="A12" s="219" t="s">
        <v>89</v>
      </c>
      <c r="B12" s="216">
        <f t="shared" ref="B12:Q12" si="2">SUM(B8+B11)</f>
        <v>1030000</v>
      </c>
      <c r="C12" s="216">
        <f t="shared" si="2"/>
        <v>1030000</v>
      </c>
      <c r="D12" s="216">
        <f t="shared" si="2"/>
        <v>0</v>
      </c>
      <c r="E12" s="216">
        <f t="shared" si="2"/>
        <v>0</v>
      </c>
      <c r="F12" s="216">
        <f t="shared" si="2"/>
        <v>1030000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1030000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500000</v>
      </c>
      <c r="C29" s="217">
        <v>500000</v>
      </c>
      <c r="D29" s="217"/>
      <c r="E29" s="217"/>
      <c r="F29" s="217">
        <f>+C29</f>
        <v>500000</v>
      </c>
      <c r="G29" s="217"/>
      <c r="H29" s="217"/>
      <c r="I29" s="217"/>
      <c r="J29" s="217"/>
      <c r="K29" s="217"/>
      <c r="L29" s="217"/>
      <c r="M29" s="217"/>
      <c r="N29" s="217"/>
      <c r="O29" s="217"/>
      <c r="P29" s="217"/>
      <c r="Q29" s="217"/>
      <c r="R29" s="879">
        <f t="shared" ref="R29:R37" si="7">SUM(E29:Q29)</f>
        <v>500000</v>
      </c>
      <c r="S29" s="217">
        <f>+R29</f>
        <v>500000</v>
      </c>
      <c r="T29" s="217"/>
      <c r="U29" s="213"/>
    </row>
    <row r="30" spans="1:21" s="214" customFormat="1">
      <c r="A30" s="215" t="s">
        <v>633</v>
      </c>
      <c r="B30" s="216">
        <f t="shared" si="6"/>
        <v>14500000</v>
      </c>
      <c r="C30" s="217">
        <v>14500000</v>
      </c>
      <c r="D30" s="217"/>
      <c r="E30" s="217">
        <f>12732175.1726695-E99</f>
        <v>10996813.259448387</v>
      </c>
      <c r="F30" s="217">
        <f>+C30-E30</f>
        <v>3503186.7405516133</v>
      </c>
      <c r="G30" s="217"/>
      <c r="H30" s="217"/>
      <c r="I30" s="217"/>
      <c r="J30" s="217"/>
      <c r="K30" s="217"/>
      <c r="L30" s="217"/>
      <c r="M30" s="217"/>
      <c r="N30" s="217"/>
      <c r="O30" s="217"/>
      <c r="P30" s="217"/>
      <c r="Q30" s="217"/>
      <c r="R30" s="879">
        <f t="shared" si="7"/>
        <v>14500000</v>
      </c>
      <c r="S30" s="217">
        <f>+R30</f>
        <v>14500000</v>
      </c>
      <c r="T30" s="217"/>
      <c r="U30" s="213"/>
    </row>
    <row r="31" spans="1:21" s="214" customFormat="1">
      <c r="A31" s="215" t="s">
        <v>634</v>
      </c>
      <c r="B31" s="216">
        <f t="shared" si="6"/>
        <v>1062250</v>
      </c>
      <c r="C31" s="217">
        <v>1062250</v>
      </c>
      <c r="D31" s="217"/>
      <c r="E31" s="217"/>
      <c r="F31" s="217">
        <f t="shared" ref="F31:F33" si="8">+C31</f>
        <v>1062250</v>
      </c>
      <c r="G31" s="217"/>
      <c r="H31" s="217"/>
      <c r="I31" s="217"/>
      <c r="J31" s="217"/>
      <c r="K31" s="217"/>
      <c r="L31" s="217"/>
      <c r="M31" s="217"/>
      <c r="N31" s="217"/>
      <c r="O31" s="217"/>
      <c r="P31" s="217"/>
      <c r="Q31" s="217"/>
      <c r="R31" s="879">
        <f t="shared" si="7"/>
        <v>1062250</v>
      </c>
      <c r="S31" s="217">
        <f>+R31</f>
        <v>1062250</v>
      </c>
      <c r="T31" s="217"/>
      <c r="U31" s="213"/>
    </row>
    <row r="32" spans="1:21" s="214" customFormat="1">
      <c r="A32" s="215" t="s">
        <v>142</v>
      </c>
      <c r="B32" s="216">
        <f t="shared" si="6"/>
        <v>531125</v>
      </c>
      <c r="C32" s="217">
        <v>531125</v>
      </c>
      <c r="D32" s="217"/>
      <c r="E32" s="217"/>
      <c r="F32" s="217">
        <f t="shared" si="8"/>
        <v>531125</v>
      </c>
      <c r="G32" s="217"/>
      <c r="H32" s="217"/>
      <c r="I32" s="217"/>
      <c r="J32" s="217"/>
      <c r="K32" s="217"/>
      <c r="L32" s="217"/>
      <c r="M32" s="217"/>
      <c r="N32" s="217"/>
      <c r="O32" s="217"/>
      <c r="P32" s="217"/>
      <c r="Q32" s="217"/>
      <c r="R32" s="879">
        <f t="shared" si="7"/>
        <v>531125</v>
      </c>
      <c r="S32" s="217">
        <f>+R32</f>
        <v>531125</v>
      </c>
      <c r="T32" s="217"/>
      <c r="U32" s="213"/>
    </row>
    <row r="33" spans="1:21" s="214" customFormat="1">
      <c r="A33" s="215" t="s">
        <v>143</v>
      </c>
      <c r="B33" s="216">
        <f t="shared" si="6"/>
        <v>531125</v>
      </c>
      <c r="C33" s="217">
        <v>531125</v>
      </c>
      <c r="D33" s="217"/>
      <c r="E33" s="217"/>
      <c r="F33" s="217">
        <f t="shared" si="8"/>
        <v>531125</v>
      </c>
      <c r="G33" s="217"/>
      <c r="H33" s="217"/>
      <c r="I33" s="217"/>
      <c r="J33" s="217"/>
      <c r="K33" s="217"/>
      <c r="L33" s="217"/>
      <c r="M33" s="217"/>
      <c r="N33" s="217"/>
      <c r="O33" s="217"/>
      <c r="P33" s="217"/>
      <c r="Q33" s="217"/>
      <c r="R33" s="879">
        <f t="shared" si="7"/>
        <v>531125</v>
      </c>
      <c r="S33" s="217">
        <f>+R33</f>
        <v>531125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345990</v>
      </c>
      <c r="C35" s="217">
        <v>345990</v>
      </c>
      <c r="D35" s="217"/>
      <c r="E35" s="217"/>
      <c r="F35" s="217">
        <f>+C35</f>
        <v>345990</v>
      </c>
      <c r="G35" s="217"/>
      <c r="H35" s="217"/>
      <c r="I35" s="217"/>
      <c r="J35" s="217"/>
      <c r="K35" s="217"/>
      <c r="L35" s="217"/>
      <c r="M35" s="217"/>
      <c r="N35" s="217"/>
      <c r="O35" s="217"/>
      <c r="P35" s="217"/>
      <c r="Q35" s="217"/>
      <c r="R35" s="879">
        <f t="shared" si="7"/>
        <v>345990</v>
      </c>
      <c r="S35" s="217">
        <f>+R35</f>
        <v>345990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2">
      <c r="A38" s="219" t="s">
        <v>148</v>
      </c>
      <c r="B38" s="216">
        <f t="shared" si="6"/>
        <v>17470490</v>
      </c>
      <c r="C38" s="216">
        <f>SUM(C29:C37)</f>
        <v>17470490</v>
      </c>
      <c r="D38" s="216">
        <f t="shared" ref="D38:Q38" si="9">SUM(D29:D37)</f>
        <v>0</v>
      </c>
      <c r="E38" s="216">
        <f t="shared" si="9"/>
        <v>10996813.259448387</v>
      </c>
      <c r="F38" s="216">
        <f t="shared" si="9"/>
        <v>6473676.7405516133</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17470490</v>
      </c>
      <c r="S38" s="220">
        <f>SUM(S29:S37)</f>
        <v>17470490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f>525000+25000</f>
        <v>550000</v>
      </c>
      <c r="D40" s="217"/>
      <c r="E40" s="217"/>
      <c r="F40" s="217">
        <f>+C40</f>
        <v>550000</v>
      </c>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550000</v>
      </c>
      <c r="C42" s="216">
        <f>SUM(C39:C41)</f>
        <v>550000</v>
      </c>
      <c r="D42" s="216">
        <f>SUM(D39:D41)</f>
        <v>0</v>
      </c>
      <c r="E42" s="216">
        <f t="shared" ref="E42:T42" si="10">SUM(E40:E41)</f>
        <v>0</v>
      </c>
      <c r="F42" s="216">
        <f t="shared" si="10"/>
        <v>550000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550000</v>
      </c>
      <c r="S42" s="220">
        <f t="shared" si="10"/>
        <v>550000</v>
      </c>
      <c r="T42" s="220">
        <f t="shared" si="10"/>
        <v>0</v>
      </c>
      <c r="U42" s="213"/>
    </row>
    <row r="43" spans="1:21" s="214" customFormat="1" ht="12">
      <c r="A43" s="219" t="s">
        <v>153</v>
      </c>
      <c r="B43" s="216">
        <f>SUM(C43:D43)</f>
        <v>190000</v>
      </c>
      <c r="C43" s="217">
        <f>150000+20000+20000</f>
        <v>190000</v>
      </c>
      <c r="D43" s="217"/>
      <c r="E43" s="217"/>
      <c r="F43" s="217">
        <f>+C43</f>
        <v>190000</v>
      </c>
      <c r="G43" s="217"/>
      <c r="H43" s="217"/>
      <c r="I43" s="217"/>
      <c r="J43" s="217"/>
      <c r="K43" s="217"/>
      <c r="L43" s="217"/>
      <c r="M43" s="217"/>
      <c r="N43" s="217"/>
      <c r="O43" s="217"/>
      <c r="P43" s="217"/>
      <c r="Q43" s="217"/>
      <c r="R43" s="879">
        <f>SUM(E43:Q43)</f>
        <v>190000</v>
      </c>
      <c r="S43" s="217">
        <f>+R43</f>
        <v>190000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931026.05898876255</v>
      </c>
      <c r="C45" s="217">
        <v>931026.05898876255</v>
      </c>
      <c r="D45" s="217"/>
      <c r="E45" s="217"/>
      <c r="F45" s="217">
        <f t="shared" ref="F45:F46" si="12">+C45</f>
        <v>931026.05898876255</v>
      </c>
      <c r="G45" s="217"/>
      <c r="H45" s="217"/>
      <c r="I45" s="217"/>
      <c r="J45" s="217"/>
      <c r="K45" s="217"/>
      <c r="L45" s="217"/>
      <c r="M45" s="217"/>
      <c r="N45" s="217"/>
      <c r="O45" s="217"/>
      <c r="P45" s="217"/>
      <c r="Q45" s="217"/>
      <c r="R45" s="879">
        <f t="shared" ref="R45:R53" si="13">SUM(E45:Q45)</f>
        <v>931026.05898876255</v>
      </c>
      <c r="S45" s="217">
        <v>558615.63539325749</v>
      </c>
      <c r="T45" s="217"/>
      <c r="U45" s="213"/>
    </row>
    <row r="46" spans="1:21" s="214" customFormat="1">
      <c r="A46" s="215" t="s">
        <v>156</v>
      </c>
      <c r="B46" s="216">
        <f t="shared" si="11"/>
        <v>222560.26067415692</v>
      </c>
      <c r="C46" s="217">
        <v>222560.26067415692</v>
      </c>
      <c r="D46" s="217"/>
      <c r="E46" s="217"/>
      <c r="F46" s="217">
        <f t="shared" si="12"/>
        <v>222560.26067415692</v>
      </c>
      <c r="G46" s="217"/>
      <c r="H46" s="217"/>
      <c r="I46" s="217"/>
      <c r="J46" s="217"/>
      <c r="K46" s="217"/>
      <c r="L46" s="217"/>
      <c r="M46" s="217"/>
      <c r="N46" s="217"/>
      <c r="O46" s="217"/>
      <c r="P46" s="217"/>
      <c r="Q46" s="217"/>
      <c r="R46" s="879">
        <f t="shared" si="13"/>
        <v>222560.26067415692</v>
      </c>
      <c r="S46" s="217">
        <f>+R46</f>
        <v>222560.26067415692</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1"/>
        <v>125622.94</v>
      </c>
      <c r="C48" s="217">
        <v>125622.94</v>
      </c>
      <c r="D48" s="217"/>
      <c r="E48" s="217"/>
      <c r="F48" s="217">
        <f t="shared" ref="F48:F53" si="14">+C48</f>
        <v>125622.94</v>
      </c>
      <c r="G48" s="217"/>
      <c r="H48" s="217"/>
      <c r="I48" s="217"/>
      <c r="J48" s="217"/>
      <c r="K48" s="217"/>
      <c r="L48" s="217"/>
      <c r="M48" s="217"/>
      <c r="N48" s="217"/>
      <c r="O48" s="217"/>
      <c r="P48" s="217"/>
      <c r="Q48" s="217"/>
      <c r="R48" s="879">
        <f t="shared" si="13"/>
        <v>125622.94</v>
      </c>
      <c r="S48" s="217">
        <f>+R48</f>
        <v>125622.94</v>
      </c>
      <c r="T48" s="217"/>
      <c r="U48" s="213"/>
    </row>
    <row r="49" spans="1:21" s="214" customFormat="1">
      <c r="A49" s="215" t="s">
        <v>60</v>
      </c>
      <c r="B49" s="216">
        <f t="shared" si="11"/>
        <v>249559.32363636349</v>
      </c>
      <c r="C49" s="217">
        <v>249559.32363636349</v>
      </c>
      <c r="D49" s="217"/>
      <c r="E49" s="217"/>
      <c r="F49" s="217">
        <f t="shared" si="14"/>
        <v>249559.32363636349</v>
      </c>
      <c r="G49" s="217"/>
      <c r="H49" s="217"/>
      <c r="I49" s="217"/>
      <c r="J49" s="217"/>
      <c r="K49" s="217"/>
      <c r="L49" s="217"/>
      <c r="M49" s="217"/>
      <c r="N49" s="217"/>
      <c r="O49" s="217"/>
      <c r="P49" s="217"/>
      <c r="Q49" s="217"/>
      <c r="R49" s="879">
        <f t="shared" si="13"/>
        <v>249559.32363636349</v>
      </c>
      <c r="S49" s="217"/>
      <c r="T49" s="217"/>
      <c r="U49" s="213"/>
    </row>
    <row r="50" spans="1:21" s="214" customFormat="1">
      <c r="A50" s="215" t="s">
        <v>161</v>
      </c>
      <c r="B50" s="216">
        <f t="shared" si="11"/>
        <v>50000</v>
      </c>
      <c r="C50" s="217">
        <v>50000</v>
      </c>
      <c r="D50" s="217"/>
      <c r="E50" s="217"/>
      <c r="F50" s="217">
        <f t="shared" si="14"/>
        <v>50000</v>
      </c>
      <c r="G50" s="217"/>
      <c r="H50" s="217"/>
      <c r="I50" s="217"/>
      <c r="J50" s="217"/>
      <c r="K50" s="217"/>
      <c r="L50" s="217"/>
      <c r="M50" s="217"/>
      <c r="N50" s="217"/>
      <c r="O50" s="217"/>
      <c r="P50" s="217"/>
      <c r="Q50" s="217"/>
      <c r="R50" s="879">
        <f t="shared" si="13"/>
        <v>50000</v>
      </c>
      <c r="S50" s="217">
        <f t="shared" ref="S50:S52" si="15">+R50</f>
        <v>50000</v>
      </c>
      <c r="T50" s="217"/>
      <c r="U50" s="213"/>
    </row>
    <row r="51" spans="1:21" s="214" customFormat="1">
      <c r="A51" s="440" t="s">
        <v>159</v>
      </c>
      <c r="B51" s="216">
        <f t="shared" si="11"/>
        <v>19920</v>
      </c>
      <c r="C51" s="217">
        <v>19920</v>
      </c>
      <c r="D51" s="217"/>
      <c r="E51" s="217"/>
      <c r="F51" s="217">
        <f t="shared" si="14"/>
        <v>19920</v>
      </c>
      <c r="G51" s="217"/>
      <c r="H51" s="217"/>
      <c r="I51" s="217"/>
      <c r="J51" s="217"/>
      <c r="K51" s="217"/>
      <c r="L51" s="217"/>
      <c r="M51" s="217"/>
      <c r="N51" s="217"/>
      <c r="O51" s="217"/>
      <c r="P51" s="217"/>
      <c r="Q51" s="217"/>
      <c r="R51" s="879">
        <f t="shared" si="13"/>
        <v>19920</v>
      </c>
      <c r="S51" s="217">
        <f t="shared" si="15"/>
        <v>19920</v>
      </c>
      <c r="T51" s="217"/>
      <c r="U51" s="213"/>
    </row>
    <row r="52" spans="1:21" s="214" customFormat="1">
      <c r="A52" s="215" t="s">
        <v>160</v>
      </c>
      <c r="B52" s="216">
        <f t="shared" si="11"/>
        <v>176454.9</v>
      </c>
      <c r="C52" s="217">
        <v>176454.9</v>
      </c>
      <c r="D52" s="217"/>
      <c r="E52" s="217"/>
      <c r="F52" s="217">
        <f t="shared" si="14"/>
        <v>176454.9</v>
      </c>
      <c r="G52" s="217"/>
      <c r="H52" s="217"/>
      <c r="I52" s="217"/>
      <c r="J52" s="217"/>
      <c r="K52" s="217"/>
      <c r="L52" s="217"/>
      <c r="M52" s="217"/>
      <c r="N52" s="217"/>
      <c r="O52" s="217"/>
      <c r="P52" s="217"/>
      <c r="Q52" s="217"/>
      <c r="R52" s="879">
        <f t="shared" si="13"/>
        <v>176454.9</v>
      </c>
      <c r="S52" s="217">
        <f t="shared" si="15"/>
        <v>176454.9</v>
      </c>
      <c r="T52" s="217"/>
      <c r="U52" s="213"/>
    </row>
    <row r="53" spans="1:21" s="214" customFormat="1">
      <c r="A53" s="1857" t="s">
        <v>2626</v>
      </c>
      <c r="B53" s="216">
        <f t="shared" si="11"/>
        <v>25000</v>
      </c>
      <c r="C53" s="217">
        <v>25000</v>
      </c>
      <c r="D53" s="217"/>
      <c r="E53" s="217"/>
      <c r="F53" s="217">
        <f t="shared" si="14"/>
        <v>25000</v>
      </c>
      <c r="G53" s="217"/>
      <c r="H53" s="217"/>
      <c r="I53" s="217"/>
      <c r="J53" s="217"/>
      <c r="K53" s="217"/>
      <c r="L53" s="217"/>
      <c r="M53" s="217"/>
      <c r="N53" s="217"/>
      <c r="O53" s="217"/>
      <c r="P53" s="217"/>
      <c r="Q53" s="217"/>
      <c r="R53" s="879">
        <f t="shared" si="13"/>
        <v>25000</v>
      </c>
      <c r="S53" s="217">
        <f>+R53</f>
        <v>25000</v>
      </c>
      <c r="T53" s="217"/>
      <c r="U53" s="213"/>
    </row>
    <row r="54" spans="1:21" s="224" customFormat="1" ht="12">
      <c r="A54" s="219" t="s">
        <v>162</v>
      </c>
      <c r="B54" s="220">
        <f>SUM(C54:D54)</f>
        <v>1800143.4832992828</v>
      </c>
      <c r="C54" s="220">
        <f t="shared" ref="C54:T54" si="16">SUM(C45:C53)</f>
        <v>1800143.4832992828</v>
      </c>
      <c r="D54" s="220">
        <f t="shared" si="16"/>
        <v>0</v>
      </c>
      <c r="E54" s="220">
        <f t="shared" si="16"/>
        <v>0</v>
      </c>
      <c r="F54" s="220">
        <f t="shared" si="16"/>
        <v>1800143.4832992828</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1800143.4832992828</v>
      </c>
      <c r="S54" s="220">
        <f t="shared" si="16"/>
        <v>1178173.7360674143</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45000</v>
      </c>
      <c r="C56" s="217">
        <v>45000</v>
      </c>
      <c r="D56" s="217"/>
      <c r="E56" s="217"/>
      <c r="F56" s="217">
        <f>+C56</f>
        <v>45000</v>
      </c>
      <c r="G56" s="217"/>
      <c r="H56" s="217"/>
      <c r="I56" s="217"/>
      <c r="J56" s="217"/>
      <c r="K56" s="217"/>
      <c r="L56" s="217"/>
      <c r="M56" s="217"/>
      <c r="N56" s="217"/>
      <c r="O56" s="217"/>
      <c r="P56" s="217"/>
      <c r="Q56" s="217"/>
      <c r="R56" s="879">
        <f t="shared" ref="R56:R61" si="18">SUM(E56:Q56)</f>
        <v>45000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7"/>
        <v>10000</v>
      </c>
      <c r="C58" s="217">
        <v>10000</v>
      </c>
      <c r="D58" s="217"/>
      <c r="E58" s="217"/>
      <c r="F58" s="217">
        <f>+C58</f>
        <v>10000</v>
      </c>
      <c r="G58" s="217"/>
      <c r="H58" s="217"/>
      <c r="I58" s="217"/>
      <c r="J58" s="217"/>
      <c r="K58" s="217"/>
      <c r="L58" s="217"/>
      <c r="M58" s="217"/>
      <c r="N58" s="217"/>
      <c r="O58" s="217"/>
      <c r="P58" s="217"/>
      <c r="Q58" s="217"/>
      <c r="R58" s="879">
        <f t="shared" si="18"/>
        <v>10000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9">
        <f t="shared" si="18"/>
        <v>0</v>
      </c>
      <c r="S60" s="218"/>
      <c r="T60" s="218"/>
      <c r="U60" s="213"/>
    </row>
    <row r="61" spans="1:21" s="214" customFormat="1">
      <c r="A61" s="1857" t="s">
        <v>2627</v>
      </c>
      <c r="B61" s="216">
        <f t="shared" si="17"/>
        <v>10000</v>
      </c>
      <c r="C61" s="1702">
        <v>10000</v>
      </c>
      <c r="D61" s="217"/>
      <c r="E61" s="217"/>
      <c r="F61" s="217">
        <f>+C61</f>
        <v>10000</v>
      </c>
      <c r="G61" s="217"/>
      <c r="H61" s="217"/>
      <c r="I61" s="217"/>
      <c r="J61" s="217"/>
      <c r="K61" s="217"/>
      <c r="L61" s="217"/>
      <c r="M61" s="217"/>
      <c r="N61" s="217"/>
      <c r="O61" s="217"/>
      <c r="P61" s="217"/>
      <c r="Q61" s="217"/>
      <c r="R61" s="879">
        <f t="shared" si="18"/>
        <v>10000</v>
      </c>
      <c r="S61" s="218"/>
      <c r="T61" s="218"/>
      <c r="U61" s="213"/>
    </row>
    <row r="62" spans="1:21" s="214" customFormat="1" ht="13.65" customHeight="1">
      <c r="A62" s="219" t="s">
        <v>309</v>
      </c>
      <c r="B62" s="216">
        <f>SUM(C62:D62)</f>
        <v>65000</v>
      </c>
      <c r="C62" s="216">
        <f t="shared" ref="C62:R62" si="19">SUM(C56:C61)</f>
        <v>65000</v>
      </c>
      <c r="D62" s="216">
        <f t="shared" si="19"/>
        <v>0</v>
      </c>
      <c r="E62" s="216">
        <f t="shared" si="19"/>
        <v>0</v>
      </c>
      <c r="F62" s="216">
        <f t="shared" si="19"/>
        <v>65000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65000</v>
      </c>
      <c r="S62" s="218"/>
      <c r="T62" s="218"/>
      <c r="U62" s="213"/>
    </row>
    <row r="63" spans="1:21" s="214" customFormat="1">
      <c r="A63" s="225" t="s">
        <v>310</v>
      </c>
      <c r="B63" s="216">
        <f t="shared" ref="B63:R63" si="20">SUM(B8+B11+B13+B14+B15+B26+B27+B38+B42+B43+B54+B62)</f>
        <v>21105633.483299281</v>
      </c>
      <c r="C63" s="216">
        <f t="shared" si="20"/>
        <v>21105633.483299281</v>
      </c>
      <c r="D63" s="216">
        <f t="shared" si="20"/>
        <v>0</v>
      </c>
      <c r="E63" s="216">
        <f t="shared" si="20"/>
        <v>10996813.259448387</v>
      </c>
      <c r="F63" s="216">
        <f t="shared" si="20"/>
        <v>10108820.223850897</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4">
        <f t="shared" si="20"/>
        <v>21105633.483299281</v>
      </c>
      <c r="S63" s="216">
        <f>SUM(S10+S13+S14+S15+S26+S27+S38+S42+S43+S54)</f>
        <v>19563663.736067414</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90000</v>
      </c>
      <c r="C65" s="217">
        <v>90000</v>
      </c>
      <c r="D65" s="217"/>
      <c r="E65" s="217"/>
      <c r="F65" s="217">
        <f>+C65</f>
        <v>90000</v>
      </c>
      <c r="G65" s="217"/>
      <c r="H65" s="217"/>
      <c r="I65" s="217"/>
      <c r="J65" s="217"/>
      <c r="K65" s="217"/>
      <c r="L65" s="217"/>
      <c r="M65" s="217"/>
      <c r="N65" s="217"/>
      <c r="O65" s="217"/>
      <c r="P65" s="217"/>
      <c r="Q65" s="217"/>
      <c r="R65" s="879">
        <f>SUM(E65:Q65)</f>
        <v>90000</v>
      </c>
      <c r="S65" s="217">
        <f>+R65</f>
        <v>90000</v>
      </c>
      <c r="T65" s="217"/>
      <c r="U65" s="213"/>
    </row>
    <row r="66" spans="1:21" s="214" customFormat="1" ht="24" customHeight="1">
      <c r="A66" s="440" t="s">
        <v>1994</v>
      </c>
      <c r="B66" s="216">
        <f t="shared" ref="B66:B69" si="21">SUM(C66+D66)</f>
        <v>0</v>
      </c>
      <c r="C66" s="217"/>
      <c r="D66" s="217"/>
      <c r="E66" s="217"/>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1995</v>
      </c>
      <c r="B67" s="216">
        <f t="shared" si="21"/>
        <v>0</v>
      </c>
      <c r="C67" s="217"/>
      <c r="D67" s="217"/>
      <c r="E67" s="217"/>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2001</v>
      </c>
      <c r="B68" s="216">
        <f t="shared" si="21"/>
        <v>0</v>
      </c>
      <c r="C68" s="217"/>
      <c r="D68" s="217"/>
      <c r="E68" s="217"/>
      <c r="F68" s="217"/>
      <c r="G68" s="217"/>
      <c r="H68" s="217"/>
      <c r="I68" s="217"/>
      <c r="J68" s="217"/>
      <c r="K68" s="217"/>
      <c r="L68" s="217"/>
      <c r="M68" s="217"/>
      <c r="N68" s="217"/>
      <c r="O68" s="217"/>
      <c r="P68" s="217"/>
      <c r="Q68" s="217"/>
      <c r="R68" s="879">
        <f t="shared" si="22"/>
        <v>0</v>
      </c>
      <c r="S68" s="217"/>
      <c r="T68" s="217"/>
      <c r="U68" s="213"/>
    </row>
    <row r="69" spans="1:21" s="214" customFormat="1">
      <c r="A69" s="1857" t="s">
        <v>2628</v>
      </c>
      <c r="B69" s="216">
        <f t="shared" si="21"/>
        <v>80000</v>
      </c>
      <c r="C69" s="217">
        <v>80000</v>
      </c>
      <c r="D69" s="217"/>
      <c r="E69" s="217"/>
      <c r="F69" s="217">
        <f>+C69</f>
        <v>80000</v>
      </c>
      <c r="G69" s="217"/>
      <c r="H69" s="217"/>
      <c r="I69" s="217"/>
      <c r="J69" s="217"/>
      <c r="K69" s="217"/>
      <c r="L69" s="217"/>
      <c r="M69" s="217"/>
      <c r="N69" s="217"/>
      <c r="O69" s="217"/>
      <c r="P69" s="217"/>
      <c r="Q69" s="217"/>
      <c r="R69" s="879">
        <f>SUM(E69:Q69)</f>
        <v>80000</v>
      </c>
      <c r="S69" s="217"/>
      <c r="T69" s="217"/>
      <c r="U69" s="213"/>
    </row>
    <row r="70" spans="1:21" s="214" customFormat="1" ht="12">
      <c r="A70" s="219" t="s">
        <v>1998</v>
      </c>
      <c r="B70" s="216">
        <f>SUM(C70:D70)</f>
        <v>170000</v>
      </c>
      <c r="C70" s="216">
        <f>SUM(C65:C69)</f>
        <v>170000</v>
      </c>
      <c r="D70" s="216">
        <f>SUM(D65:D69)</f>
        <v>0</v>
      </c>
      <c r="E70" s="216">
        <f t="shared" ref="E70:T70" si="23">SUM(E65:E69)</f>
        <v>0</v>
      </c>
      <c r="F70" s="216">
        <f t="shared" si="23"/>
        <v>170000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170000</v>
      </c>
      <c r="S70" s="220">
        <f t="shared" si="23"/>
        <v>90000</v>
      </c>
      <c r="T70" s="220">
        <f t="shared" si="23"/>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313327.30434782611</v>
      </c>
      <c r="C75" s="217">
        <v>313327.30434782611</v>
      </c>
      <c r="D75" s="217"/>
      <c r="E75" s="217"/>
      <c r="F75" s="217">
        <f>+C75</f>
        <v>313327.30434782611</v>
      </c>
      <c r="G75" s="217"/>
      <c r="H75" s="217"/>
      <c r="I75" s="217"/>
      <c r="J75" s="217"/>
      <c r="K75" s="217"/>
      <c r="L75" s="217"/>
      <c r="M75" s="217"/>
      <c r="N75" s="217"/>
      <c r="O75" s="217"/>
      <c r="P75" s="217"/>
      <c r="Q75" s="217"/>
      <c r="R75" s="879">
        <f>SUM(E75:Q75)</f>
        <v>313327.30434782611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640</v>
      </c>
      <c r="B77" s="216">
        <f>SUM(C77:D77)</f>
        <v>313327.30434782611</v>
      </c>
      <c r="C77" s="216">
        <f>SUM(C72:C76)</f>
        <v>313327.30434782611</v>
      </c>
      <c r="D77" s="216">
        <f>SUM(D72:D76)</f>
        <v>0</v>
      </c>
      <c r="E77" s="216">
        <f t="shared" ref="E77:Q77" si="24">SUM(E72:E76)</f>
        <v>0</v>
      </c>
      <c r="F77" s="216">
        <f t="shared" si="24"/>
        <v>313327.30434782611</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313327.30434782611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888555.64700000011</v>
      </c>
      <c r="C79" s="217">
        <v>888555.64700000011</v>
      </c>
      <c r="D79" s="217"/>
      <c r="E79" s="217"/>
      <c r="F79" s="217">
        <f t="shared" ref="F79:F80" si="25">+C79</f>
        <v>888555.64700000011</v>
      </c>
      <c r="G79" s="217"/>
      <c r="H79" s="217"/>
      <c r="I79" s="217"/>
      <c r="J79" s="217"/>
      <c r="K79" s="217"/>
      <c r="L79" s="217"/>
      <c r="M79" s="217"/>
      <c r="N79" s="217"/>
      <c r="O79" s="217"/>
      <c r="P79" s="217"/>
      <c r="Q79" s="217"/>
      <c r="R79" s="879">
        <f>SUM(E79:Q79)</f>
        <v>888555.64700000011</v>
      </c>
      <c r="S79" s="217">
        <f>+R79</f>
        <v>888555.64700000011</v>
      </c>
      <c r="T79" s="217"/>
      <c r="U79" s="213"/>
    </row>
    <row r="80" spans="1:21" s="214" customFormat="1">
      <c r="A80" s="440" t="s">
        <v>61</v>
      </c>
      <c r="B80" s="216">
        <f>SUM(C80:D80)</f>
        <v>51000</v>
      </c>
      <c r="C80" s="217">
        <v>51000</v>
      </c>
      <c r="D80" s="217"/>
      <c r="E80" s="217"/>
      <c r="F80" s="217">
        <f t="shared" si="25"/>
        <v>51000</v>
      </c>
      <c r="G80" s="217"/>
      <c r="H80" s="217"/>
      <c r="I80" s="217"/>
      <c r="J80" s="217"/>
      <c r="K80" s="217"/>
      <c r="L80" s="217"/>
      <c r="M80" s="217"/>
      <c r="N80" s="217"/>
      <c r="O80" s="217"/>
      <c r="P80" s="217"/>
      <c r="Q80" s="217"/>
      <c r="R80" s="879">
        <f>SUM(E80:Q80)</f>
        <v>51000</v>
      </c>
      <c r="S80" s="217">
        <f>+R80</f>
        <v>51000</v>
      </c>
      <c r="T80" s="217"/>
      <c r="U80" s="213"/>
    </row>
    <row r="81" spans="1:21" s="214" customFormat="1" ht="12">
      <c r="A81" s="219" t="s">
        <v>1418</v>
      </c>
      <c r="B81" s="216">
        <f>SUM(C81:D81)</f>
        <v>939555.64700000011</v>
      </c>
      <c r="C81" s="859">
        <f>SUM(C79:C80)</f>
        <v>939555.64700000011</v>
      </c>
      <c r="D81" s="859">
        <f t="shared" ref="D81:T81" si="26">SUM(D79:D80)</f>
        <v>0</v>
      </c>
      <c r="E81" s="859">
        <f t="shared" si="26"/>
        <v>0</v>
      </c>
      <c r="F81" s="859">
        <f t="shared" si="26"/>
        <v>939555.64700000011</v>
      </c>
      <c r="G81" s="859">
        <f t="shared" si="26"/>
        <v>0</v>
      </c>
      <c r="H81" s="859">
        <f t="shared" si="26"/>
        <v>0</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939555.64700000011</v>
      </c>
      <c r="S81" s="859">
        <f t="shared" si="26"/>
        <v>939555.64700000011</v>
      </c>
      <c r="T81" s="859">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7">SUM(C83+D83)</f>
        <v>0</v>
      </c>
      <c r="C83" s="217"/>
      <c r="D83" s="217"/>
      <c r="E83" s="217"/>
      <c r="F83" s="217"/>
      <c r="G83" s="217"/>
      <c r="H83" s="217"/>
      <c r="I83" s="217"/>
      <c r="J83" s="217"/>
      <c r="K83" s="217"/>
      <c r="L83" s="217"/>
      <c r="M83" s="217"/>
      <c r="N83" s="217"/>
      <c r="O83" s="217"/>
      <c r="P83" s="217"/>
      <c r="Q83" s="217"/>
      <c r="R83" s="879">
        <f t="shared" ref="R83:R95" si="28">SUM(E83:Q83)</f>
        <v>0</v>
      </c>
      <c r="S83" s="218"/>
      <c r="T83" s="218"/>
      <c r="U83" s="213"/>
    </row>
    <row r="84" spans="1:21" s="214" customFormat="1">
      <c r="A84" s="215" t="s">
        <v>824</v>
      </c>
      <c r="B84" s="216">
        <f t="shared" si="27"/>
        <v>10000</v>
      </c>
      <c r="C84" s="217">
        <v>10000</v>
      </c>
      <c r="D84" s="217"/>
      <c r="E84" s="217"/>
      <c r="F84" s="217">
        <f t="shared" ref="F84:F86" si="29">+C84</f>
        <v>10000</v>
      </c>
      <c r="G84" s="217"/>
      <c r="H84" s="217"/>
      <c r="I84" s="217"/>
      <c r="J84" s="217"/>
      <c r="K84" s="217"/>
      <c r="L84" s="217"/>
      <c r="M84" s="217"/>
      <c r="N84" s="217"/>
      <c r="O84" s="217"/>
      <c r="P84" s="217"/>
      <c r="Q84" s="217"/>
      <c r="R84" s="879">
        <f t="shared" si="28"/>
        <v>10000</v>
      </c>
      <c r="S84" s="217">
        <f>+R84</f>
        <v>10000</v>
      </c>
      <c r="T84" s="217"/>
      <c r="U84" s="213"/>
    </row>
    <row r="85" spans="1:21" s="214" customFormat="1">
      <c r="A85" s="215" t="s">
        <v>825</v>
      </c>
      <c r="B85" s="216">
        <f t="shared" si="27"/>
        <v>726675</v>
      </c>
      <c r="C85" s="217">
        <v>726675</v>
      </c>
      <c r="D85" s="217"/>
      <c r="E85" s="217"/>
      <c r="F85" s="217">
        <f t="shared" si="29"/>
        <v>726675</v>
      </c>
      <c r="G85" s="217"/>
      <c r="H85" s="217"/>
      <c r="I85" s="217"/>
      <c r="J85" s="217"/>
      <c r="K85" s="217"/>
      <c r="L85" s="217"/>
      <c r="M85" s="217"/>
      <c r="N85" s="217"/>
      <c r="O85" s="217"/>
      <c r="P85" s="217"/>
      <c r="Q85" s="217"/>
      <c r="R85" s="879">
        <f t="shared" si="28"/>
        <v>726675</v>
      </c>
      <c r="S85" s="217">
        <f>+R85</f>
        <v>726675</v>
      </c>
      <c r="T85" s="217"/>
      <c r="U85" s="213"/>
    </row>
    <row r="86" spans="1:21" s="214" customFormat="1">
      <c r="A86" s="215" t="s">
        <v>826</v>
      </c>
      <c r="B86" s="216">
        <f t="shared" si="27"/>
        <v>1047518.3717399999</v>
      </c>
      <c r="C86" s="217">
        <v>1047518.3717399999</v>
      </c>
      <c r="D86" s="217"/>
      <c r="E86" s="217"/>
      <c r="F86" s="217">
        <f t="shared" si="29"/>
        <v>1047518.3717399999</v>
      </c>
      <c r="G86" s="217"/>
      <c r="H86" s="217"/>
      <c r="I86" s="217"/>
      <c r="J86" s="217"/>
      <c r="K86" s="217"/>
      <c r="L86" s="217"/>
      <c r="M86" s="217"/>
      <c r="N86" s="217"/>
      <c r="O86" s="217"/>
      <c r="P86" s="217"/>
      <c r="Q86" s="217"/>
      <c r="R86" s="879">
        <f t="shared" si="28"/>
        <v>1047518.3717399999</v>
      </c>
      <c r="S86" s="217">
        <f>+R86</f>
        <v>1047518.3717399999</v>
      </c>
      <c r="T86" s="217"/>
      <c r="U86" s="213"/>
    </row>
    <row r="87" spans="1:21" s="214" customFormat="1">
      <c r="A87" s="215" t="s">
        <v>827</v>
      </c>
      <c r="B87" s="216">
        <f t="shared" si="27"/>
        <v>0</v>
      </c>
      <c r="C87" s="217"/>
      <c r="D87" s="217"/>
      <c r="E87" s="217"/>
      <c r="F87" s="217"/>
      <c r="G87" s="217"/>
      <c r="H87" s="217"/>
      <c r="I87" s="217"/>
      <c r="J87" s="217"/>
      <c r="K87" s="217"/>
      <c r="L87" s="217"/>
      <c r="M87" s="217"/>
      <c r="N87" s="217"/>
      <c r="O87" s="217"/>
      <c r="P87" s="217"/>
      <c r="Q87" s="217"/>
      <c r="R87" s="879">
        <f t="shared" si="28"/>
        <v>0</v>
      </c>
      <c r="S87" s="217"/>
      <c r="T87" s="217"/>
      <c r="U87" s="213"/>
    </row>
    <row r="88" spans="1:21" s="214" customFormat="1">
      <c r="A88" s="215" t="s">
        <v>828</v>
      </c>
      <c r="B88" s="216">
        <f t="shared" si="27"/>
        <v>10000</v>
      </c>
      <c r="C88" s="217">
        <v>10000</v>
      </c>
      <c r="D88" s="217"/>
      <c r="E88" s="217"/>
      <c r="F88" s="217">
        <f t="shared" ref="F88:F95" si="30">+C88</f>
        <v>10000</v>
      </c>
      <c r="G88" s="217"/>
      <c r="H88" s="217"/>
      <c r="I88" s="217"/>
      <c r="J88" s="217"/>
      <c r="K88" s="217"/>
      <c r="L88" s="217"/>
      <c r="M88" s="217"/>
      <c r="N88" s="217"/>
      <c r="O88" s="217"/>
      <c r="P88" s="217"/>
      <c r="Q88" s="217"/>
      <c r="R88" s="879">
        <f t="shared" si="28"/>
        <v>10000</v>
      </c>
      <c r="S88" s="218"/>
      <c r="T88" s="218"/>
      <c r="U88" s="213"/>
    </row>
    <row r="89" spans="1:21" s="214" customFormat="1">
      <c r="A89" s="215" t="s">
        <v>829</v>
      </c>
      <c r="B89" s="216">
        <f t="shared" si="27"/>
        <v>105000</v>
      </c>
      <c r="C89" s="217">
        <v>105000</v>
      </c>
      <c r="D89" s="217"/>
      <c r="E89" s="217"/>
      <c r="F89" s="217">
        <f t="shared" si="30"/>
        <v>105000</v>
      </c>
      <c r="G89" s="217"/>
      <c r="H89" s="217"/>
      <c r="I89" s="217"/>
      <c r="J89" s="217"/>
      <c r="K89" s="217"/>
      <c r="L89" s="217"/>
      <c r="M89" s="217"/>
      <c r="N89" s="217"/>
      <c r="O89" s="217"/>
      <c r="P89" s="217"/>
      <c r="Q89" s="217"/>
      <c r="R89" s="879">
        <f t="shared" si="28"/>
        <v>105000</v>
      </c>
      <c r="S89" s="217">
        <f>+R89</f>
        <v>105000</v>
      </c>
      <c r="T89" s="217"/>
      <c r="U89" s="213"/>
    </row>
    <row r="90" spans="1:21" s="214" customFormat="1">
      <c r="A90" s="215" t="s">
        <v>830</v>
      </c>
      <c r="B90" s="216">
        <f t="shared" si="27"/>
        <v>10000</v>
      </c>
      <c r="C90" s="217">
        <v>10000</v>
      </c>
      <c r="D90" s="217"/>
      <c r="E90" s="217"/>
      <c r="F90" s="217">
        <f t="shared" si="30"/>
        <v>10000</v>
      </c>
      <c r="G90" s="217"/>
      <c r="H90" s="217"/>
      <c r="I90" s="217"/>
      <c r="J90" s="217"/>
      <c r="K90" s="217"/>
      <c r="L90" s="217"/>
      <c r="M90" s="217"/>
      <c r="N90" s="217"/>
      <c r="O90" s="217"/>
      <c r="P90" s="217"/>
      <c r="Q90" s="217"/>
      <c r="R90" s="879">
        <f t="shared" si="28"/>
        <v>10000</v>
      </c>
      <c r="S90" s="217">
        <f>+R90</f>
        <v>10000</v>
      </c>
      <c r="T90" s="217"/>
      <c r="U90" s="213"/>
    </row>
    <row r="91" spans="1:21" s="214" customFormat="1">
      <c r="A91" s="1810" t="s">
        <v>390</v>
      </c>
      <c r="B91" s="216">
        <f t="shared" si="27"/>
        <v>20000</v>
      </c>
      <c r="C91" s="217">
        <v>20000</v>
      </c>
      <c r="D91" s="217"/>
      <c r="E91" s="217"/>
      <c r="F91" s="217">
        <f t="shared" si="30"/>
        <v>20000</v>
      </c>
      <c r="G91" s="217"/>
      <c r="H91" s="217"/>
      <c r="I91" s="217"/>
      <c r="J91" s="217"/>
      <c r="K91" s="217"/>
      <c r="L91" s="217"/>
      <c r="M91" s="217"/>
      <c r="N91" s="217"/>
      <c r="O91" s="217"/>
      <c r="P91" s="217"/>
      <c r="Q91" s="217"/>
      <c r="R91" s="879">
        <f t="shared" si="28"/>
        <v>20000</v>
      </c>
      <c r="S91" s="217"/>
      <c r="T91" s="217"/>
      <c r="U91" s="213"/>
    </row>
    <row r="92" spans="1:21" s="214" customFormat="1">
      <c r="A92" s="1809" t="s">
        <v>1420</v>
      </c>
      <c r="B92" s="216">
        <f t="shared" si="27"/>
        <v>15000</v>
      </c>
      <c r="C92" s="217">
        <v>15000</v>
      </c>
      <c r="D92" s="217"/>
      <c r="E92" s="217"/>
      <c r="F92" s="217">
        <f t="shared" si="30"/>
        <v>15000</v>
      </c>
      <c r="G92" s="217"/>
      <c r="H92" s="217"/>
      <c r="I92" s="217"/>
      <c r="J92" s="217"/>
      <c r="K92" s="217"/>
      <c r="L92" s="217"/>
      <c r="M92" s="217"/>
      <c r="N92" s="217"/>
      <c r="O92" s="217"/>
      <c r="P92" s="217"/>
      <c r="Q92" s="217"/>
      <c r="R92" s="879">
        <f t="shared" si="28"/>
        <v>15000</v>
      </c>
      <c r="S92" s="217">
        <f>+R92</f>
        <v>15000</v>
      </c>
      <c r="T92" s="217"/>
      <c r="U92" s="213"/>
    </row>
    <row r="93" spans="1:21" s="214" customFormat="1">
      <c r="A93" s="1857" t="s">
        <v>2520</v>
      </c>
      <c r="B93" s="216">
        <f t="shared" si="27"/>
        <v>125000</v>
      </c>
      <c r="C93" s="217">
        <v>125000</v>
      </c>
      <c r="D93" s="217"/>
      <c r="E93" s="217"/>
      <c r="F93" s="217">
        <f t="shared" si="30"/>
        <v>125000</v>
      </c>
      <c r="G93" s="217"/>
      <c r="H93" s="217"/>
      <c r="I93" s="217"/>
      <c r="J93" s="217"/>
      <c r="K93" s="217"/>
      <c r="L93" s="217"/>
      <c r="M93" s="217"/>
      <c r="N93" s="217"/>
      <c r="O93" s="217"/>
      <c r="P93" s="217"/>
      <c r="Q93" s="217"/>
      <c r="R93" s="879">
        <f t="shared" si="28"/>
        <v>125000</v>
      </c>
      <c r="S93" s="217">
        <f>+R93</f>
        <v>125000</v>
      </c>
      <c r="T93" s="217"/>
      <c r="U93" s="213"/>
    </row>
    <row r="94" spans="1:21" s="214" customFormat="1">
      <c r="A94" s="1857" t="s">
        <v>2629</v>
      </c>
      <c r="B94" s="216">
        <f t="shared" si="27"/>
        <v>25000</v>
      </c>
      <c r="C94" s="217">
        <f>20000+5000</f>
        <v>25000</v>
      </c>
      <c r="D94" s="217"/>
      <c r="E94" s="217"/>
      <c r="F94" s="217">
        <f t="shared" si="30"/>
        <v>25000</v>
      </c>
      <c r="G94" s="217"/>
      <c r="H94" s="217"/>
      <c r="I94" s="217"/>
      <c r="J94" s="217"/>
      <c r="K94" s="217"/>
      <c r="L94" s="217"/>
      <c r="M94" s="217"/>
      <c r="N94" s="217"/>
      <c r="O94" s="217"/>
      <c r="P94" s="217"/>
      <c r="Q94" s="217"/>
      <c r="R94" s="879">
        <f t="shared" si="28"/>
        <v>25000</v>
      </c>
      <c r="S94" s="217">
        <v>20000</v>
      </c>
      <c r="T94" s="217"/>
      <c r="U94" s="213"/>
    </row>
    <row r="95" spans="1:21" s="214" customFormat="1">
      <c r="A95" s="1857" t="s">
        <v>2521</v>
      </c>
      <c r="B95" s="216">
        <f t="shared" si="27"/>
        <v>250000</v>
      </c>
      <c r="C95" s="217">
        <v>250000</v>
      </c>
      <c r="D95" s="217"/>
      <c r="E95" s="217"/>
      <c r="F95" s="217">
        <f t="shared" si="30"/>
        <v>250000</v>
      </c>
      <c r="G95" s="217"/>
      <c r="H95" s="217"/>
      <c r="I95" s="217"/>
      <c r="J95" s="217"/>
      <c r="K95" s="217"/>
      <c r="L95" s="217"/>
      <c r="M95" s="217"/>
      <c r="N95" s="217"/>
      <c r="O95" s="217"/>
      <c r="P95" s="217"/>
      <c r="Q95" s="217"/>
      <c r="R95" s="879">
        <f t="shared" si="28"/>
        <v>250000</v>
      </c>
      <c r="S95" s="217">
        <f>+R95</f>
        <v>250000</v>
      </c>
      <c r="T95" s="217"/>
      <c r="U95" s="213"/>
    </row>
    <row r="96" spans="1:21" s="214" customFormat="1" ht="12">
      <c r="A96" s="219" t="s">
        <v>831</v>
      </c>
      <c r="B96" s="216">
        <f>SUM(C96:D96)</f>
        <v>2344193.3717399999</v>
      </c>
      <c r="C96" s="216">
        <f t="shared" ref="C96:R96" si="31">SUM(C83:C95)</f>
        <v>2344193.3717399999</v>
      </c>
      <c r="D96" s="216">
        <f t="shared" si="31"/>
        <v>0</v>
      </c>
      <c r="E96" s="216">
        <f t="shared" si="31"/>
        <v>0</v>
      </c>
      <c r="F96" s="216">
        <f t="shared" si="31"/>
        <v>2344193.3717399999</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4">
        <f t="shared" si="31"/>
        <v>2344193.3717399999</v>
      </c>
      <c r="S96" s="220">
        <f>SUM(S84:S87,S89:S95)</f>
        <v>2309193.3717399999</v>
      </c>
      <c r="T96" s="216">
        <f>SUM(T84:T87,T89:T95)</f>
        <v>0</v>
      </c>
      <c r="U96" s="213"/>
    </row>
    <row r="97" spans="1:21" s="214" customFormat="1" ht="12">
      <c r="A97" s="219" t="s">
        <v>832</v>
      </c>
      <c r="B97" s="216">
        <f>SUM(C97:D97)</f>
        <v>24872709.806387104</v>
      </c>
      <c r="C97" s="216">
        <f t="shared" ref="C97:R97" si="32">SUM(C63+C70+C77+C81+C96)</f>
        <v>24872709.806387104</v>
      </c>
      <c r="D97" s="216">
        <f t="shared" si="32"/>
        <v>0</v>
      </c>
      <c r="E97" s="216">
        <f t="shared" si="32"/>
        <v>10996813.259448387</v>
      </c>
      <c r="F97" s="216">
        <f t="shared" si="32"/>
        <v>13875896.546938723</v>
      </c>
      <c r="G97" s="216">
        <f t="shared" si="32"/>
        <v>0</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24872709.806387104</v>
      </c>
      <c r="S97" s="216">
        <f>SUM(S63+S70+S81+S96)</f>
        <v>22902412.754807413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3435361.9132211125</v>
      </c>
      <c r="C99" s="1702">
        <v>3435361.9132211125</v>
      </c>
      <c r="D99" s="1702"/>
      <c r="E99" s="1702">
        <f>+C99-G99</f>
        <v>1735361.9132211125</v>
      </c>
      <c r="F99" s="217"/>
      <c r="G99" s="217">
        <v>1700000</v>
      </c>
      <c r="H99" s="217"/>
      <c r="I99" s="217"/>
      <c r="J99" s="217"/>
      <c r="K99" s="217"/>
      <c r="L99" s="217"/>
      <c r="M99" s="217"/>
      <c r="N99" s="217"/>
      <c r="O99" s="217"/>
      <c r="P99" s="217"/>
      <c r="Q99" s="217"/>
      <c r="R99" s="879">
        <f t="shared" ref="R99:R103" si="33">SUM(E99:Q99)</f>
        <v>3435361.9132211125</v>
      </c>
      <c r="S99" s="217">
        <f>+R99</f>
        <v>3435361.9132211125</v>
      </c>
      <c r="T99" s="217"/>
      <c r="U99" s="213"/>
    </row>
    <row r="100" spans="1:21" s="214" customFormat="1">
      <c r="A100" s="440" t="s">
        <v>1999</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835</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2000</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9">
        <f t="shared" si="33"/>
        <v>0</v>
      </c>
      <c r="S103" s="217"/>
      <c r="T103" s="217"/>
      <c r="U103" s="213"/>
    </row>
    <row r="104" spans="1:21" s="214" customFormat="1" ht="12">
      <c r="A104" s="219" t="s">
        <v>836</v>
      </c>
      <c r="B104" s="216">
        <f>SUM(C104:D104)</f>
        <v>3435361.9132211125</v>
      </c>
      <c r="C104" s="216">
        <f>SUM(C99:C103)</f>
        <v>3435361.9132211125</v>
      </c>
      <c r="D104" s="216">
        <f t="shared" ref="D104:T104" si="35">SUM(D99:D103)</f>
        <v>0</v>
      </c>
      <c r="E104" s="216">
        <f t="shared" si="35"/>
        <v>1735361.9132211125</v>
      </c>
      <c r="F104" s="216">
        <f t="shared" si="35"/>
        <v>0</v>
      </c>
      <c r="G104" s="216">
        <f t="shared" si="35"/>
        <v>1700000</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4">
        <f t="shared" si="35"/>
        <v>3435361.9132211125</v>
      </c>
      <c r="S104" s="220">
        <f t="shared" si="35"/>
        <v>3435361.9132211125</v>
      </c>
      <c r="T104" s="220">
        <f t="shared" si="35"/>
        <v>0</v>
      </c>
      <c r="U104" s="213"/>
    </row>
    <row r="105" spans="1:21" s="214" customFormat="1" ht="12">
      <c r="A105" s="219" t="s">
        <v>837</v>
      </c>
      <c r="B105" s="220">
        <f>SUM(C105:D105)</f>
        <v>28308071.719608217</v>
      </c>
      <c r="C105" s="220">
        <f t="shared" ref="C105:R105" si="36">SUM(C97+C104)</f>
        <v>28308071.719608217</v>
      </c>
      <c r="D105" s="220">
        <f t="shared" si="36"/>
        <v>0</v>
      </c>
      <c r="E105" s="220">
        <f t="shared" si="36"/>
        <v>12732175.1726695</v>
      </c>
      <c r="F105" s="220">
        <f t="shared" si="36"/>
        <v>13875896.546938723</v>
      </c>
      <c r="G105" s="220">
        <f t="shared" si="36"/>
        <v>1700000</v>
      </c>
      <c r="H105" s="220">
        <f t="shared" si="36"/>
        <v>0</v>
      </c>
      <c r="I105" s="220">
        <f t="shared" si="36"/>
        <v>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4">
        <f t="shared" si="36"/>
        <v>28308071.719608217</v>
      </c>
      <c r="S105" s="220">
        <f>S97+S104</f>
        <v>26337774.668028526</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26337774.668028526</v>
      </c>
      <c r="T107" s="234">
        <f>T105+T106</f>
        <v>0</v>
      </c>
    </row>
    <row r="108" spans="1:21" s="300" customFormat="1" ht="12">
      <c r="A108" s="233" t="s">
        <v>943</v>
      </c>
      <c r="B108" s="228"/>
      <c r="C108" s="228"/>
      <c r="D108" s="228"/>
      <c r="E108" s="464">
        <f>Application!AO650</f>
        <v>12732175.1726695</v>
      </c>
      <c r="F108" s="464">
        <f>Application!AO637</f>
        <v>13875896.546938701</v>
      </c>
      <c r="G108" s="464">
        <f>Application!AO638</f>
        <v>1700000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7" t="s">
        <v>1095</v>
      </c>
      <c r="E122" s="2577"/>
      <c r="F122" s="257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7" t="s">
        <v>1438</v>
      </c>
      <c r="E123" s="2568"/>
      <c r="F123" s="2568"/>
      <c r="G123" s="2568"/>
      <c r="H123" s="2568"/>
      <c r="I123" s="2568"/>
      <c r="J123" s="2568"/>
      <c r="K123" s="2568"/>
      <c r="L123" s="2568"/>
      <c r="M123" s="2568"/>
      <c r="N123" s="2568"/>
      <c r="O123" s="2568"/>
      <c r="P123" s="2568"/>
      <c r="Q123" s="2568"/>
      <c r="R123" s="2568"/>
      <c r="S123" s="2568"/>
      <c r="T123" s="514"/>
      <c r="U123" s="516"/>
    </row>
    <row r="124" spans="1:21" ht="13.2">
      <c r="A124" s="513" t="s">
        <v>1097</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3.2">
      <c r="A125" s="513" t="s">
        <v>1098</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3.2">
      <c r="A129" s="513" t="s">
        <v>308</v>
      </c>
      <c r="B129" s="523"/>
      <c r="C129" s="513"/>
      <c r="D129" s="2576" t="s">
        <v>1102</v>
      </c>
      <c r="E129" s="2576"/>
      <c r="F129" s="2576"/>
      <c r="G129" s="2576"/>
      <c r="H129" s="257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69" t="s">
        <v>1105</v>
      </c>
      <c r="E132" s="2569"/>
      <c r="F132" s="2569"/>
      <c r="G132" s="2569"/>
      <c r="H132" s="2569"/>
      <c r="I132" s="513"/>
      <c r="J132" s="2569" t="s">
        <v>1106</v>
      </c>
      <c r="K132" s="2569"/>
      <c r="L132" s="2569"/>
      <c r="M132" s="256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2">
      <c r="A139" s="2564" t="s">
        <v>1109</v>
      </c>
      <c r="B139" s="2565"/>
      <c r="C139" s="2565"/>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69" stopIfTrue="1">
      <formula>T9&gt;C9</formula>
    </cfRule>
  </conditionalFormatting>
  <conditionalFormatting sqref="S10">
    <cfRule type="expression" dxfId="147" priority="268" stopIfTrue="1">
      <formula>(S10+T10)&gt;C10</formula>
    </cfRule>
  </conditionalFormatting>
  <conditionalFormatting sqref="R8">
    <cfRule type="cellIs" dxfId="146" priority="257" stopIfTrue="1" operator="notEqual">
      <formula>$B8</formula>
    </cfRule>
    <cfRule type="cellIs" priority="260" stopIfTrue="1" operator="notEqual">
      <formula>$B8</formula>
    </cfRule>
  </conditionalFormatting>
  <conditionalFormatting sqref="R4:R7 R56:R61 R45:R53 R83:R95 R99:R103">
    <cfRule type="cellIs" dxfId="145" priority="259" stopIfTrue="1" operator="notEqual">
      <formula>$B4</formula>
    </cfRule>
  </conditionalFormatting>
  <conditionalFormatting sqref="R9:R10">
    <cfRule type="cellIs" dxfId="144" priority="258" stopIfTrue="1" operator="notEqual">
      <formula>$B9</formula>
    </cfRule>
  </conditionalFormatting>
  <conditionalFormatting sqref="R11:R12">
    <cfRule type="cellIs" dxfId="143" priority="255" stopIfTrue="1" operator="notEqual">
      <formula>$B11</formula>
    </cfRule>
    <cfRule type="cellIs" priority="256" stopIfTrue="1" operator="notEqual">
      <formula>$B11</formula>
    </cfRule>
  </conditionalFormatting>
  <conditionalFormatting sqref="R13:R15">
    <cfRule type="cellIs" dxfId="142" priority="254" stopIfTrue="1" operator="notEqual">
      <formula>$B13</formula>
    </cfRule>
  </conditionalFormatting>
  <conditionalFormatting sqref="R26">
    <cfRule type="cellIs" dxfId="141" priority="252" stopIfTrue="1" operator="notEqual">
      <formula>$B26</formula>
    </cfRule>
    <cfRule type="cellIs" priority="253" stopIfTrue="1" operator="notEqual">
      <formula>$B26</formula>
    </cfRule>
  </conditionalFormatting>
  <conditionalFormatting sqref="R17:R25">
    <cfRule type="cellIs" dxfId="140" priority="251" stopIfTrue="1" operator="notEqual">
      <formula>$B17</formula>
    </cfRule>
  </conditionalFormatting>
  <conditionalFormatting sqref="R27">
    <cfRule type="cellIs" dxfId="139" priority="250" stopIfTrue="1" operator="notEqual">
      <formula>$B27</formula>
    </cfRule>
  </conditionalFormatting>
  <conditionalFormatting sqref="R38">
    <cfRule type="cellIs" dxfId="138" priority="248" stopIfTrue="1" operator="notEqual">
      <formula>$B38</formula>
    </cfRule>
    <cfRule type="cellIs" priority="249" stopIfTrue="1" operator="notEqual">
      <formula>$B38</formula>
    </cfRule>
  </conditionalFormatting>
  <conditionalFormatting sqref="R29:R37">
    <cfRule type="cellIs" dxfId="137" priority="247" stopIfTrue="1" operator="notEqual">
      <formula>$B29</formula>
    </cfRule>
  </conditionalFormatting>
  <conditionalFormatting sqref="R42">
    <cfRule type="cellIs" dxfId="136" priority="245" stopIfTrue="1" operator="notEqual">
      <formula>$B42</formula>
    </cfRule>
    <cfRule type="cellIs" priority="246" stopIfTrue="1" operator="notEqual">
      <formula>$B42</formula>
    </cfRule>
  </conditionalFormatting>
  <conditionalFormatting sqref="R40:R41">
    <cfRule type="cellIs" dxfId="135" priority="244" stopIfTrue="1" operator="notEqual">
      <formula>$B40</formula>
    </cfRule>
  </conditionalFormatting>
  <conditionalFormatting sqref="R43">
    <cfRule type="cellIs" dxfId="134" priority="243" stopIfTrue="1" operator="notEqual">
      <formula>$B43</formula>
    </cfRule>
  </conditionalFormatting>
  <conditionalFormatting sqref="R54">
    <cfRule type="cellIs" dxfId="133" priority="241" stopIfTrue="1" operator="notEqual">
      <formula>$B54</formula>
    </cfRule>
    <cfRule type="cellIs" priority="242" stopIfTrue="1" operator="notEqual">
      <formula>$B54</formula>
    </cfRule>
  </conditionalFormatting>
  <conditionalFormatting sqref="R62:R63">
    <cfRule type="cellIs" dxfId="132" priority="238" stopIfTrue="1" operator="notEqual">
      <formula>$B62</formula>
    </cfRule>
    <cfRule type="cellIs" priority="239" stopIfTrue="1" operator="notEqual">
      <formula>$B62</formula>
    </cfRule>
  </conditionalFormatting>
  <conditionalFormatting sqref="R70">
    <cfRule type="cellIs" dxfId="131" priority="235" stopIfTrue="1" operator="notEqual">
      <formula>$B70</formula>
    </cfRule>
    <cfRule type="cellIs" priority="236" stopIfTrue="1" operator="notEqual">
      <formula>$B70</formula>
    </cfRule>
  </conditionalFormatting>
  <conditionalFormatting sqref="R65:R69">
    <cfRule type="cellIs" dxfId="130" priority="234" stopIfTrue="1" operator="notEqual">
      <formula>$B65</formula>
    </cfRule>
  </conditionalFormatting>
  <conditionalFormatting sqref="R77">
    <cfRule type="cellIs" dxfId="129" priority="232" stopIfTrue="1" operator="notEqual">
      <formula>$B77</formula>
    </cfRule>
    <cfRule type="cellIs" priority="233" stopIfTrue="1" operator="notEqual">
      <formula>$B77</formula>
    </cfRule>
  </conditionalFormatting>
  <conditionalFormatting sqref="R96">
    <cfRule type="cellIs" dxfId="128" priority="230" stopIfTrue="1" operator="notEqual">
      <formula>$B96</formula>
    </cfRule>
    <cfRule type="cellIs" priority="231" stopIfTrue="1" operator="notEqual">
      <formula>$B96</formula>
    </cfRule>
  </conditionalFormatting>
  <conditionalFormatting sqref="R72:R76">
    <cfRule type="cellIs" dxfId="127" priority="229" stopIfTrue="1" operator="notEqual">
      <formula>$B72</formula>
    </cfRule>
  </conditionalFormatting>
  <conditionalFormatting sqref="R79:R80">
    <cfRule type="cellIs" dxfId="126" priority="228" stopIfTrue="1" operator="notEqual">
      <formula>$B79</formula>
    </cfRule>
  </conditionalFormatting>
  <conditionalFormatting sqref="R104:R105">
    <cfRule type="cellIs" dxfId="125" priority="225" stopIfTrue="1" operator="notEqual">
      <formula>$B104</formula>
    </cfRule>
    <cfRule type="cellIs" priority="226" stopIfTrue="1" operator="notEqual">
      <formula>$B104</formula>
    </cfRule>
  </conditionalFormatting>
  <conditionalFormatting sqref="E105:Q105">
    <cfRule type="cellIs" dxfId="124" priority="223" stopIfTrue="1" operator="notEqual">
      <formula>E$108</formula>
    </cfRule>
  </conditionalFormatting>
  <conditionalFormatting sqref="S13">
    <cfRule type="expression" dxfId="123" priority="220" stopIfTrue="1">
      <formula>(S13+T13)&gt;C13</formula>
    </cfRule>
  </conditionalFormatting>
  <conditionalFormatting sqref="S14">
    <cfRule type="expression" dxfId="122" priority="217" stopIfTrue="1">
      <formula>(S14+T14)&gt;C14</formula>
    </cfRule>
  </conditionalFormatting>
  <conditionalFormatting sqref="S17">
    <cfRule type="expression" dxfId="121" priority="216" stopIfTrue="1">
      <formula>(S17+T17)&gt;C17</formula>
    </cfRule>
  </conditionalFormatting>
  <conditionalFormatting sqref="S18">
    <cfRule type="expression" dxfId="120" priority="208" stopIfTrue="1">
      <formula>(S18+T18)&gt;C18</formula>
    </cfRule>
  </conditionalFormatting>
  <conditionalFormatting sqref="S19">
    <cfRule type="expression" dxfId="119" priority="206" stopIfTrue="1">
      <formula>(S19+T19)&gt;C19</formula>
    </cfRule>
  </conditionalFormatting>
  <conditionalFormatting sqref="S20">
    <cfRule type="expression" dxfId="118" priority="205" stopIfTrue="1">
      <formula>(S20+T20)&gt;C20</formula>
    </cfRule>
  </conditionalFormatting>
  <conditionalFormatting sqref="S21">
    <cfRule type="expression" dxfId="117" priority="204" stopIfTrue="1">
      <formula>(S21+T21)&gt;C21</formula>
    </cfRule>
  </conditionalFormatting>
  <conditionalFormatting sqref="S22">
    <cfRule type="expression" dxfId="116" priority="203" stopIfTrue="1">
      <formula>(S22+T22)&gt;C22</formula>
    </cfRule>
  </conditionalFormatting>
  <conditionalFormatting sqref="S23:S24">
    <cfRule type="expression" dxfId="115" priority="202" stopIfTrue="1">
      <formula>(S23+T23)&gt;C23</formula>
    </cfRule>
  </conditionalFormatting>
  <conditionalFormatting sqref="S25">
    <cfRule type="expression" dxfId="114" priority="201" stopIfTrue="1">
      <formula>(S25+T25)&gt;C25</formula>
    </cfRule>
  </conditionalFormatting>
  <conditionalFormatting sqref="S27">
    <cfRule type="expression" dxfId="113" priority="194" stopIfTrue="1">
      <formula>(S27+T27)&gt;C27</formula>
    </cfRule>
  </conditionalFormatting>
  <conditionalFormatting sqref="S29">
    <cfRule type="expression" dxfId="112" priority="192" stopIfTrue="1">
      <formula>(S29+T29)&gt;C29</formula>
    </cfRule>
  </conditionalFormatting>
  <conditionalFormatting sqref="S34">
    <cfRule type="expression" dxfId="111" priority="186" stopIfTrue="1">
      <formula>(S34+T34)&gt;C34</formula>
    </cfRule>
  </conditionalFormatting>
  <conditionalFormatting sqref="S36">
    <cfRule type="expression" dxfId="110" priority="185" stopIfTrue="1">
      <formula>(S36+T36)&gt;C36</formula>
    </cfRule>
  </conditionalFormatting>
  <conditionalFormatting sqref="S37">
    <cfRule type="expression" dxfId="109" priority="184" stopIfTrue="1">
      <formula>(S37+T37)&gt;C37</formula>
    </cfRule>
  </conditionalFormatting>
  <conditionalFormatting sqref="S41">
    <cfRule type="expression" dxfId="108" priority="175" stopIfTrue="1">
      <formula>(S41+T41)&gt;C41</formula>
    </cfRule>
  </conditionalFormatting>
  <conditionalFormatting sqref="S45">
    <cfRule type="expression" dxfId="107" priority="170" stopIfTrue="1">
      <formula>(S45+T45)&gt;C45</formula>
    </cfRule>
  </conditionalFormatting>
  <conditionalFormatting sqref="S47">
    <cfRule type="expression" dxfId="106" priority="164" stopIfTrue="1">
      <formula>(S47+T47)&gt;C47</formula>
    </cfRule>
  </conditionalFormatting>
  <conditionalFormatting sqref="S49">
    <cfRule type="expression" dxfId="105" priority="162" stopIfTrue="1">
      <formula>(S49+T49)&gt;C49</formula>
    </cfRule>
  </conditionalFormatting>
  <conditionalFormatting sqref="S65:S68">
    <cfRule type="expression" dxfId="104" priority="147" stopIfTrue="1">
      <formula>(S65+T65)&gt;C65</formula>
    </cfRule>
  </conditionalFormatting>
  <conditionalFormatting sqref="S69">
    <cfRule type="expression" dxfId="103" priority="146" stopIfTrue="1">
      <formula>(S69+T69)&gt;C69</formula>
    </cfRule>
  </conditionalFormatting>
  <conditionalFormatting sqref="S87">
    <cfRule type="expression" dxfId="102" priority="136" stopIfTrue="1">
      <formula>(S87+T87)&gt;C87</formula>
    </cfRule>
  </conditionalFormatting>
  <conditionalFormatting sqref="S91">
    <cfRule type="expression" dxfId="101" priority="129" stopIfTrue="1">
      <formula>(S91+T91)&gt;C91</formula>
    </cfRule>
  </conditionalFormatting>
  <conditionalFormatting sqref="S94">
    <cfRule type="expression" dxfId="100" priority="126" stopIfTrue="1">
      <formula>(S94+T94)&gt;C94</formula>
    </cfRule>
  </conditionalFormatting>
  <conditionalFormatting sqref="S99">
    <cfRule type="expression" dxfId="99" priority="113" stopIfTrue="1">
      <formula>(S99+T99)&gt;C99</formula>
    </cfRule>
  </conditionalFormatting>
  <conditionalFormatting sqref="S100">
    <cfRule type="expression" dxfId="98" priority="112" stopIfTrue="1">
      <formula>(S100+T100)&gt;C100</formula>
    </cfRule>
  </conditionalFormatting>
  <conditionalFormatting sqref="S101">
    <cfRule type="expression" dxfId="97" priority="110" stopIfTrue="1">
      <formula>(S101+T101)&gt;C101</formula>
    </cfRule>
  </conditionalFormatting>
  <conditionalFormatting sqref="S102">
    <cfRule type="expression" dxfId="96" priority="109" stopIfTrue="1">
      <formula>(S102+T102)&gt;C102</formula>
    </cfRule>
  </conditionalFormatting>
  <conditionalFormatting sqref="S103">
    <cfRule type="expression" dxfId="95" priority="108" stopIfTrue="1">
      <formula>(S103+T103)&gt;C103</formula>
    </cfRule>
  </conditionalFormatting>
  <conditionalFormatting sqref="C10">
    <cfRule type="expression" dxfId="94" priority="100">
      <formula>"(S10+T10)&gt;C10 "</formula>
    </cfRule>
  </conditionalFormatting>
  <conditionalFormatting sqref="T10">
    <cfRule type="expression" dxfId="93" priority="98" stopIfTrue="1">
      <formula>(S10+T10)&gt;C10</formula>
    </cfRule>
  </conditionalFormatting>
  <conditionalFormatting sqref="T13">
    <cfRule type="expression" dxfId="92" priority="96" stopIfTrue="1">
      <formula>(S13+T13)&gt;C13</formula>
    </cfRule>
  </conditionalFormatting>
  <conditionalFormatting sqref="T14">
    <cfRule type="expression" dxfId="91" priority="95" stopIfTrue="1">
      <formula>(S14+T14)&gt;C14</formula>
    </cfRule>
  </conditionalFormatting>
  <conditionalFormatting sqref="T17">
    <cfRule type="expression" dxfId="90" priority="94" stopIfTrue="1">
      <formula>(S17+T17)&gt;C17</formula>
    </cfRule>
  </conditionalFormatting>
  <conditionalFormatting sqref="T18">
    <cfRule type="expression" dxfId="89" priority="77" stopIfTrue="1">
      <formula>(S18+T18)&gt;C18</formula>
    </cfRule>
  </conditionalFormatting>
  <conditionalFormatting sqref="T19">
    <cfRule type="expression" dxfId="88" priority="76" stopIfTrue="1">
      <formula>(S19+T19)&gt;C19</formula>
    </cfRule>
  </conditionalFormatting>
  <conditionalFormatting sqref="T20">
    <cfRule type="expression" dxfId="87" priority="75" stopIfTrue="1">
      <formula>(S20+T20)&gt;C20</formula>
    </cfRule>
  </conditionalFormatting>
  <conditionalFormatting sqref="T21">
    <cfRule type="expression" dxfId="86" priority="74" stopIfTrue="1">
      <formula>(S21+T21)&gt;C21</formula>
    </cfRule>
  </conditionalFormatting>
  <conditionalFormatting sqref="T22">
    <cfRule type="expression" dxfId="85" priority="73" stopIfTrue="1">
      <formula>(S22+T22)&gt;C22</formula>
    </cfRule>
  </conditionalFormatting>
  <conditionalFormatting sqref="T23:T24">
    <cfRule type="expression" dxfId="84" priority="72" stopIfTrue="1">
      <formula>(S23+T23)&gt;C23</formula>
    </cfRule>
  </conditionalFormatting>
  <conditionalFormatting sqref="T25">
    <cfRule type="expression" dxfId="83" priority="71" stopIfTrue="1">
      <formula>(S25+T25)&gt;C25</formula>
    </cfRule>
  </conditionalFormatting>
  <conditionalFormatting sqref="T27">
    <cfRule type="expression" dxfId="82" priority="69" stopIfTrue="1">
      <formula>(S27+T27)&gt;C27</formula>
    </cfRule>
  </conditionalFormatting>
  <conditionalFormatting sqref="T29">
    <cfRule type="expression" dxfId="81" priority="68" stopIfTrue="1">
      <formula>(S29+T29)&gt;C29</formula>
    </cfRule>
  </conditionalFormatting>
  <conditionalFormatting sqref="T30">
    <cfRule type="expression" dxfId="80" priority="66" stopIfTrue="1">
      <formula>(S30+T30)&gt;C30</formula>
    </cfRule>
  </conditionalFormatting>
  <conditionalFormatting sqref="T31">
    <cfRule type="expression" dxfId="79" priority="65" stopIfTrue="1">
      <formula>(S31+T31)&gt;C31</formula>
    </cfRule>
  </conditionalFormatting>
  <conditionalFormatting sqref="T32">
    <cfRule type="expression" dxfId="78" priority="64" stopIfTrue="1">
      <formula>(S32+T32)&gt;C32</formula>
    </cfRule>
  </conditionalFormatting>
  <conditionalFormatting sqref="T33">
    <cfRule type="expression" dxfId="77" priority="63" stopIfTrue="1">
      <formula>(S33+T33)&gt;C33</formula>
    </cfRule>
  </conditionalFormatting>
  <conditionalFormatting sqref="T34">
    <cfRule type="expression" dxfId="76" priority="62" stopIfTrue="1">
      <formula>(S34+T34)&gt;C34</formula>
    </cfRule>
  </conditionalFormatting>
  <conditionalFormatting sqref="T35:T36">
    <cfRule type="expression" dxfId="75" priority="61" stopIfTrue="1">
      <formula>(S35+T35)&gt;C35</formula>
    </cfRule>
  </conditionalFormatting>
  <conditionalFormatting sqref="T37">
    <cfRule type="expression" dxfId="74" priority="60" stopIfTrue="1">
      <formula>(S37+T37)&gt;C37</formula>
    </cfRule>
  </conditionalFormatting>
  <conditionalFormatting sqref="T40">
    <cfRule type="expression" dxfId="73" priority="59" stopIfTrue="1">
      <formula>(S40+T40)&gt;C40</formula>
    </cfRule>
  </conditionalFormatting>
  <conditionalFormatting sqref="T41">
    <cfRule type="expression" dxfId="72" priority="58" stopIfTrue="1">
      <formula>(S41+T41)&gt;C41</formula>
    </cfRule>
  </conditionalFormatting>
  <conditionalFormatting sqref="T43">
    <cfRule type="expression" dxfId="71" priority="57" stopIfTrue="1">
      <formula>(S43+T43)&gt;C43</formula>
    </cfRule>
  </conditionalFormatting>
  <conditionalFormatting sqref="T45">
    <cfRule type="expression" dxfId="70" priority="56" stopIfTrue="1">
      <formula>(S45+T45)&gt;C45</formula>
    </cfRule>
  </conditionalFormatting>
  <conditionalFormatting sqref="T46">
    <cfRule type="expression" dxfId="69" priority="55" stopIfTrue="1">
      <formula>(S46+T46)&gt;C46</formula>
    </cfRule>
  </conditionalFormatting>
  <conditionalFormatting sqref="T47">
    <cfRule type="expression" dxfId="68" priority="54" stopIfTrue="1">
      <formula>(S47+T47)&gt;C47</formula>
    </cfRule>
  </conditionalFormatting>
  <conditionalFormatting sqref="T48">
    <cfRule type="expression" dxfId="67" priority="53" stopIfTrue="1">
      <formula>(S48+T48)&gt;C48</formula>
    </cfRule>
  </conditionalFormatting>
  <conditionalFormatting sqref="T49">
    <cfRule type="expression" dxfId="66" priority="52" stopIfTrue="1">
      <formula>(S49+T49)&gt;C49</formula>
    </cfRule>
  </conditionalFormatting>
  <conditionalFormatting sqref="T50">
    <cfRule type="expression" dxfId="65" priority="51" stopIfTrue="1">
      <formula>(S50+T50)&gt;C50</formula>
    </cfRule>
  </conditionalFormatting>
  <conditionalFormatting sqref="T51">
    <cfRule type="expression" dxfId="64" priority="50" stopIfTrue="1">
      <formula>(S51+T51)&gt;C51</formula>
    </cfRule>
  </conditionalFormatting>
  <conditionalFormatting sqref="T52">
    <cfRule type="expression" dxfId="63" priority="49" stopIfTrue="1">
      <formula>(S52+T52)&gt;C52</formula>
    </cfRule>
  </conditionalFormatting>
  <conditionalFormatting sqref="T53">
    <cfRule type="expression" dxfId="62" priority="47" stopIfTrue="1">
      <formula>(S53+T53)&gt;C53</formula>
    </cfRule>
  </conditionalFormatting>
  <conditionalFormatting sqref="T65:T68">
    <cfRule type="expression" dxfId="61" priority="46" stopIfTrue="1">
      <formula>(S65+T65)&gt;C65</formula>
    </cfRule>
  </conditionalFormatting>
  <conditionalFormatting sqref="T69">
    <cfRule type="expression" dxfId="60" priority="45" stopIfTrue="1">
      <formula>(S69+T69)&gt;C69</formula>
    </cfRule>
  </conditionalFormatting>
  <conditionalFormatting sqref="T79">
    <cfRule type="expression" dxfId="59" priority="44" stopIfTrue="1">
      <formula>(S79+T79)&gt;C79</formula>
    </cfRule>
  </conditionalFormatting>
  <conditionalFormatting sqref="T80">
    <cfRule type="expression" dxfId="58" priority="43" stopIfTrue="1">
      <formula>(S80+T80)&gt;C80</formula>
    </cfRule>
  </conditionalFormatting>
  <conditionalFormatting sqref="T84">
    <cfRule type="expression" dxfId="57" priority="42" stopIfTrue="1">
      <formula>(S84+T84)&gt;C84</formula>
    </cfRule>
  </conditionalFormatting>
  <conditionalFormatting sqref="T85">
    <cfRule type="expression" dxfId="56" priority="41" stopIfTrue="1">
      <formula>(S85+T85)&gt;C85</formula>
    </cfRule>
  </conditionalFormatting>
  <conditionalFormatting sqref="T86">
    <cfRule type="expression" dxfId="55" priority="40" stopIfTrue="1">
      <formula>(S86+T86)&gt;C86</formula>
    </cfRule>
  </conditionalFormatting>
  <conditionalFormatting sqref="T87">
    <cfRule type="expression" dxfId="54" priority="39" stopIfTrue="1">
      <formula>(S87+T87)&gt;C87</formula>
    </cfRule>
  </conditionalFormatting>
  <conditionalFormatting sqref="T89">
    <cfRule type="expression" dxfId="53" priority="38" stopIfTrue="1">
      <formula>(S89+T89)&gt;C89</formula>
    </cfRule>
  </conditionalFormatting>
  <conditionalFormatting sqref="T90">
    <cfRule type="expression" dxfId="52" priority="37" stopIfTrue="1">
      <formula>(S90+T90)&gt;C90</formula>
    </cfRule>
  </conditionalFormatting>
  <conditionalFormatting sqref="T91">
    <cfRule type="expression" dxfId="51" priority="36" stopIfTrue="1">
      <formula>(S91+T91)&gt;C91</formula>
    </cfRule>
  </conditionalFormatting>
  <conditionalFormatting sqref="T92">
    <cfRule type="expression" dxfId="50" priority="35" stopIfTrue="1">
      <formula>(S92+T92)&gt;C92</formula>
    </cfRule>
  </conditionalFormatting>
  <conditionalFormatting sqref="T93">
    <cfRule type="expression" dxfId="49" priority="34" stopIfTrue="1">
      <formula>(S93+T93)&gt;C93</formula>
    </cfRule>
  </conditionalFormatting>
  <conditionalFormatting sqref="T94">
    <cfRule type="expression" dxfId="48" priority="33" stopIfTrue="1">
      <formula>(S94+T94)&gt;C94</formula>
    </cfRule>
  </conditionalFormatting>
  <conditionalFormatting sqref="T95">
    <cfRule type="expression" dxfId="47" priority="32" stopIfTrue="1">
      <formula>(S95+T95)&gt;C95</formula>
    </cfRule>
  </conditionalFormatting>
  <conditionalFormatting sqref="T99">
    <cfRule type="expression" dxfId="46" priority="29" stopIfTrue="1">
      <formula>(S99+T99)&gt;C99</formula>
    </cfRule>
  </conditionalFormatting>
  <conditionalFormatting sqref="T100">
    <cfRule type="expression" dxfId="45" priority="28" stopIfTrue="1">
      <formula>(S100+T100)&gt;C100</formula>
    </cfRule>
  </conditionalFormatting>
  <conditionalFormatting sqref="T101">
    <cfRule type="expression" dxfId="44" priority="26" stopIfTrue="1">
      <formula>(S101+T101)&gt;C101</formula>
    </cfRule>
  </conditionalFormatting>
  <conditionalFormatting sqref="T102">
    <cfRule type="expression" dxfId="43" priority="25" stopIfTrue="1">
      <formula>(S102+T102)&gt;C102</formula>
    </cfRule>
  </conditionalFormatting>
  <conditionalFormatting sqref="T103">
    <cfRule type="expression" dxfId="42" priority="24" stopIfTrue="1">
      <formula>(S103+T103)&gt;C103</formula>
    </cfRule>
  </conditionalFormatting>
  <conditionalFormatting sqref="S30">
    <cfRule type="expression" dxfId="41" priority="23" stopIfTrue="1">
      <formula>(S30+T30)&gt;C30</formula>
    </cfRule>
  </conditionalFormatting>
  <conditionalFormatting sqref="S31">
    <cfRule type="expression" dxfId="40" priority="22" stopIfTrue="1">
      <formula>(S31+T31)&gt;C31</formula>
    </cfRule>
  </conditionalFormatting>
  <conditionalFormatting sqref="S32">
    <cfRule type="expression" dxfId="39" priority="21" stopIfTrue="1">
      <formula>(S32+T32)&gt;C32</formula>
    </cfRule>
  </conditionalFormatting>
  <conditionalFormatting sqref="S33">
    <cfRule type="expression" dxfId="38" priority="20" stopIfTrue="1">
      <formula>(S33+T33)&gt;C33</formula>
    </cfRule>
  </conditionalFormatting>
  <conditionalFormatting sqref="S35">
    <cfRule type="expression" dxfId="37" priority="19" stopIfTrue="1">
      <formula>(S35+T35)&gt;C35</formula>
    </cfRule>
  </conditionalFormatting>
  <conditionalFormatting sqref="S48">
    <cfRule type="expression" dxfId="36" priority="18" stopIfTrue="1">
      <formula>(S48+T48)&gt;C48</formula>
    </cfRule>
  </conditionalFormatting>
  <conditionalFormatting sqref="S79">
    <cfRule type="expression" dxfId="35" priority="17" stopIfTrue="1">
      <formula>(S79+T79)&gt;C79</formula>
    </cfRule>
  </conditionalFormatting>
  <conditionalFormatting sqref="S40">
    <cfRule type="expression" dxfId="34" priority="16" stopIfTrue="1">
      <formula>(S40+T40)&gt;C40</formula>
    </cfRule>
  </conditionalFormatting>
  <conditionalFormatting sqref="S43">
    <cfRule type="expression" dxfId="33" priority="15" stopIfTrue="1">
      <formula>(S43+T43)&gt;C43</formula>
    </cfRule>
  </conditionalFormatting>
  <conditionalFormatting sqref="S92">
    <cfRule type="expression" dxfId="32" priority="13" stopIfTrue="1">
      <formula>(S92+T92)&gt;C92</formula>
    </cfRule>
  </conditionalFormatting>
  <conditionalFormatting sqref="S90">
    <cfRule type="expression" dxfId="31" priority="12" stopIfTrue="1">
      <formula>(S90+T90)&gt;C90</formula>
    </cfRule>
  </conditionalFormatting>
  <conditionalFormatting sqref="S93">
    <cfRule type="expression" dxfId="30" priority="11" stopIfTrue="1">
      <formula>(S93+T93)&gt;C93</formula>
    </cfRule>
  </conditionalFormatting>
  <conditionalFormatting sqref="S84">
    <cfRule type="expression" dxfId="29" priority="10" stopIfTrue="1">
      <formula>(S84+T84)&gt;C84</formula>
    </cfRule>
  </conditionalFormatting>
  <conditionalFormatting sqref="S89">
    <cfRule type="expression" dxfId="28" priority="9" stopIfTrue="1">
      <formula>(S89+T89)&gt;C89</formula>
    </cfRule>
  </conditionalFormatting>
  <conditionalFormatting sqref="S95">
    <cfRule type="expression" dxfId="27" priority="8" stopIfTrue="1">
      <formula>(S95+T95)&gt;C95</formula>
    </cfRule>
  </conditionalFormatting>
  <conditionalFormatting sqref="S80">
    <cfRule type="expression" dxfId="26" priority="7" stopIfTrue="1">
      <formula>(S80+T80)&gt;C80</formula>
    </cfRule>
  </conditionalFormatting>
  <conditionalFormatting sqref="S85">
    <cfRule type="expression" dxfId="25" priority="6" stopIfTrue="1">
      <formula>(S85+T85)&gt;C85</formula>
    </cfRule>
  </conditionalFormatting>
  <conditionalFormatting sqref="S86">
    <cfRule type="expression" dxfId="24" priority="5" stopIfTrue="1">
      <formula>(S86+T86)&gt;C86</formula>
    </cfRule>
  </conditionalFormatting>
  <conditionalFormatting sqref="S46">
    <cfRule type="expression" dxfId="23" priority="4" stopIfTrue="1">
      <formula>(S46+T46)&gt;C46</formula>
    </cfRule>
  </conditionalFormatting>
  <conditionalFormatting sqref="S53">
    <cfRule type="expression" dxfId="22" priority="3" stopIfTrue="1">
      <formula>(S53+T53)&gt;C53</formula>
    </cfRule>
  </conditionalFormatting>
  <conditionalFormatting sqref="S51:S52">
    <cfRule type="expression" dxfId="21" priority="2" stopIfTrue="1">
      <formula>(S51+T51)&gt;C51</formula>
    </cfRule>
  </conditionalFormatting>
  <conditionalFormatting sqref="S50">
    <cfRule type="expression" dxfId="20" priority="1" stopIfTrue="1">
      <formula>(S50+T50)&gt;C50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34" zoomScaleNormal="100" zoomScaleSheetLayoutView="100" workbookViewId="0">
      <selection activeCell="F22" sqref="F22"/>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4" t="s">
        <v>1441</v>
      </c>
      <c r="B1" s="2585"/>
      <c r="C1" s="2585"/>
      <c r="D1" s="2585"/>
      <c r="E1" s="2585"/>
      <c r="F1" s="2585"/>
      <c r="G1" s="2585"/>
      <c r="H1" s="2585"/>
      <c r="I1" s="2585"/>
      <c r="J1" s="2586"/>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830000</v>
      </c>
      <c r="C4" s="566">
        <f>+B4</f>
        <v>830000</v>
      </c>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25000</v>
      </c>
      <c r="C6" s="566">
        <f>+B6</f>
        <v>25000</v>
      </c>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855000</v>
      </c>
      <c r="C8" s="565">
        <f>SUM(C4:C7)</f>
        <v>855000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175000</v>
      </c>
      <c r="C10" s="566">
        <f>+B10</f>
        <v>175000</v>
      </c>
      <c r="D10" s="566"/>
      <c r="E10" s="565">
        <f>'Sources and Uses Budget'!S10</f>
        <v>175000</v>
      </c>
      <c r="F10" s="566">
        <f>+E10</f>
        <v>175000</v>
      </c>
      <c r="G10" s="566"/>
      <c r="H10" s="565">
        <f>'Sources and Uses Budget'!T10</f>
        <v>0</v>
      </c>
      <c r="I10" s="566"/>
      <c r="J10" s="566"/>
      <c r="K10" s="563"/>
    </row>
    <row r="11" spans="1:11" s="564" customFormat="1">
      <c r="A11" s="569" t="s">
        <v>630</v>
      </c>
      <c r="B11" s="565">
        <f>'Sources and Uses Budget'!C11</f>
        <v>175000</v>
      </c>
      <c r="C11" s="565">
        <f>SUM(C9:C10)</f>
        <v>175000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1030000</v>
      </c>
      <c r="C12" s="565">
        <f>SUM(C8+C11)</f>
        <v>1030000</v>
      </c>
      <c r="D12" s="565">
        <f>SUM(D8+D11)</f>
        <v>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500000</v>
      </c>
      <c r="C29" s="566">
        <f t="shared" ref="C29:C33" si="0">+B29</f>
        <v>500000</v>
      </c>
      <c r="D29" s="566"/>
      <c r="E29" s="565">
        <f>'Sources and Uses Budget'!S29</f>
        <v>500000</v>
      </c>
      <c r="F29" s="566">
        <f t="shared" ref="F29:F33" si="1">+E29</f>
        <v>500000</v>
      </c>
      <c r="G29" s="566"/>
      <c r="H29" s="565">
        <f>'Sources and Uses Budget'!T29</f>
        <v>0</v>
      </c>
      <c r="I29" s="566"/>
      <c r="J29" s="566"/>
      <c r="K29" s="563"/>
    </row>
    <row r="30" spans="1:11" s="564" customFormat="1" ht="11.4">
      <c r="A30" s="215" t="s">
        <v>633</v>
      </c>
      <c r="B30" s="565">
        <f>'Sources and Uses Budget'!C30</f>
        <v>14500000</v>
      </c>
      <c r="C30" s="566">
        <f t="shared" si="0"/>
        <v>14500000</v>
      </c>
      <c r="D30" s="566"/>
      <c r="E30" s="565">
        <f>'Sources and Uses Budget'!S30</f>
        <v>14500000</v>
      </c>
      <c r="F30" s="566">
        <f t="shared" si="1"/>
        <v>14500000</v>
      </c>
      <c r="G30" s="566"/>
      <c r="H30" s="565">
        <f>'Sources and Uses Budget'!T30</f>
        <v>0</v>
      </c>
      <c r="I30" s="566"/>
      <c r="J30" s="566"/>
      <c r="K30" s="563"/>
    </row>
    <row r="31" spans="1:11" s="564" customFormat="1" ht="11.4">
      <c r="A31" s="215" t="s">
        <v>634</v>
      </c>
      <c r="B31" s="565">
        <f>'Sources and Uses Budget'!C31</f>
        <v>1062250</v>
      </c>
      <c r="C31" s="566">
        <f t="shared" si="0"/>
        <v>1062250</v>
      </c>
      <c r="D31" s="566"/>
      <c r="E31" s="565">
        <f>'Sources and Uses Budget'!S31</f>
        <v>1062250</v>
      </c>
      <c r="F31" s="566">
        <f t="shared" si="1"/>
        <v>1062250</v>
      </c>
      <c r="G31" s="566"/>
      <c r="H31" s="565">
        <f>'Sources and Uses Budget'!T31</f>
        <v>0</v>
      </c>
      <c r="I31" s="566"/>
      <c r="J31" s="566"/>
      <c r="K31" s="563"/>
    </row>
    <row r="32" spans="1:11" s="564" customFormat="1" ht="11.4">
      <c r="A32" s="215" t="s">
        <v>142</v>
      </c>
      <c r="B32" s="565">
        <f>'Sources and Uses Budget'!C32</f>
        <v>531125</v>
      </c>
      <c r="C32" s="566">
        <f t="shared" si="0"/>
        <v>531125</v>
      </c>
      <c r="D32" s="566"/>
      <c r="E32" s="565">
        <f>'Sources and Uses Budget'!S32</f>
        <v>531125</v>
      </c>
      <c r="F32" s="566">
        <f t="shared" si="1"/>
        <v>531125</v>
      </c>
      <c r="G32" s="566"/>
      <c r="H32" s="565">
        <f>'Sources and Uses Budget'!T32</f>
        <v>0</v>
      </c>
      <c r="I32" s="566"/>
      <c r="J32" s="566"/>
      <c r="K32" s="563"/>
    </row>
    <row r="33" spans="1:11" s="564" customFormat="1" ht="11.4">
      <c r="A33" s="215" t="s">
        <v>143</v>
      </c>
      <c r="B33" s="565">
        <f>'Sources and Uses Budget'!C33</f>
        <v>531125</v>
      </c>
      <c r="C33" s="566">
        <f t="shared" si="0"/>
        <v>531125</v>
      </c>
      <c r="D33" s="566"/>
      <c r="E33" s="565">
        <f>'Sources and Uses Budget'!S33</f>
        <v>531125</v>
      </c>
      <c r="F33" s="566">
        <f t="shared" si="1"/>
        <v>531125</v>
      </c>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345990</v>
      </c>
      <c r="C35" s="566">
        <f>+B35</f>
        <v>345990</v>
      </c>
      <c r="D35" s="566"/>
      <c r="E35" s="565">
        <f>'Sources and Uses Budget'!S35</f>
        <v>345990</v>
      </c>
      <c r="F35" s="566">
        <f>+E35</f>
        <v>345990</v>
      </c>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17470490</v>
      </c>
      <c r="C38" s="565">
        <f>SUM(C29:C37)</f>
        <v>17470490</v>
      </c>
      <c r="D38" s="565">
        <f>SUM(D29:D37)</f>
        <v>0</v>
      </c>
      <c r="E38" s="565">
        <f>'Sources and Uses Budget'!S38</f>
        <v>17470490</v>
      </c>
      <c r="F38" s="572">
        <f>SUM(F29:F37)</f>
        <v>17470490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550000</v>
      </c>
      <c r="C40" s="566">
        <f>+B40</f>
        <v>550000</v>
      </c>
      <c r="D40" s="566"/>
      <c r="E40" s="565">
        <f>'Sources and Uses Budget'!S40</f>
        <v>550000</v>
      </c>
      <c r="F40" s="566">
        <f>+E40</f>
        <v>550000</v>
      </c>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550000</v>
      </c>
      <c r="C42" s="565">
        <f>SUM(C39:C41)</f>
        <v>550000</v>
      </c>
      <c r="D42" s="565">
        <f>SUM(D39:D41)</f>
        <v>0</v>
      </c>
      <c r="E42" s="565">
        <f>'Sources and Uses Budget'!S42</f>
        <v>550000</v>
      </c>
      <c r="F42" s="572">
        <f>SUM(F40:F41)</f>
        <v>550000</v>
      </c>
      <c r="G42" s="572">
        <f>SUM(G40:G41)</f>
        <v>0</v>
      </c>
      <c r="H42" s="565">
        <f>'Sources and Uses Budget'!T42</f>
        <v>0</v>
      </c>
      <c r="I42" s="572">
        <f>SUM(I40:I41)</f>
        <v>0</v>
      </c>
      <c r="J42" s="572">
        <f>SUM(J40:J41)</f>
        <v>0</v>
      </c>
      <c r="K42" s="563"/>
    </row>
    <row r="43" spans="1:11" s="564" customFormat="1">
      <c r="A43" s="569" t="s">
        <v>153</v>
      </c>
      <c r="B43" s="565">
        <f>'Sources and Uses Budget'!C43</f>
        <v>190000</v>
      </c>
      <c r="C43" s="566">
        <f>+B43</f>
        <v>190000</v>
      </c>
      <c r="D43" s="566"/>
      <c r="E43" s="565">
        <f>'Sources and Uses Budget'!S43</f>
        <v>190000</v>
      </c>
      <c r="F43" s="566">
        <f>+E43</f>
        <v>190000</v>
      </c>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931026.05898876255</v>
      </c>
      <c r="C45" s="566">
        <f t="shared" ref="C45:C46" si="2">+B45</f>
        <v>931026.05898876255</v>
      </c>
      <c r="D45" s="566"/>
      <c r="E45" s="565">
        <f>'Sources and Uses Budget'!S45</f>
        <v>558615.63539325749</v>
      </c>
      <c r="F45" s="566">
        <f t="shared" ref="F45:F46" si="3">+E45</f>
        <v>558615.63539325749</v>
      </c>
      <c r="G45" s="566"/>
      <c r="H45" s="565">
        <f>'Sources and Uses Budget'!T45</f>
        <v>0</v>
      </c>
      <c r="I45" s="566"/>
      <c r="J45" s="566"/>
      <c r="K45" s="563"/>
    </row>
    <row r="46" spans="1:11" s="564" customFormat="1" ht="11.4">
      <c r="A46" s="568" t="s">
        <v>156</v>
      </c>
      <c r="B46" s="565">
        <f>'Sources and Uses Budget'!C46</f>
        <v>222560.26067415692</v>
      </c>
      <c r="C46" s="566">
        <f t="shared" si="2"/>
        <v>222560.26067415692</v>
      </c>
      <c r="D46" s="566"/>
      <c r="E46" s="565">
        <f>'Sources and Uses Budget'!S46</f>
        <v>222560.26067415692</v>
      </c>
      <c r="F46" s="566">
        <f t="shared" si="3"/>
        <v>222560.26067415692</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125622.94</v>
      </c>
      <c r="C48" s="566">
        <f t="shared" ref="C48:C53" si="4">+B48</f>
        <v>125622.94</v>
      </c>
      <c r="D48" s="566"/>
      <c r="E48" s="565">
        <f>'Sources and Uses Budget'!S48</f>
        <v>125622.94</v>
      </c>
      <c r="F48" s="566">
        <f>+E48</f>
        <v>125622.94</v>
      </c>
      <c r="G48" s="566"/>
      <c r="H48" s="565">
        <f>'Sources and Uses Budget'!T48</f>
        <v>0</v>
      </c>
      <c r="I48" s="566"/>
      <c r="J48" s="566"/>
      <c r="K48" s="563"/>
    </row>
    <row r="49" spans="1:11" s="564" customFormat="1" ht="11.4">
      <c r="A49" s="440" t="s">
        <v>60</v>
      </c>
      <c r="B49" s="565">
        <f>'Sources and Uses Budget'!C49</f>
        <v>249559.32363636349</v>
      </c>
      <c r="C49" s="566">
        <f t="shared" si="4"/>
        <v>249559.32363636349</v>
      </c>
      <c r="D49" s="566"/>
      <c r="E49" s="565">
        <f>'Sources and Uses Budget'!S49</f>
        <v>0</v>
      </c>
      <c r="F49" s="566"/>
      <c r="G49" s="566"/>
      <c r="H49" s="565">
        <f>'Sources and Uses Budget'!T49</f>
        <v>0</v>
      </c>
      <c r="I49" s="566"/>
      <c r="J49" s="566"/>
      <c r="K49" s="563"/>
    </row>
    <row r="50" spans="1:11" s="564" customFormat="1" ht="11.4">
      <c r="A50" s="568" t="s">
        <v>161</v>
      </c>
      <c r="B50" s="565">
        <f>'Sources and Uses Budget'!C50</f>
        <v>50000</v>
      </c>
      <c r="C50" s="566">
        <f t="shared" si="4"/>
        <v>50000</v>
      </c>
      <c r="D50" s="566"/>
      <c r="E50" s="565">
        <f>'Sources and Uses Budget'!S50</f>
        <v>50000</v>
      </c>
      <c r="F50" s="566">
        <f t="shared" ref="F50:F53" si="5">+E50</f>
        <v>50000</v>
      </c>
      <c r="G50" s="566"/>
      <c r="H50" s="565">
        <f>'Sources and Uses Budget'!T50</f>
        <v>0</v>
      </c>
      <c r="I50" s="566"/>
      <c r="J50" s="566"/>
      <c r="K50" s="563"/>
    </row>
    <row r="51" spans="1:11" s="564" customFormat="1" ht="11.4">
      <c r="A51" s="568" t="s">
        <v>159</v>
      </c>
      <c r="B51" s="565">
        <f>'Sources and Uses Budget'!C51</f>
        <v>19920</v>
      </c>
      <c r="C51" s="566">
        <f t="shared" si="4"/>
        <v>19920</v>
      </c>
      <c r="D51" s="566"/>
      <c r="E51" s="565">
        <f>'Sources and Uses Budget'!S51</f>
        <v>19920</v>
      </c>
      <c r="F51" s="566">
        <f t="shared" si="5"/>
        <v>19920</v>
      </c>
      <c r="G51" s="566"/>
      <c r="H51" s="565">
        <f>'Sources and Uses Budget'!T51</f>
        <v>0</v>
      </c>
      <c r="I51" s="566"/>
      <c r="J51" s="566"/>
      <c r="K51" s="563"/>
    </row>
    <row r="52" spans="1:11" s="564" customFormat="1" ht="11.4">
      <c r="A52" s="568" t="s">
        <v>160</v>
      </c>
      <c r="B52" s="565">
        <f>'Sources and Uses Budget'!C52</f>
        <v>176454.9</v>
      </c>
      <c r="C52" s="566">
        <f t="shared" si="4"/>
        <v>176454.9</v>
      </c>
      <c r="D52" s="566"/>
      <c r="E52" s="565">
        <f>'Sources and Uses Budget'!S52</f>
        <v>176454.9</v>
      </c>
      <c r="F52" s="566">
        <f t="shared" si="5"/>
        <v>176454.9</v>
      </c>
      <c r="G52" s="566"/>
      <c r="H52" s="565">
        <f>'Sources and Uses Budget'!T52</f>
        <v>0</v>
      </c>
      <c r="I52" s="566"/>
      <c r="J52" s="566"/>
      <c r="K52" s="563"/>
    </row>
    <row r="53" spans="1:11" s="564" customFormat="1" ht="11.4">
      <c r="A53" s="571" t="str">
        <f>'Sources and Uses Budget'!$A53</f>
        <v>Other: Lender 3rd Party Costs</v>
      </c>
      <c r="B53" s="565">
        <f>'Sources and Uses Budget'!C53</f>
        <v>25000</v>
      </c>
      <c r="C53" s="566">
        <f t="shared" si="4"/>
        <v>25000</v>
      </c>
      <c r="D53" s="566"/>
      <c r="E53" s="565">
        <f>'Sources and Uses Budget'!S53</f>
        <v>25000</v>
      </c>
      <c r="F53" s="566">
        <f t="shared" si="5"/>
        <v>25000</v>
      </c>
      <c r="G53" s="566"/>
      <c r="H53" s="565">
        <f>'Sources and Uses Budget'!T53</f>
        <v>0</v>
      </c>
      <c r="I53" s="566"/>
      <c r="J53" s="566"/>
      <c r="K53" s="563"/>
    </row>
    <row r="54" spans="1:11" s="575" customFormat="1">
      <c r="A54" s="569" t="s">
        <v>162</v>
      </c>
      <c r="B54" s="565">
        <f>'Sources and Uses Budget'!C54</f>
        <v>1800143.4832992828</v>
      </c>
      <c r="C54" s="572">
        <f>SUM(C45:C53)</f>
        <v>1800143.4832992828</v>
      </c>
      <c r="D54" s="572">
        <f>SUM(D45:D53)</f>
        <v>0</v>
      </c>
      <c r="E54" s="565">
        <f>'Sources and Uses Budget'!S54</f>
        <v>1178173.7360674143</v>
      </c>
      <c r="F54" s="572">
        <f>SUM(F45:F53)</f>
        <v>1178173.7360674143</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45000</v>
      </c>
      <c r="C56" s="566">
        <f>+B56</f>
        <v>45000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f>+B58</f>
        <v>10000</v>
      </c>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Legal</v>
      </c>
      <c r="B61" s="565">
        <f>'Sources and Uses Budget'!C61</f>
        <v>10000</v>
      </c>
      <c r="C61" s="566">
        <f>+B61</f>
        <v>10000</v>
      </c>
      <c r="D61" s="566"/>
      <c r="E61" s="567"/>
      <c r="F61" s="567"/>
      <c r="G61" s="567"/>
      <c r="H61" s="567"/>
      <c r="I61" s="567"/>
      <c r="J61" s="567"/>
      <c r="K61" s="563"/>
    </row>
    <row r="62" spans="1:11" s="564" customFormat="1" ht="13.65" customHeight="1">
      <c r="A62" s="569" t="s">
        <v>309</v>
      </c>
      <c r="B62" s="565">
        <f>'Sources and Uses Budget'!C62</f>
        <v>65000</v>
      </c>
      <c r="C62" s="565">
        <f>SUM(C56:C61)</f>
        <v>65000</v>
      </c>
      <c r="D62" s="565">
        <f>SUM(D56:D61)</f>
        <v>0</v>
      </c>
      <c r="E62" s="567"/>
      <c r="F62" s="567"/>
      <c r="G62" s="567"/>
      <c r="H62" s="567"/>
      <c r="I62" s="567"/>
      <c r="J62" s="567"/>
      <c r="K62" s="563"/>
    </row>
    <row r="63" spans="1:11" s="564" customFormat="1" ht="11.4">
      <c r="A63" s="576" t="s">
        <v>310</v>
      </c>
      <c r="B63" s="565">
        <f>'Sources and Uses Budget'!C63</f>
        <v>21105633.483299281</v>
      </c>
      <c r="C63" s="565">
        <f>SUM(C8+C11+C13+C14+C15+C26+C27+C38+C42+C43+C54+C62)</f>
        <v>21105633.483299281</v>
      </c>
      <c r="D63" s="565">
        <f>SUM(D8+D11+D13+D14+D15+D26+D27+D38+D42+D43+D54+D62)</f>
        <v>0</v>
      </c>
      <c r="E63" s="565">
        <f>'Sources and Uses Budget'!S63</f>
        <v>19563663.736067414</v>
      </c>
      <c r="F63" s="565">
        <f>SUM(F10+F13+F14+F15+F26+F27+F38+F42+F43+F54)</f>
        <v>19563663.736067414</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90000</v>
      </c>
      <c r="C65" s="566">
        <f>+B65</f>
        <v>90000</v>
      </c>
      <c r="D65" s="566"/>
      <c r="E65" s="565">
        <f>'Sources and Uses Budget'!S65</f>
        <v>90000</v>
      </c>
      <c r="F65" s="566">
        <f>+E65</f>
        <v>90000</v>
      </c>
      <c r="G65" s="566"/>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Org, Syndication, Transaction</v>
      </c>
      <c r="B69" s="565">
        <f>'Sources and Uses Budget'!C69</f>
        <v>80000</v>
      </c>
      <c r="C69" s="566">
        <f>+B69</f>
        <v>80000</v>
      </c>
      <c r="D69" s="566"/>
      <c r="E69" s="565">
        <f>'Sources and Uses Budget'!S69</f>
        <v>0</v>
      </c>
      <c r="F69" s="566"/>
      <c r="G69" s="566"/>
      <c r="H69" s="565">
        <f>'Sources and Uses Budget'!T69</f>
        <v>0</v>
      </c>
      <c r="I69" s="566"/>
      <c r="J69" s="566"/>
      <c r="K69" s="563"/>
    </row>
    <row r="70" spans="1:11" s="564" customFormat="1">
      <c r="A70" s="569" t="s">
        <v>635</v>
      </c>
      <c r="B70" s="565">
        <f>'Sources and Uses Budget'!C70</f>
        <v>170000</v>
      </c>
      <c r="C70" s="565">
        <f>SUM(C64:C69)</f>
        <v>170000</v>
      </c>
      <c r="D70" s="565">
        <f>SUM(D64:D69)</f>
        <v>0</v>
      </c>
      <c r="E70" s="565">
        <f>'Sources and Uses Budget'!S70</f>
        <v>90000</v>
      </c>
      <c r="F70" s="572">
        <f>SUM(F65:F69)</f>
        <v>90000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313327.30434782611</v>
      </c>
      <c r="C75" s="566">
        <f>+B75</f>
        <v>313327.30434782611</v>
      </c>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313327.30434782611</v>
      </c>
      <c r="C77" s="565">
        <f>SUM(C72:C76)</f>
        <v>313327.30434782611</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888555.64700000011</v>
      </c>
      <c r="C79" s="566">
        <f t="shared" ref="C79:C80" si="6">+B79</f>
        <v>888555.64700000011</v>
      </c>
      <c r="D79" s="566"/>
      <c r="E79" s="565">
        <f>'Sources and Uses Budget'!S79</f>
        <v>888555.64700000011</v>
      </c>
      <c r="F79" s="566">
        <f t="shared" ref="F79:F80" si="7">+E79</f>
        <v>888555.64700000011</v>
      </c>
      <c r="G79" s="566"/>
      <c r="H79" s="565">
        <f>'Sources and Uses Budget'!T79</f>
        <v>0</v>
      </c>
      <c r="I79" s="566"/>
      <c r="J79" s="566"/>
      <c r="K79" s="563"/>
    </row>
    <row r="80" spans="1:11" s="564" customFormat="1" ht="11.4">
      <c r="A80" s="568" t="s">
        <v>61</v>
      </c>
      <c r="B80" s="565">
        <f>'Sources and Uses Budget'!C80</f>
        <v>51000</v>
      </c>
      <c r="C80" s="566">
        <f t="shared" si="6"/>
        <v>51000</v>
      </c>
      <c r="D80" s="566"/>
      <c r="E80" s="565">
        <f>'Sources and Uses Budget'!S80</f>
        <v>51000</v>
      </c>
      <c r="F80" s="566">
        <f t="shared" si="7"/>
        <v>51000</v>
      </c>
      <c r="G80" s="566"/>
      <c r="H80" s="565">
        <f>'Sources and Uses Budget'!T80</f>
        <v>0</v>
      </c>
      <c r="I80" s="566"/>
      <c r="J80" s="566"/>
      <c r="K80" s="563"/>
    </row>
    <row r="81" spans="1:11" s="564" customFormat="1">
      <c r="A81" s="569" t="s">
        <v>1418</v>
      </c>
      <c r="B81" s="565">
        <f>'Sources and Uses Budget'!C81</f>
        <v>939555.64700000011</v>
      </c>
      <c r="C81" s="565">
        <f>SUM(C79:C80)</f>
        <v>939555.64700000011</v>
      </c>
      <c r="D81" s="565">
        <f>SUM(D79:D80)</f>
        <v>0</v>
      </c>
      <c r="E81" s="565">
        <f>'Sources and Uses Budget'!S81</f>
        <v>939555.64700000011</v>
      </c>
      <c r="F81" s="565">
        <f>SUM(F79:F80)</f>
        <v>939555.64700000011</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0</v>
      </c>
      <c r="C83" s="566"/>
      <c r="D83" s="566"/>
      <c r="E83" s="567"/>
      <c r="F83" s="567"/>
      <c r="G83" s="567"/>
      <c r="H83" s="567"/>
      <c r="I83" s="567"/>
      <c r="J83" s="567"/>
      <c r="K83" s="563"/>
    </row>
    <row r="84" spans="1:11" s="564" customFormat="1" ht="11.4">
      <c r="A84" s="215" t="s">
        <v>824</v>
      </c>
      <c r="B84" s="565">
        <f>'Sources and Uses Budget'!C84</f>
        <v>10000</v>
      </c>
      <c r="C84" s="566">
        <f t="shared" ref="C84:C86" si="8">+B84</f>
        <v>10000</v>
      </c>
      <c r="D84" s="566"/>
      <c r="E84" s="565">
        <f>'Sources and Uses Budget'!S84</f>
        <v>10000</v>
      </c>
      <c r="F84" s="566">
        <f t="shared" ref="F84:F86" si="9">+E84</f>
        <v>10000</v>
      </c>
      <c r="G84" s="566"/>
      <c r="H84" s="565">
        <f>'Sources and Uses Budget'!T84</f>
        <v>0</v>
      </c>
      <c r="I84" s="566"/>
      <c r="J84" s="566"/>
      <c r="K84" s="563"/>
    </row>
    <row r="85" spans="1:11" s="564" customFormat="1" ht="11.4">
      <c r="A85" s="215" t="s">
        <v>825</v>
      </c>
      <c r="B85" s="565">
        <f>'Sources and Uses Budget'!C85</f>
        <v>726675</v>
      </c>
      <c r="C85" s="566">
        <f t="shared" si="8"/>
        <v>726675</v>
      </c>
      <c r="D85" s="566"/>
      <c r="E85" s="565">
        <f>'Sources and Uses Budget'!S85</f>
        <v>726675</v>
      </c>
      <c r="F85" s="566">
        <f t="shared" si="9"/>
        <v>726675</v>
      </c>
      <c r="G85" s="566"/>
      <c r="H85" s="565">
        <f>'Sources and Uses Budget'!T85</f>
        <v>0</v>
      </c>
      <c r="I85" s="566"/>
      <c r="J85" s="566"/>
      <c r="K85" s="563"/>
    </row>
    <row r="86" spans="1:11" s="564" customFormat="1" ht="11.4">
      <c r="A86" s="215" t="s">
        <v>826</v>
      </c>
      <c r="B86" s="565">
        <f>'Sources and Uses Budget'!C86</f>
        <v>1047518.3717399999</v>
      </c>
      <c r="C86" s="566">
        <f t="shared" si="8"/>
        <v>1047518.3717399999</v>
      </c>
      <c r="D86" s="566"/>
      <c r="E86" s="565">
        <f>'Sources and Uses Budget'!S86</f>
        <v>1047518.3717399999</v>
      </c>
      <c r="F86" s="566">
        <f t="shared" si="9"/>
        <v>1047518.3717399999</v>
      </c>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10000</v>
      </c>
      <c r="C88" s="566">
        <f t="shared" ref="C88:C95" si="10">+B88</f>
        <v>10000</v>
      </c>
      <c r="D88" s="566"/>
      <c r="E88" s="567"/>
      <c r="F88" s="567"/>
      <c r="G88" s="567"/>
      <c r="H88" s="567"/>
      <c r="I88" s="567"/>
      <c r="J88" s="567"/>
      <c r="K88" s="563"/>
    </row>
    <row r="89" spans="1:11" s="564" customFormat="1" ht="11.4">
      <c r="A89" s="215" t="s">
        <v>829</v>
      </c>
      <c r="B89" s="565">
        <f>'Sources and Uses Budget'!C89</f>
        <v>105000</v>
      </c>
      <c r="C89" s="566">
        <f t="shared" si="10"/>
        <v>105000</v>
      </c>
      <c r="D89" s="566"/>
      <c r="E89" s="565">
        <f>'Sources and Uses Budget'!S89</f>
        <v>105000</v>
      </c>
      <c r="F89" s="566">
        <f t="shared" ref="F89:F90" si="11">+E89</f>
        <v>105000</v>
      </c>
      <c r="G89" s="566"/>
      <c r="H89" s="565">
        <f>'Sources and Uses Budget'!T89</f>
        <v>0</v>
      </c>
      <c r="I89" s="566"/>
      <c r="J89" s="566"/>
      <c r="K89" s="563"/>
    </row>
    <row r="90" spans="1:11" s="564" customFormat="1" ht="11.4">
      <c r="A90" s="215" t="s">
        <v>830</v>
      </c>
      <c r="B90" s="565">
        <f>'Sources and Uses Budget'!C90</f>
        <v>10000</v>
      </c>
      <c r="C90" s="566">
        <f t="shared" si="10"/>
        <v>10000</v>
      </c>
      <c r="D90" s="566"/>
      <c r="E90" s="565">
        <f>'Sources and Uses Budget'!S90</f>
        <v>10000</v>
      </c>
      <c r="F90" s="566">
        <f t="shared" si="11"/>
        <v>10000</v>
      </c>
      <c r="G90" s="566"/>
      <c r="H90" s="565">
        <f>'Sources and Uses Budget'!T90</f>
        <v>0</v>
      </c>
      <c r="I90" s="566"/>
      <c r="J90" s="566"/>
      <c r="K90" s="563"/>
    </row>
    <row r="91" spans="1:11" s="564" customFormat="1" ht="11.4">
      <c r="A91" s="226" t="s">
        <v>390</v>
      </c>
      <c r="B91" s="565">
        <f>'Sources and Uses Budget'!C91</f>
        <v>20000</v>
      </c>
      <c r="C91" s="566">
        <f t="shared" si="10"/>
        <v>20000</v>
      </c>
      <c r="D91" s="566"/>
      <c r="E91" s="565">
        <f>'Sources and Uses Budget'!S91</f>
        <v>0</v>
      </c>
      <c r="F91" s="566"/>
      <c r="G91" s="566"/>
      <c r="H91" s="565">
        <f>'Sources and Uses Budget'!T91</f>
        <v>0</v>
      </c>
      <c r="I91" s="566"/>
      <c r="J91" s="566"/>
      <c r="K91" s="563"/>
    </row>
    <row r="92" spans="1:11" s="564" customFormat="1" ht="11.4">
      <c r="A92" s="858" t="s">
        <v>1420</v>
      </c>
      <c r="B92" s="565">
        <f>'Sources and Uses Budget'!C92</f>
        <v>15000</v>
      </c>
      <c r="C92" s="566">
        <f t="shared" si="10"/>
        <v>15000</v>
      </c>
      <c r="D92" s="566"/>
      <c r="E92" s="565">
        <f>'Sources and Uses Budget'!S92</f>
        <v>15000</v>
      </c>
      <c r="F92" s="566">
        <f t="shared" ref="F92:F95" si="12">+E92</f>
        <v>15000</v>
      </c>
      <c r="G92" s="566"/>
      <c r="H92" s="565">
        <f>'Sources and Uses Budget'!T92</f>
        <v>0</v>
      </c>
      <c r="I92" s="566"/>
      <c r="J92" s="566"/>
      <c r="K92" s="563"/>
    </row>
    <row r="93" spans="1:11" s="564" customFormat="1" ht="11.4">
      <c r="A93" s="571" t="str">
        <f>'Sources and Uses Budget'!$A93</f>
        <v>Other: Inspections</v>
      </c>
      <c r="B93" s="565">
        <f>'Sources and Uses Budget'!C93</f>
        <v>125000</v>
      </c>
      <c r="C93" s="566">
        <f t="shared" si="10"/>
        <v>125000</v>
      </c>
      <c r="D93" s="566"/>
      <c r="E93" s="565">
        <f>'Sources and Uses Budget'!S93</f>
        <v>125000</v>
      </c>
      <c r="F93" s="566">
        <f t="shared" si="12"/>
        <v>125000</v>
      </c>
      <c r="G93" s="566"/>
      <c r="H93" s="565">
        <f>'Sources and Uses Budget'!T93</f>
        <v>0</v>
      </c>
      <c r="I93" s="566"/>
      <c r="J93" s="566"/>
      <c r="K93" s="563"/>
    </row>
    <row r="94" spans="1:11" s="564" customFormat="1" ht="11.4">
      <c r="A94" s="571" t="str">
        <f>'Sources and Uses Budget'!$A94</f>
        <v>Other: Other Consultants, Lease-up</v>
      </c>
      <c r="B94" s="565">
        <f>'Sources and Uses Budget'!C94</f>
        <v>25000</v>
      </c>
      <c r="C94" s="566">
        <f t="shared" si="10"/>
        <v>25000</v>
      </c>
      <c r="D94" s="566"/>
      <c r="E94" s="565">
        <f>'Sources and Uses Budget'!S94</f>
        <v>20000</v>
      </c>
      <c r="F94" s="566">
        <f t="shared" si="12"/>
        <v>20000</v>
      </c>
      <c r="G94" s="566"/>
      <c r="H94" s="565">
        <f>'Sources and Uses Budget'!T94</f>
        <v>0</v>
      </c>
      <c r="I94" s="566"/>
      <c r="J94" s="566"/>
      <c r="K94" s="563"/>
    </row>
    <row r="95" spans="1:11" s="564" customFormat="1" ht="11.4">
      <c r="A95" s="571" t="str">
        <f>'Sources and Uses Budget'!$A95</f>
        <v>Other: Utility Connections</v>
      </c>
      <c r="B95" s="565">
        <f>'Sources and Uses Budget'!C95</f>
        <v>250000</v>
      </c>
      <c r="C95" s="566">
        <f t="shared" si="10"/>
        <v>250000</v>
      </c>
      <c r="D95" s="566"/>
      <c r="E95" s="565">
        <f>'Sources and Uses Budget'!S95</f>
        <v>250000</v>
      </c>
      <c r="F95" s="566">
        <f t="shared" si="12"/>
        <v>250000</v>
      </c>
      <c r="G95" s="566"/>
      <c r="H95" s="565">
        <f>'Sources and Uses Budget'!T95</f>
        <v>0</v>
      </c>
      <c r="I95" s="566"/>
      <c r="J95" s="566"/>
      <c r="K95" s="563"/>
    </row>
    <row r="96" spans="1:11" s="564" customFormat="1">
      <c r="A96" s="569" t="s">
        <v>831</v>
      </c>
      <c r="B96" s="565">
        <f>'Sources and Uses Budget'!C96</f>
        <v>2344193.3717399999</v>
      </c>
      <c r="C96" s="565">
        <f>SUM(C83:C95)</f>
        <v>2344193.3717399999</v>
      </c>
      <c r="D96" s="565">
        <f>SUM(D83:D95)</f>
        <v>0</v>
      </c>
      <c r="E96" s="565">
        <f>'Sources and Uses Budget'!S96</f>
        <v>2309193.3717399999</v>
      </c>
      <c r="F96" s="572">
        <f>SUM(F84:F87,F89:F95)</f>
        <v>2309193.3717399999</v>
      </c>
      <c r="G96" s="572">
        <f>SUM(G84:G87,G89:G95)</f>
        <v>0</v>
      </c>
      <c r="H96" s="565">
        <f>'Sources and Uses Budget'!T96</f>
        <v>0</v>
      </c>
      <c r="I96" s="565">
        <f>SUM(I84:I87,I89:I95)</f>
        <v>0</v>
      </c>
      <c r="J96" s="565">
        <f>SUM(J84:J87,J89:J95)</f>
        <v>0</v>
      </c>
      <c r="K96" s="563"/>
    </row>
    <row r="97" spans="1:11" s="564" customFormat="1">
      <c r="A97" s="569" t="s">
        <v>1141</v>
      </c>
      <c r="B97" s="565">
        <f>'Sources and Uses Budget'!C97</f>
        <v>24872709.806387104</v>
      </c>
      <c r="C97" s="565">
        <f>SUM(C63+C70+C77+C81+C96)</f>
        <v>24872709.806387104</v>
      </c>
      <c r="D97" s="565">
        <f>SUM(D63+D70+D77+D81+D96)</f>
        <v>0</v>
      </c>
      <c r="E97" s="565">
        <f>'Sources and Uses Budget'!S97</f>
        <v>22902412.754807413</v>
      </c>
      <c r="F97" s="572">
        <f>SUM(+F63+F70+F81+F96)</f>
        <v>22902412.754807413</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3435361.9132211125</v>
      </c>
      <c r="C99" s="566">
        <f>+B99</f>
        <v>3435361.9132211125</v>
      </c>
      <c r="D99" s="566"/>
      <c r="E99" s="565">
        <f>'Sources and Uses Budget'!S99</f>
        <v>3435361.9132211125</v>
      </c>
      <c r="F99" s="566">
        <f>+E99</f>
        <v>3435361.9132211125</v>
      </c>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3435361.9132211125</v>
      </c>
      <c r="C104" s="565">
        <f>SUM(C99:C103)</f>
        <v>3435361.9132211125</v>
      </c>
      <c r="D104" s="565">
        <f>SUM(D99:D103)</f>
        <v>0</v>
      </c>
      <c r="E104" s="565">
        <f>'Sources and Uses Budget'!S104</f>
        <v>3435361.9132211125</v>
      </c>
      <c r="F104" s="572">
        <f>SUM(F99:F103)</f>
        <v>3435361.9132211125</v>
      </c>
      <c r="G104" s="572">
        <f>SUM(G99:G103)</f>
        <v>0</v>
      </c>
      <c r="H104" s="565">
        <f>'Sources and Uses Budget'!T104</f>
        <v>0</v>
      </c>
      <c r="I104" s="572">
        <f>SUM(I99:I103)</f>
        <v>0</v>
      </c>
      <c r="J104" s="572">
        <f>SUM(J99:J103)</f>
        <v>0</v>
      </c>
      <c r="K104" s="563"/>
    </row>
    <row r="105" spans="1:11" s="564" customFormat="1">
      <c r="A105" s="569" t="s">
        <v>1142</v>
      </c>
      <c r="B105" s="565">
        <f>'Sources and Uses Budget'!C105</f>
        <v>28308071.719608217</v>
      </c>
      <c r="C105" s="572">
        <f>SUM(C97+C104)</f>
        <v>28308071.719608217</v>
      </c>
      <c r="D105" s="572">
        <f>SUM(D97+D104)</f>
        <v>0</v>
      </c>
      <c r="E105" s="565">
        <f>'Sources and Uses Budget'!S105</f>
        <v>26337774.668028526</v>
      </c>
      <c r="F105" s="572">
        <f>F97+F104</f>
        <v>26337774.668028526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26337774.668028526</v>
      </c>
      <c r="F107" s="581">
        <f>F105+F106</f>
        <v>26337774.668028526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8"/>
      <c r="E124" s="2579"/>
      <c r="F124" s="2579"/>
      <c r="G124" s="2579"/>
      <c r="H124" s="2579"/>
      <c r="I124" s="2579"/>
      <c r="J124" s="583"/>
      <c r="K124" s="563"/>
    </row>
    <row r="125" spans="1:11" s="564" customFormat="1" ht="13.2">
      <c r="A125" s="594"/>
      <c r="B125" s="593"/>
      <c r="C125" s="594"/>
      <c r="D125" s="2579"/>
      <c r="E125" s="2579"/>
      <c r="F125" s="2579"/>
      <c r="G125" s="2579"/>
      <c r="H125" s="2579"/>
      <c r="I125" s="2579"/>
      <c r="J125" s="583"/>
      <c r="K125" s="563"/>
    </row>
    <row r="126" spans="1:11" s="564" customFormat="1" ht="13.2">
      <c r="A126" s="594"/>
      <c r="B126" s="593"/>
      <c r="C126" s="594"/>
      <c r="D126" s="2579"/>
      <c r="E126" s="2579"/>
      <c r="F126" s="2579"/>
      <c r="G126" s="2579"/>
      <c r="H126" s="2579"/>
      <c r="I126" s="2579"/>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0"/>
      <c r="B139" s="2581"/>
      <c r="C139" s="2581"/>
      <c r="D139" s="606"/>
      <c r="E139" s="594"/>
      <c r="F139" s="594"/>
      <c r="G139" s="594"/>
    </row>
    <row r="140" spans="1:11" ht="12" customHeight="1">
      <c r="A140" s="2582"/>
      <c r="B140" s="2583"/>
      <c r="C140" s="258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sqref="A1:BE1"/>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87" t="s">
        <v>2032</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2033</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3" t="str">
        <f>IF(Application!H18="","",Application!H18)</f>
        <v>Juniper Valley Townhomes</v>
      </c>
      <c r="M4" s="2594"/>
      <c r="N4" s="2594"/>
      <c r="O4" s="2594"/>
      <c r="P4" s="2594"/>
      <c r="Q4" s="2594"/>
      <c r="R4" s="2594"/>
      <c r="S4" s="2594"/>
      <c r="T4" s="2594"/>
      <c r="U4" s="2594"/>
      <c r="V4" s="2594"/>
      <c r="W4" s="2594"/>
      <c r="X4" s="2594"/>
      <c r="Y4" s="2594"/>
      <c r="Z4" s="2594"/>
      <c r="AA4" s="2594"/>
      <c r="AB4" s="2594"/>
      <c r="AC4" s="2595"/>
      <c r="AD4" s="1529"/>
      <c r="AE4" s="1529"/>
      <c r="AF4" s="2596" t="s">
        <v>2034</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2035</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17" t="str">
        <f>IF(Application!H16="","",Application!H16)</f>
        <v>JCL GP LLC</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3" t="e">
        <f>VLOOKUP("CalHFA Permanent Loan",Application!C564:AS575,37,TRUE)</f>
        <v>#N/A</v>
      </c>
      <c r="O10" s="2624"/>
      <c r="P10" s="2624"/>
      <c r="Q10" s="2624"/>
      <c r="R10" s="2624"/>
      <c r="S10" s="2624"/>
      <c r="T10" s="2625"/>
      <c r="U10" s="1529"/>
      <c r="V10" s="1529"/>
      <c r="W10" s="1529"/>
      <c r="X10" s="2603" t="s">
        <v>2040</v>
      </c>
      <c r="Y10" s="2604"/>
      <c r="Z10" s="2604"/>
      <c r="AA10" s="2604"/>
      <c r="AB10" s="2604"/>
      <c r="AC10" s="2604"/>
      <c r="AD10" s="2604"/>
      <c r="AE10" s="2604"/>
      <c r="AF10" s="2604"/>
      <c r="AG10" s="2604"/>
      <c r="AH10" s="2604"/>
      <c r="AI10" s="2604"/>
      <c r="AJ10" s="2604"/>
      <c r="AK10" s="2605"/>
      <c r="AL10" s="2609">
        <f>Application!W471</f>
        <v>11</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2042</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2043</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5" thickBot="1">
      <c r="A13" s="1818"/>
      <c r="B13" s="2603" t="s">
        <v>2044</v>
      </c>
      <c r="C13" s="2604"/>
      <c r="D13" s="2604"/>
      <c r="E13" s="2604"/>
      <c r="F13" s="2604"/>
      <c r="G13" s="2604"/>
      <c r="H13" s="2604"/>
      <c r="I13" s="2604"/>
      <c r="J13" s="2604"/>
      <c r="K13" s="2604"/>
      <c r="L13" s="2604"/>
      <c r="M13" s="2604"/>
      <c r="N13" s="2604"/>
      <c r="O13" s="2604"/>
      <c r="P13" s="2605"/>
      <c r="Q13" s="2612" t="s">
        <v>2038</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3" t="s">
        <v>2045</v>
      </c>
      <c r="C15" s="2613"/>
      <c r="D15" s="2613"/>
      <c r="E15" s="2613"/>
      <c r="F15" s="2613"/>
      <c r="G15" s="2613"/>
      <c r="H15" s="2613"/>
      <c r="I15" s="2613"/>
      <c r="J15" s="2613"/>
      <c r="K15" s="2613"/>
      <c r="L15" s="2614"/>
      <c r="M15" s="2596" t="s">
        <v>2046</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2" t="s">
        <v>2047</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2048</v>
      </c>
      <c r="C18" s="2636"/>
      <c r="D18" s="2636"/>
      <c r="E18" s="2636"/>
      <c r="F18" s="2636"/>
      <c r="G18" s="2636"/>
      <c r="H18" s="2636"/>
      <c r="I18" s="2637"/>
      <c r="J18" s="2638" t="s">
        <v>1880</v>
      </c>
      <c r="K18" s="2639"/>
      <c r="L18" s="2639"/>
      <c r="M18" s="2639"/>
      <c r="N18" s="2639"/>
      <c r="O18" s="2640"/>
      <c r="P18" s="2638" t="s">
        <v>333</v>
      </c>
      <c r="Q18" s="2639"/>
      <c r="R18" s="2639"/>
      <c r="S18" s="2639"/>
      <c r="T18" s="2639"/>
      <c r="U18" s="2640"/>
      <c r="V18" s="2638" t="s">
        <v>334</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2049</v>
      </c>
      <c r="AU18" s="2639"/>
      <c r="AV18" s="2639"/>
      <c r="AW18" s="2639"/>
      <c r="AX18" s="2639"/>
      <c r="AY18" s="2641"/>
      <c r="AZ18" s="1529"/>
      <c r="BA18" s="1529"/>
      <c r="BB18" s="1529"/>
      <c r="BC18" s="1529"/>
      <c r="BD18" s="1529"/>
      <c r="BE18" s="1535"/>
    </row>
    <row r="19" spans="1:58" ht="14.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 customHeight="1">
      <c r="A20" s="1818"/>
      <c r="B20" s="2648">
        <v>0.3</v>
      </c>
      <c r="C20" s="2649"/>
      <c r="D20" s="2649"/>
      <c r="E20" s="2649"/>
      <c r="F20" s="2649"/>
      <c r="G20" s="2649"/>
      <c r="H20" s="2649"/>
      <c r="I20" s="2649"/>
      <c r="J20" s="2638">
        <f t="shared" ref="J20:J27" si="1">SUM(P20:AS20)</f>
        <v>7</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0</v>
      </c>
      <c r="W20" s="2643"/>
      <c r="X20" s="2643"/>
      <c r="Y20" s="2643"/>
      <c r="Z20" s="2643"/>
      <c r="AA20" s="2644"/>
      <c r="AB20" s="2642" cm="1">
        <f t="array" ref="AB20">SUMPRODUCT((Application!$B$728:$B$752 = 'CalHFA Addendum'!AB$18)*(Application!$AH$728:$AH$752 = 'CalHFA Addendum'!$B20),Application!$G$728:$G$752)</f>
        <v>3</v>
      </c>
      <c r="AC20" s="2643"/>
      <c r="AD20" s="2643"/>
      <c r="AE20" s="2643"/>
      <c r="AF20" s="2643"/>
      <c r="AG20" s="2644"/>
      <c r="AH20" s="2642" cm="1">
        <f t="array" ref="AH20">SUMPRODUCT((Application!$B$728:$B$752 = 'CalHFA Addendum'!AH$18)*(Application!$AH$728:$AH$752 = 'CalHFA Addendum'!$B20),Application!$G$728:$G$752)</f>
        <v>4</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v>
      </c>
      <c r="AU20" s="2646"/>
      <c r="AV20" s="2646"/>
      <c r="AW20" s="2646"/>
      <c r="AX20" s="2646"/>
      <c r="AY20" s="2647"/>
      <c r="AZ20" s="1529"/>
      <c r="BA20" s="1529"/>
      <c r="BB20" s="1529"/>
      <c r="BC20" s="1529"/>
      <c r="BD20" s="1529"/>
      <c r="BE20" s="1535"/>
    </row>
    <row r="21" spans="1:58" ht="14.4">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29"/>
      <c r="BA21" s="1529"/>
      <c r="BB21" s="1529"/>
      <c r="BC21" s="1529"/>
      <c r="BD21" s="1529"/>
      <c r="BE21" s="1535"/>
    </row>
    <row r="22" spans="1:58" ht="14.4">
      <c r="A22" s="1818"/>
      <c r="B22" s="2648">
        <v>0.5</v>
      </c>
      <c r="C22" s="2649"/>
      <c r="D22" s="2649"/>
      <c r="E22" s="2649"/>
      <c r="F22" s="2649"/>
      <c r="G22" s="2649"/>
      <c r="H22" s="2649"/>
      <c r="I22" s="2649"/>
      <c r="J22" s="2638">
        <f t="shared" si="1"/>
        <v>7</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0</v>
      </c>
      <c r="W22" s="2643"/>
      <c r="X22" s="2643"/>
      <c r="Y22" s="2643"/>
      <c r="Z22" s="2643"/>
      <c r="AA22" s="2644"/>
      <c r="AB22" s="2642" cm="1">
        <f t="array" ref="AB22">SUMPRODUCT((Application!$B$728:$B$752 = 'CalHFA Addendum'!AB$18)*(Application!$AH$728:$AH$752 = 'CalHFA Addendum'!$B22),Application!$G$728:$G$752)</f>
        <v>2</v>
      </c>
      <c r="AC22" s="2643"/>
      <c r="AD22" s="2643"/>
      <c r="AE22" s="2643"/>
      <c r="AF22" s="2643"/>
      <c r="AG22" s="2644"/>
      <c r="AH22" s="2642" cm="1">
        <f t="array" ref="AH22">SUMPRODUCT((Application!$B$728:$B$752 = 'CalHFA Addendum'!AH$18)*(Application!$AH$728:$AH$752 = 'CalHFA Addendum'!$B22),Application!$G$728:$G$752)</f>
        <v>5</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v>
      </c>
      <c r="AU22" s="2646"/>
      <c r="AV22" s="2646"/>
      <c r="AW22" s="2646"/>
      <c r="AX22" s="2646"/>
      <c r="AY22" s="2647"/>
      <c r="AZ22" s="1529"/>
      <c r="BA22" s="1529"/>
      <c r="BB22" s="1529"/>
      <c r="BC22" s="1529"/>
      <c r="BD22" s="1529"/>
      <c r="BE22" s="1535"/>
    </row>
    <row r="23" spans="1:58" ht="14.4">
      <c r="A23" s="1818"/>
      <c r="B23" s="2648">
        <v>0.6</v>
      </c>
      <c r="C23" s="2649"/>
      <c r="D23" s="2649"/>
      <c r="E23" s="2649"/>
      <c r="F23" s="2649"/>
      <c r="G23" s="2649"/>
      <c r="H23" s="2649"/>
      <c r="I23" s="2649"/>
      <c r="J23" s="2638">
        <f t="shared" si="1"/>
        <v>30</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0</v>
      </c>
      <c r="W23" s="2643"/>
      <c r="X23" s="2643"/>
      <c r="Y23" s="2643"/>
      <c r="Z23" s="2643"/>
      <c r="AA23" s="2644"/>
      <c r="AB23" s="2642" cm="1">
        <f t="array" ref="AB23">SUMPRODUCT((Application!$B$728:$B$752 = 'CalHFA Addendum'!AB$18)*(Application!$AH$728:$AH$752 = 'CalHFA Addendum'!$B23),Application!$G$728:$G$752)</f>
        <v>0</v>
      </c>
      <c r="AC23" s="2643"/>
      <c r="AD23" s="2643"/>
      <c r="AE23" s="2643"/>
      <c r="AF23" s="2643"/>
      <c r="AG23" s="2644"/>
      <c r="AH23" s="2642" cm="1">
        <f t="array" ref="AH23">SUMPRODUCT((Application!$B$728:$B$752 = 'CalHFA Addendum'!AH$18)*(Application!$AH$728:$AH$752 = 'CalHFA Addendum'!$B23),Application!$G$728:$G$752)</f>
        <v>30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0.42857142857142855</v>
      </c>
      <c r="AU23" s="2646"/>
      <c r="AV23" s="2646"/>
      <c r="AW23" s="2646"/>
      <c r="AX23" s="2646"/>
      <c r="AY23" s="2647"/>
      <c r="AZ23" s="1529"/>
      <c r="BA23" s="1529"/>
      <c r="BB23" s="1529"/>
      <c r="BC23" s="1529"/>
      <c r="BD23" s="1529"/>
      <c r="BE23" s="1535"/>
    </row>
    <row r="24" spans="1:58" ht="14.4">
      <c r="A24" s="1818"/>
      <c r="B24" s="2648">
        <v>0.7</v>
      </c>
      <c r="C24" s="2649"/>
      <c r="D24" s="2649"/>
      <c r="E24" s="2649"/>
      <c r="F24" s="2649"/>
      <c r="G24" s="2649"/>
      <c r="H24" s="2649"/>
      <c r="I24" s="2649"/>
      <c r="J24" s="2638">
        <f t="shared" si="1"/>
        <v>25</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25</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0.35714285714285715</v>
      </c>
      <c r="AU24" s="2646"/>
      <c r="AV24" s="2646"/>
      <c r="AW24" s="2646"/>
      <c r="AX24" s="2646"/>
      <c r="AY24" s="2647"/>
      <c r="AZ24" s="1529"/>
      <c r="BA24" s="1529"/>
      <c r="BB24" s="1529"/>
      <c r="BC24" s="1529"/>
      <c r="BD24" s="1529"/>
      <c r="BE24" s="1535"/>
    </row>
    <row r="25" spans="1:58" ht="14.4">
      <c r="A25" s="1818"/>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29"/>
      <c r="BA25" s="1529"/>
      <c r="BB25" s="1529"/>
      <c r="BC25" s="1529"/>
      <c r="BD25" s="1529"/>
      <c r="BE25" s="1535"/>
    </row>
    <row r="26" spans="1:58" ht="14.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5" thickBot="1">
      <c r="A28" s="1818"/>
      <c r="B28" s="2660" t="s">
        <v>2050</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1.4285714285714285E-2</v>
      </c>
      <c r="AU28" s="2646"/>
      <c r="AV28" s="2646"/>
      <c r="AW28" s="2646"/>
      <c r="AX28" s="2646"/>
      <c r="AY28" s="2647"/>
      <c r="AZ28" s="1529"/>
      <c r="BA28" s="1529"/>
      <c r="BB28" s="1529"/>
      <c r="BC28" s="1529"/>
      <c r="BD28" s="1529"/>
      <c r="BE28" s="1535"/>
    </row>
    <row r="29" spans="1:58" ht="15" thickBot="1">
      <c r="A29" s="1818"/>
      <c r="B29" s="2653" t="s">
        <v>1880</v>
      </c>
      <c r="C29" s="2654"/>
      <c r="D29" s="2654"/>
      <c r="E29" s="2654"/>
      <c r="F29" s="2654"/>
      <c r="G29" s="2654"/>
      <c r="H29" s="2654"/>
      <c r="I29" s="2655"/>
      <c r="J29" s="2656">
        <f>SUM(J19:O28)</f>
        <v>70</v>
      </c>
      <c r="K29" s="2654"/>
      <c r="L29" s="2654"/>
      <c r="M29" s="2654"/>
      <c r="N29" s="2654"/>
      <c r="O29" s="2655"/>
      <c r="P29" s="2656">
        <f>SUM(P19:U28)</f>
        <v>0</v>
      </c>
      <c r="Q29" s="2654"/>
      <c r="R29" s="2654"/>
      <c r="S29" s="2654"/>
      <c r="T29" s="2654"/>
      <c r="U29" s="2655"/>
      <c r="V29" s="2656">
        <f>SUM(V19:AA28)</f>
        <v>0</v>
      </c>
      <c r="W29" s="2654"/>
      <c r="X29" s="2654"/>
      <c r="Y29" s="2654"/>
      <c r="Z29" s="2654"/>
      <c r="AA29" s="2655"/>
      <c r="AB29" s="2656">
        <f>SUM(AB19:AG28)</f>
        <v>6</v>
      </c>
      <c r="AC29" s="2654"/>
      <c r="AD29" s="2654"/>
      <c r="AE29" s="2654"/>
      <c r="AF29" s="2654"/>
      <c r="AG29" s="2655"/>
      <c r="AH29" s="2656">
        <f>SUM(AH19:AM28)</f>
        <v>64</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3" t="s">
        <v>2051</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5" thickBot="1">
      <c r="A32" s="1818"/>
      <c r="B32" s="2666" t="s">
        <v>2052</v>
      </c>
      <c r="C32" s="2667"/>
      <c r="D32" s="2667"/>
      <c r="E32" s="2667"/>
      <c r="F32" s="2667"/>
      <c r="G32" s="2667"/>
      <c r="H32" s="2667"/>
      <c r="I32" s="2668"/>
      <c r="J32" s="2670" t="s">
        <v>2053</v>
      </c>
      <c r="K32" s="2671"/>
      <c r="L32" s="2671"/>
      <c r="M32" s="2672"/>
      <c r="N32" s="2670" t="s">
        <v>2054</v>
      </c>
      <c r="O32" s="2671"/>
      <c r="P32" s="2671"/>
      <c r="Q32" s="2671"/>
      <c r="R32" s="2674" t="s">
        <v>2055</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 customHeight="1">
      <c r="A33" s="1818"/>
      <c r="B33" s="2669"/>
      <c r="C33" s="2667"/>
      <c r="D33" s="2667"/>
      <c r="E33" s="2667"/>
      <c r="F33" s="2667"/>
      <c r="G33" s="2667"/>
      <c r="H33" s="2667"/>
      <c r="I33" s="2668"/>
      <c r="J33" s="2673"/>
      <c r="K33" s="2671"/>
      <c r="L33" s="2671"/>
      <c r="M33" s="2672"/>
      <c r="N33" s="2673"/>
      <c r="O33" s="2671"/>
      <c r="P33" s="2671"/>
      <c r="Q33" s="2671"/>
      <c r="R33" s="2677" t="s">
        <v>2056</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2057</v>
      </c>
      <c r="AP35" s="2696"/>
      <c r="AQ35" s="2696"/>
      <c r="AR35" s="2696"/>
      <c r="AS35" s="2696"/>
      <c r="AT35" s="2697"/>
      <c r="AU35" s="2695" t="s">
        <v>2058</v>
      </c>
      <c r="AV35" s="2696"/>
      <c r="AW35" s="2696"/>
      <c r="AX35" s="2696"/>
      <c r="AY35" s="2696"/>
      <c r="AZ35" s="2697"/>
      <c r="BA35" s="1536"/>
      <c r="BB35" s="1529"/>
      <c r="BC35" s="1529"/>
      <c r="BD35" s="1529"/>
      <c r="BE35" s="1535"/>
      <c r="BF35" s="1527"/>
    </row>
    <row r="36" spans="1:58" ht="15.75" customHeight="1">
      <c r="A36" s="1818"/>
      <c r="B36" s="2698" t="s">
        <v>2059</v>
      </c>
      <c r="C36" s="2699"/>
      <c r="D36" s="2699"/>
      <c r="E36" s="2699"/>
      <c r="F36" s="2699"/>
      <c r="G36" s="2699"/>
      <c r="H36" s="2699"/>
      <c r="I36" s="2700"/>
      <c r="J36" s="2701" t="s">
        <v>2060</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1.4142857142857144</v>
      </c>
      <c r="AV36" s="2709"/>
      <c r="AW36" s="2709"/>
      <c r="AX36" s="2709"/>
      <c r="AY36" s="2709"/>
      <c r="AZ36" s="2709"/>
      <c r="BA36" s="1529"/>
      <c r="BB36" s="1529"/>
      <c r="BC36" s="1529"/>
      <c r="BD36" s="1529"/>
      <c r="BE36" s="1535"/>
      <c r="BF36" s="1527"/>
    </row>
    <row r="37" spans="1:58" ht="15.75" customHeight="1">
      <c r="A37" s="1818"/>
      <c r="B37" s="2686" t="s">
        <v>2061</v>
      </c>
      <c r="C37" s="2687"/>
      <c r="D37" s="2687"/>
      <c r="E37" s="2687"/>
      <c r="F37" s="2687"/>
      <c r="G37" s="2687"/>
      <c r="H37" s="2687"/>
      <c r="I37" s="2688"/>
      <c r="J37" s="2689" t="s">
        <v>2062</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2063</v>
      </c>
      <c r="C38" s="2687"/>
      <c r="D38" s="2687"/>
      <c r="E38" s="2687"/>
      <c r="F38" s="2687"/>
      <c r="G38" s="2687"/>
      <c r="H38" s="2687"/>
      <c r="I38" s="2688"/>
      <c r="J38" s="2689" t="s">
        <v>2064</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2065</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2065</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2066</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2066</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2067</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2068</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2069</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2070</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308</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2073</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2074</v>
      </c>
      <c r="C51" s="2737"/>
      <c r="D51" s="2737"/>
      <c r="E51" s="2737"/>
      <c r="F51" s="2737"/>
      <c r="G51" s="2737"/>
      <c r="H51" s="2737"/>
      <c r="I51" s="2738"/>
      <c r="J51" s="2736" t="s">
        <v>2075</v>
      </c>
      <c r="K51" s="2737"/>
      <c r="L51" s="2737"/>
      <c r="M51" s="2737"/>
      <c r="N51" s="2737"/>
      <c r="O51" s="2737"/>
      <c r="P51" s="2737"/>
      <c r="Q51" s="2738"/>
      <c r="R51" s="2739" t="s">
        <v>2076</v>
      </c>
      <c r="S51" s="2740"/>
      <c r="T51" s="2740"/>
      <c r="U51" s="2740"/>
      <c r="V51" s="2740"/>
      <c r="W51" s="2740"/>
      <c r="X51" s="2740"/>
      <c r="Y51" s="2741"/>
      <c r="Z51" s="2742" t="s">
        <v>2077</v>
      </c>
      <c r="AA51" s="2743"/>
      <c r="AB51" s="2743"/>
      <c r="AC51" s="2743"/>
      <c r="AD51" s="2743"/>
      <c r="AE51" s="2743"/>
      <c r="AF51" s="2743"/>
      <c r="AG51" s="2744"/>
      <c r="AH51" s="2742" t="s">
        <v>2078</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1880</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2074</v>
      </c>
      <c r="C59" s="2750"/>
      <c r="D59" s="2750"/>
      <c r="E59" s="2750"/>
      <c r="F59" s="2750"/>
      <c r="G59" s="2750"/>
      <c r="H59" s="2750"/>
      <c r="I59" s="2751"/>
      <c r="J59" s="2752" t="s">
        <v>2079</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2081</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2082</v>
      </c>
      <c r="AD68" s="2792"/>
      <c r="AE68" s="2792"/>
      <c r="AF68" s="2792"/>
      <c r="AG68" s="2792"/>
      <c r="AH68" s="2792"/>
      <c r="AI68" s="2792"/>
      <c r="AJ68" s="2792"/>
      <c r="AK68" s="2792"/>
      <c r="AL68" s="2792"/>
      <c r="AM68" s="2792"/>
      <c r="AN68" s="2792"/>
      <c r="AO68" s="2792"/>
      <c r="AP68" s="2792"/>
      <c r="AQ68" s="2792"/>
      <c r="AR68" s="2792"/>
      <c r="AS68" s="2792"/>
      <c r="AT68" s="2792"/>
      <c r="AU68" s="2792"/>
      <c r="AV68" s="2765" t="s">
        <v>2038</v>
      </c>
      <c r="AW68" s="2765"/>
      <c r="AX68" s="2765"/>
      <c r="AY68" s="2765"/>
      <c r="AZ68" s="2765"/>
      <c r="BA68" s="2765"/>
      <c r="BB68" s="2765"/>
      <c r="BC68" s="2766"/>
      <c r="BD68" s="1529"/>
      <c r="BE68" s="1535"/>
    </row>
    <row r="69" spans="1:57" ht="15.75" customHeight="1" thickBot="1">
      <c r="A69" s="1818"/>
      <c r="B69" s="2767" t="s">
        <v>2083</v>
      </c>
      <c r="C69" s="2768"/>
      <c r="D69" s="2768"/>
      <c r="E69" s="2768"/>
      <c r="F69" s="2768"/>
      <c r="G69" s="2768"/>
      <c r="H69" s="2768"/>
      <c r="I69" s="2768"/>
      <c r="J69" s="2768"/>
      <c r="K69" s="2768"/>
      <c r="L69" s="2768"/>
      <c r="M69" s="2768"/>
      <c r="N69" s="2768"/>
      <c r="O69" s="2769" t="s">
        <v>2084</v>
      </c>
      <c r="P69" s="2770"/>
      <c r="Q69" s="2770"/>
      <c r="R69" s="2770"/>
      <c r="S69" s="2770"/>
      <c r="T69" s="2770"/>
      <c r="U69" s="2770"/>
      <c r="V69" s="2770"/>
      <c r="W69" s="2770"/>
      <c r="X69" s="2770"/>
      <c r="Y69" s="2770"/>
      <c r="Z69" s="2770"/>
      <c r="AA69" s="2771"/>
      <c r="AB69" s="1529"/>
      <c r="AC69" s="2772" t="s">
        <v>2085</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2086</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2087</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2090</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2091</v>
      </c>
      <c r="J80" s="2796"/>
      <c r="K80" s="2796"/>
      <c r="L80" s="2796"/>
      <c r="M80" s="2796"/>
      <c r="N80" s="2797"/>
      <c r="O80" s="2795" t="s">
        <v>2092</v>
      </c>
      <c r="P80" s="2796"/>
      <c r="Q80" s="2796"/>
      <c r="R80" s="2796"/>
      <c r="S80" s="2796"/>
      <c r="T80" s="2796"/>
      <c r="U80" s="2797"/>
      <c r="V80" s="2795" t="s">
        <v>2093</v>
      </c>
      <c r="W80" s="2796"/>
      <c r="X80" s="2796"/>
      <c r="Y80" s="2796"/>
      <c r="Z80" s="2796"/>
      <c r="AA80" s="2797"/>
      <c r="AB80" s="2795" t="s">
        <v>2094</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2095</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2096</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2098</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2091</v>
      </c>
      <c r="J87" s="2796"/>
      <c r="K87" s="2796"/>
      <c r="L87" s="2796"/>
      <c r="M87" s="2796"/>
      <c r="N87" s="2797"/>
      <c r="O87" s="2795" t="s">
        <v>2092</v>
      </c>
      <c r="P87" s="2796"/>
      <c r="Q87" s="2796"/>
      <c r="R87" s="2796"/>
      <c r="S87" s="2796"/>
      <c r="T87" s="2796"/>
      <c r="U87" s="2797"/>
      <c r="V87" s="2795" t="s">
        <v>2093</v>
      </c>
      <c r="W87" s="2796"/>
      <c r="X87" s="2796"/>
      <c r="Y87" s="2796"/>
      <c r="Z87" s="2796"/>
      <c r="AA87" s="2797"/>
      <c r="AB87" s="2811" t="s">
        <v>2094</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2095</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2096</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2100</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2091</v>
      </c>
      <c r="J94" s="2796"/>
      <c r="K94" s="2796"/>
      <c r="L94" s="2796"/>
      <c r="M94" s="2796"/>
      <c r="N94" s="2797"/>
      <c r="O94" s="2795" t="s">
        <v>2092</v>
      </c>
      <c r="P94" s="2796"/>
      <c r="Q94" s="2796"/>
      <c r="R94" s="2796"/>
      <c r="S94" s="2796"/>
      <c r="T94" s="2796"/>
      <c r="U94" s="2797"/>
      <c r="V94" s="2795" t="s">
        <v>2093</v>
      </c>
      <c r="W94" s="2796"/>
      <c r="X94" s="2796"/>
      <c r="Y94" s="2796"/>
      <c r="Z94" s="2796"/>
      <c r="AA94" s="2797"/>
      <c r="AB94" s="2811" t="s">
        <v>2094</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2095</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2096</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2102</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2092</v>
      </c>
      <c r="J101" s="2770"/>
      <c r="K101" s="2770"/>
      <c r="L101" s="2770"/>
      <c r="M101" s="2770"/>
      <c r="N101" s="2770"/>
      <c r="O101" s="2840"/>
      <c r="P101" s="2769" t="s">
        <v>2103</v>
      </c>
      <c r="Q101" s="2770"/>
      <c r="R101" s="2770"/>
      <c r="S101" s="2770"/>
      <c r="T101" s="2770"/>
      <c r="U101" s="284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2095</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2096</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2104</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2038</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2105</v>
      </c>
      <c r="C106" s="2831"/>
      <c r="D106" s="2831"/>
      <c r="E106" s="2831"/>
      <c r="F106" s="2831"/>
      <c r="G106" s="2831"/>
      <c r="H106" s="2831"/>
      <c r="I106" s="2831"/>
      <c r="J106" s="2831"/>
      <c r="K106" s="2831"/>
      <c r="L106" s="2831"/>
      <c r="M106" s="2831"/>
      <c r="N106" s="2831"/>
      <c r="O106" s="2831"/>
      <c r="P106" s="2831"/>
      <c r="Q106" s="2832"/>
      <c r="R106" s="2833" t="s">
        <v>2106</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2107</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2109</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2092</v>
      </c>
      <c r="J121" s="2770"/>
      <c r="K121" s="2770"/>
      <c r="L121" s="2770"/>
      <c r="M121" s="2770"/>
      <c r="N121" s="2770"/>
      <c r="O121" s="2840"/>
      <c r="P121" s="2769" t="s">
        <v>2103</v>
      </c>
      <c r="Q121" s="2770"/>
      <c r="R121" s="2770"/>
      <c r="S121" s="2770"/>
      <c r="T121" s="2770"/>
      <c r="U121" s="284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2095</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2096</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2110</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2111</v>
      </c>
      <c r="D126" s="2847"/>
      <c r="E126" s="2847"/>
      <c r="F126" s="2847"/>
      <c r="G126" s="2847"/>
      <c r="H126" s="2847"/>
      <c r="I126" s="2847"/>
      <c r="J126" s="2847"/>
      <c r="K126" s="2847"/>
      <c r="L126" s="2847"/>
      <c r="M126" s="2847"/>
      <c r="N126" s="2847"/>
      <c r="O126" s="2847"/>
      <c r="P126" s="2848"/>
      <c r="Q126" s="2849" t="s">
        <v>2112</v>
      </c>
      <c r="R126" s="2847"/>
      <c r="S126" s="2848"/>
      <c r="T126" s="2850" t="s">
        <v>2113</v>
      </c>
      <c r="U126" s="2851"/>
      <c r="V126" s="2851"/>
      <c r="W126" s="2851"/>
      <c r="X126" s="2851"/>
      <c r="Y126" s="2851"/>
      <c r="Z126" s="2851"/>
      <c r="AA126" s="2852"/>
      <c r="AB126" s="2853" t="s">
        <v>2114</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2115</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430</v>
      </c>
      <c r="D128" s="2866"/>
      <c r="E128" s="2866"/>
      <c r="F128" s="2866"/>
      <c r="G128" s="2866"/>
      <c r="H128" s="2866"/>
      <c r="I128" s="2866"/>
      <c r="J128" s="2866"/>
      <c r="K128" s="2866"/>
      <c r="L128" s="2866"/>
      <c r="M128" s="2866"/>
      <c r="N128" s="2866"/>
      <c r="O128" s="2866"/>
      <c r="P128" s="2867"/>
      <c r="Q128" s="2868">
        <v>55</v>
      </c>
      <c r="R128" s="2869"/>
      <c r="S128" s="2870"/>
      <c r="T128" s="2878" t="str">
        <f>_xlfn.CONCAT(Application!AC515,"/", Application!AH515)</f>
        <v>N/A/</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2116</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2117</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2070</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175</v>
      </c>
      <c r="D132" s="2602"/>
      <c r="E132" s="2602"/>
      <c r="F132" s="2887" t="s">
        <v>2118</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175</v>
      </c>
      <c r="D133" s="2602"/>
      <c r="E133" s="2602"/>
      <c r="F133" s="2887" t="s">
        <v>2118</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175</v>
      </c>
      <c r="D134" s="2602"/>
      <c r="E134" s="2602"/>
      <c r="F134" s="2893" t="s">
        <v>2118</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2119</v>
      </c>
      <c r="D136" s="2604"/>
      <c r="E136" s="2604"/>
      <c r="F136" s="2604"/>
      <c r="G136" s="2604"/>
      <c r="H136" s="2604"/>
      <c r="I136" s="2604"/>
      <c r="J136" s="2604"/>
      <c r="K136" s="2604"/>
      <c r="L136" s="2604"/>
      <c r="M136" s="2604"/>
      <c r="N136" s="2605"/>
      <c r="O136" s="1529"/>
      <c r="P136" s="2898" t="s">
        <v>2120</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2121</v>
      </c>
      <c r="D137" s="2809"/>
      <c r="E137" s="2809"/>
      <c r="F137" s="2809"/>
      <c r="G137" s="2809"/>
      <c r="H137" s="2810"/>
      <c r="I137" s="2808" t="s">
        <v>2122</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2125</v>
      </c>
      <c r="O149" s="2920"/>
      <c r="P149" s="2920"/>
      <c r="Q149" s="2920"/>
      <c r="R149" s="2920"/>
      <c r="S149" s="2920"/>
      <c r="T149" s="2921"/>
      <c r="U149" s="2922" t="s">
        <v>2111</v>
      </c>
      <c r="V149" s="2752"/>
      <c r="W149" s="2752"/>
      <c r="X149" s="2752"/>
      <c r="Y149" s="2752"/>
      <c r="Z149" s="2752"/>
      <c r="AA149" s="2752"/>
      <c r="AB149" s="2752"/>
      <c r="AC149" s="2752"/>
      <c r="AD149" s="2752"/>
      <c r="AE149" s="2753"/>
      <c r="AF149" s="1529"/>
      <c r="AG149" s="1529"/>
      <c r="AH149" s="2596" t="s">
        <v>2126</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2127</v>
      </c>
      <c r="D150" s="2847"/>
      <c r="E150" s="2847"/>
      <c r="F150" s="2847"/>
      <c r="G150" s="2847"/>
      <c r="H150" s="2847"/>
      <c r="I150" s="2847"/>
      <c r="J150" s="2847"/>
      <c r="K150" s="2847"/>
      <c r="L150" s="2847"/>
      <c r="M150" s="2909"/>
      <c r="N150" s="2910">
        <f>'Sources and Uses Budget'!B104</f>
        <v>3435361.9132211125</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2128</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2129</v>
      </c>
      <c r="D151" s="2847"/>
      <c r="E151" s="2847"/>
      <c r="F151" s="2847"/>
      <c r="G151" s="2847"/>
      <c r="H151" s="2847"/>
      <c r="I151" s="2847"/>
      <c r="J151" s="2847"/>
      <c r="K151" s="2847"/>
      <c r="L151" s="2847"/>
      <c r="M151" s="2909"/>
      <c r="N151" s="2910">
        <f>N150/J29</f>
        <v>49076.598760301604</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2130</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2131</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2132</v>
      </c>
      <c r="D153" s="2866"/>
      <c r="E153" s="2866"/>
      <c r="F153" s="2866"/>
      <c r="G153" s="2866"/>
      <c r="H153" s="2866"/>
      <c r="I153" s="2866"/>
      <c r="J153" s="2866"/>
      <c r="K153" s="2866"/>
      <c r="L153" s="2866"/>
      <c r="M153" s="2923"/>
      <c r="N153" s="2924">
        <f>SUM('Sources and Uses Budget'!B85:B86)</f>
        <v>1774193.3717399999</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2133</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2134</v>
      </c>
      <c r="D154" s="2866"/>
      <c r="E154" s="2866"/>
      <c r="F154" s="2866"/>
      <c r="G154" s="2866"/>
      <c r="H154" s="2866"/>
      <c r="I154" s="2866"/>
      <c r="J154" s="2866"/>
      <c r="K154" s="2866"/>
      <c r="L154" s="2866"/>
      <c r="M154" s="2923"/>
      <c r="N154" s="2924">
        <f>'Sources and Uses Budget'!B8</f>
        <v>855000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2135</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2128</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308</v>
      </c>
      <c r="D157" s="2944"/>
      <c r="E157" s="2887" t="s">
        <v>2118</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308</v>
      </c>
      <c r="D158" s="2941"/>
      <c r="E158" s="2887" t="s">
        <v>2118</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308</v>
      </c>
      <c r="D159" s="2960"/>
      <c r="E159" s="2893" t="s">
        <v>2118</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2136</v>
      </c>
      <c r="D160" s="2968"/>
      <c r="E160" s="2968"/>
      <c r="F160" s="2968"/>
      <c r="G160" s="2968"/>
      <c r="H160" s="2968"/>
      <c r="I160" s="2968"/>
      <c r="J160" s="2968"/>
      <c r="K160" s="2968"/>
      <c r="L160" s="2968"/>
      <c r="M160" s="2969"/>
      <c r="N160" s="2970">
        <f>SUM(N152:T159)</f>
        <v>2629193.3717399999</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2137</v>
      </c>
      <c r="D161" s="2773"/>
      <c r="E161" s="2773"/>
      <c r="F161" s="2773"/>
      <c r="G161" s="2773"/>
      <c r="H161" s="2773"/>
      <c r="I161" s="2773"/>
      <c r="J161" s="2773"/>
      <c r="K161" s="2773"/>
      <c r="L161" s="2773"/>
      <c r="M161" s="2773"/>
      <c r="N161" s="2948">
        <f>(N150-N160)/J29</f>
        <v>11516.693449730179</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2138</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2139</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2140</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2141</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2143</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2144</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2145</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2146</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2147</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463</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2148</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2149</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91" zoomScaleNormal="100" zoomScaleSheetLayoutView="100" workbookViewId="0">
      <selection activeCell="T116" sqref="T11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1" t="s">
        <v>1558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75"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1563</v>
      </c>
      <c r="AF7" s="3207"/>
      <c r="AG7" s="3207"/>
      <c r="AH7" s="3207"/>
      <c r="AI7" s="3207"/>
      <c r="AJ7" s="3207"/>
      <c r="AK7" s="3207"/>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6" t="s">
        <v>625</v>
      </c>
      <c r="C12" s="321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6" t="s">
        <v>625</v>
      </c>
      <c r="C15" s="3216"/>
      <c r="D15" s="940"/>
      <c r="E15" s="3235" t="s">
        <v>1566</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75"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1567</v>
      </c>
    </row>
    <row r="17" spans="1:42" s="930" customFormat="1" ht="12.75"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6" t="s">
        <v>625</v>
      </c>
      <c r="C21" s="3216"/>
      <c r="D21" s="940"/>
      <c r="E21" s="3245" t="s">
        <v>1569</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1567</v>
      </c>
    </row>
    <row r="22" spans="1:42" s="930" customFormat="1" ht="12.75"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6" t="s">
        <v>625</v>
      </c>
      <c r="C24" s="3216"/>
      <c r="D24" s="940"/>
      <c r="E24" s="3147" t="s">
        <v>1570</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75"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6" t="s">
        <v>625</v>
      </c>
      <c r="C29" s="3216"/>
      <c r="D29" s="940"/>
      <c r="E29" s="3147" t="s">
        <v>1572</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75"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1567</v>
      </c>
    </row>
    <row r="31" spans="1:42" s="930" customFormat="1" ht="12.75"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1" t="s">
        <v>2399</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75"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6" t="s">
        <v>625</v>
      </c>
      <c r="C37" s="321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6" t="s">
        <v>625</v>
      </c>
      <c r="C39" s="321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6" t="s">
        <v>625</v>
      </c>
      <c r="C41" s="321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6" t="s">
        <v>625</v>
      </c>
      <c r="C43" s="321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6" t="s">
        <v>625</v>
      </c>
      <c r="C45" s="321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6" t="s">
        <v>625</v>
      </c>
      <c r="C47" s="321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6" t="s">
        <v>625</v>
      </c>
      <c r="C49" s="321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1">
        <f>AO32</f>
        <v>0</v>
      </c>
      <c r="AL51" s="3192"/>
      <c r="AM51" s="319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1584</v>
      </c>
      <c r="AF54" s="3207"/>
      <c r="AG54" s="3207"/>
      <c r="AH54" s="3207"/>
      <c r="AI54" s="3207"/>
      <c r="AJ54" s="3207"/>
      <c r="AK54" s="3207"/>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6" t="s">
        <v>577</v>
      </c>
      <c r="C57" s="3216"/>
      <c r="D57" s="940" t="s">
        <v>1585</v>
      </c>
      <c r="E57" s="3235" t="s">
        <v>2238</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10</v>
      </c>
    </row>
    <row r="58" spans="1:50" s="930" customFormat="1" ht="12.75"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10</v>
      </c>
    </row>
    <row r="59" spans="1:50" s="930" customFormat="1" ht="12.75"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75"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6" t="s">
        <v>577</v>
      </c>
      <c r="C62" s="321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0" t="s">
        <v>625</v>
      </c>
      <c r="F63" s="321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4" t="s">
        <v>625</v>
      </c>
      <c r="F64" s="3215"/>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4" t="s">
        <v>625</v>
      </c>
      <c r="F65" s="3215"/>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0" t="s">
        <v>577</v>
      </c>
      <c r="F67" s="321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6" t="s">
        <v>625</v>
      </c>
      <c r="C69" s="3216"/>
      <c r="D69" s="940" t="s">
        <v>1590</v>
      </c>
      <c r="E69" s="3147" t="s">
        <v>2239</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75"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1">
        <f>IF(AK51&gt;0,0,AO60)</f>
        <v>10</v>
      </c>
      <c r="AL72" s="3192"/>
      <c r="AM72" s="319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1563</v>
      </c>
      <c r="AF75" s="3207"/>
      <c r="AG75" s="3207"/>
      <c r="AH75" s="3207"/>
      <c r="AI75" s="3207"/>
      <c r="AJ75" s="3207"/>
      <c r="AK75" s="3207"/>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6" t="s">
        <v>625</v>
      </c>
      <c r="C78" s="3216"/>
      <c r="D78" s="940" t="s">
        <v>1585</v>
      </c>
      <c r="E78" s="3223" t="s">
        <v>1595</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75"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5">
        <f>Application!AH753</f>
        <v>0.59565217391304337</v>
      </c>
      <c r="F81" s="3206"/>
      <c r="G81" s="3206"/>
      <c r="H81" s="3206"/>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9">
        <f>0.6-ROUNDUP(E81,2)</f>
        <v>0</v>
      </c>
      <c r="F82" s="3230"/>
      <c r="G82" s="3230"/>
      <c r="H82" s="3230"/>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1">
        <f>IF(E82*200&gt;20,20,E82*200)</f>
        <v>0</v>
      </c>
      <c r="F83" s="3222"/>
      <c r="G83" s="3222"/>
      <c r="H83" s="322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6" t="s">
        <v>577</v>
      </c>
      <c r="C86" s="3216"/>
      <c r="D86" s="940" t="s">
        <v>1587</v>
      </c>
      <c r="E86" s="3223" t="s">
        <v>2223</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75"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75"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75"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5">
        <f>Application!AH753</f>
        <v>0.59565217391304337</v>
      </c>
      <c r="F91" s="3206"/>
      <c r="G91" s="3206"/>
      <c r="H91" s="3206"/>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5">
        <f ca="1">SUMIF(Application!AH728:AL752,0.2,Application!G728:J752)/Application!G753+SUMIF(Application!AH728:AL752,0.25,Application!G728:J752)/Application!G753+SUMIF(Application!AH728:AL752,0.3,Application!G728:J752)/Application!G753</f>
        <v>0.10144927536231885</v>
      </c>
      <c r="F92" s="3206"/>
      <c r="G92" s="3206"/>
      <c r="H92" s="3206"/>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0.10144927536231885</v>
      </c>
      <c r="F93" s="3206"/>
      <c r="G93" s="3206"/>
      <c r="H93" s="3206"/>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8">
        <f ca="1">IF(AND(E91&lt;=0.6,E92&gt;=0.1,OR(E93&gt;=0.1,E92=1)),20,0)</f>
        <v>20</v>
      </c>
      <c r="F94" s="3209"/>
      <c r="G94" s="3209"/>
      <c r="H94" s="3209"/>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1">
        <f ca="1">MAX(AP83,AP94)</f>
        <v>20</v>
      </c>
      <c r="AL97" s="3192"/>
      <c r="AM97" s="319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1584</v>
      </c>
      <c r="AF100" s="3207"/>
      <c r="AG100" s="3207"/>
      <c r="AH100" s="3207"/>
      <c r="AI100" s="3207"/>
      <c r="AJ100" s="3207"/>
      <c r="AK100" s="3207"/>
      <c r="AL100" s="933"/>
      <c r="AM100" s="933"/>
      <c r="AN100" s="929"/>
      <c r="AO100" s="930" t="str">
        <f>Application!B728</f>
        <v>2 Bedrooms</v>
      </c>
      <c r="AQ100" s="930">
        <f>Application!O728</f>
        <v>723</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1255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830</v>
      </c>
    </row>
    <row r="103" spans="1:49" s="930" customFormat="1" ht="12.75" customHeight="1">
      <c r="A103" s="933"/>
      <c r="B103" s="3216" t="s">
        <v>577</v>
      </c>
      <c r="C103" s="3216"/>
      <c r="D103" s="940" t="s">
        <v>1585</v>
      </c>
      <c r="E103" s="3223" t="s">
        <v>2385</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3 Bedrooms</v>
      </c>
      <c r="AQ103" s="930">
        <f>Application!O731</f>
        <v>1444</v>
      </c>
      <c r="AU103" s="930" t="s">
        <v>2363</v>
      </c>
      <c r="AV103" s="1765" t="s">
        <v>2364</v>
      </c>
      <c r="AW103" s="930" t="s">
        <v>2365</v>
      </c>
    </row>
    <row r="104" spans="1:49" s="930" customFormat="1" ht="12.75"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3 Bedrooms</v>
      </c>
      <c r="AQ104" s="930">
        <f>Application!O732</f>
        <v>1752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3 Bedrooms</v>
      </c>
      <c r="AQ105" s="930">
        <f>Application!O733</f>
        <v>2059</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f>Application!B734</f>
        <v>0</v>
      </c>
      <c r="AQ106" s="930">
        <f>Application!O734</f>
        <v>0</v>
      </c>
      <c r="AU106" s="1768" t="str">
        <f>O112</f>
        <v>2-bedroom</v>
      </c>
      <c r="AV106" s="930">
        <f t="array" ref="AV106">SUM(IF(Application!B728:F752="2 Bedrooms",Application!G728:J752))</f>
        <v>5</v>
      </c>
      <c r="AW106" s="1803">
        <f>AV106/AV110</f>
        <v>7.2463768115942032E-2</v>
      </c>
    </row>
    <row r="107" spans="1:49" s="930" customFormat="1" ht="12.75"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f>Application!B735</f>
        <v>0</v>
      </c>
      <c r="AQ107" s="930">
        <f>Application!O735</f>
        <v>0</v>
      </c>
      <c r="AU107" s="1768" t="str">
        <f>T112</f>
        <v>3-bedroom</v>
      </c>
      <c r="AV107" s="930">
        <f t="array" ref="AV107">SUM(IF(Application!B728:F752="3 Bedrooms",Application!G728:J752))</f>
        <v>64</v>
      </c>
      <c r="AW107" s="1803">
        <f>AV107/AV110</f>
        <v>0.92753623188405798</v>
      </c>
    </row>
    <row r="108" spans="1:49" s="930" customFormat="1" ht="12.75"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f>Application!B738</f>
        <v>0</v>
      </c>
      <c r="AQ110" s="930">
        <f>Application!O738</f>
        <v>0</v>
      </c>
      <c r="AV110" s="930">
        <f>SUM(AV104:AV109)</f>
        <v>69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5" t="s">
        <v>1886</v>
      </c>
      <c r="F112" s="3206"/>
      <c r="G112" s="3206"/>
      <c r="H112" s="3206"/>
      <c r="I112" s="1473"/>
      <c r="J112" s="3206" t="s">
        <v>1979</v>
      </c>
      <c r="K112" s="3206"/>
      <c r="L112" s="3206"/>
      <c r="M112" s="3206"/>
      <c r="N112" s="1473"/>
      <c r="O112" s="3206" t="s">
        <v>1980</v>
      </c>
      <c r="P112" s="3206"/>
      <c r="Q112" s="3206"/>
      <c r="R112" s="3206"/>
      <c r="S112" s="1473"/>
      <c r="T112" s="3206" t="s">
        <v>1604</v>
      </c>
      <c r="U112" s="3206"/>
      <c r="V112" s="3206"/>
      <c r="W112" s="3206"/>
      <c r="X112" s="1473"/>
      <c r="Y112" s="3206" t="s">
        <v>1981</v>
      </c>
      <c r="Z112" s="3206"/>
      <c r="AA112" s="3206"/>
      <c r="AB112" s="3206"/>
      <c r="AC112" s="1473"/>
      <c r="AD112" s="3206" t="s">
        <v>1982</v>
      </c>
      <c r="AE112" s="3206"/>
      <c r="AF112" s="3206"/>
      <c r="AG112" s="320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0"/>
      <c r="F115" s="3211"/>
      <c r="G115" s="3211"/>
      <c r="H115" s="3211"/>
      <c r="I115" s="1475"/>
      <c r="J115" s="3211"/>
      <c r="K115" s="3211"/>
      <c r="L115" s="3211"/>
      <c r="M115" s="3211"/>
      <c r="N115" s="1475"/>
      <c r="O115" s="3211">
        <v>1812</v>
      </c>
      <c r="P115" s="3211"/>
      <c r="Q115" s="3211"/>
      <c r="R115" s="3211"/>
      <c r="S115" s="1475"/>
      <c r="T115" s="3211">
        <v>2666</v>
      </c>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2">
        <f>Application!DX663</f>
        <v>0</v>
      </c>
      <c r="F118" s="3213"/>
      <c r="G118" s="3213"/>
      <c r="H118" s="3213"/>
      <c r="I118" s="1475"/>
      <c r="J118" s="3213">
        <f>Application!EC663</f>
        <v>0</v>
      </c>
      <c r="K118" s="3213"/>
      <c r="L118" s="3213"/>
      <c r="M118" s="3213"/>
      <c r="N118" s="1475"/>
      <c r="O118" s="3213">
        <f>Application!EH663</f>
        <v>935.8</v>
      </c>
      <c r="P118" s="3213"/>
      <c r="Q118" s="3213"/>
      <c r="R118" s="3213"/>
      <c r="S118" s="1479"/>
      <c r="T118" s="3213">
        <f>Application!EM663</f>
        <v>1790.234375</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8" t="e">
        <f>(E115-E118)/E115</f>
        <v>#DIV/0!</v>
      </c>
      <c r="F121" s="2999"/>
      <c r="G121" s="2999"/>
      <c r="H121" s="3000"/>
      <c r="I121" s="971"/>
      <c r="J121" s="2998" t="e">
        <f>(J115-J118)/J115</f>
        <v>#DIV/0!</v>
      </c>
      <c r="K121" s="2999"/>
      <c r="L121" s="2999"/>
      <c r="M121" s="3000"/>
      <c r="N121" s="971"/>
      <c r="O121" s="2998">
        <f>(O115-O118)/O115</f>
        <v>0.48355408388520976</v>
      </c>
      <c r="P121" s="2999"/>
      <c r="Q121" s="2999"/>
      <c r="R121" s="3000"/>
      <c r="S121" s="971"/>
      <c r="T121" s="2998">
        <f>(T115-T118)/T115</f>
        <v>0.32849423293323332</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4" t="e">
        <f>IF(((E121-0.1)*AW104)&gt;0,((E121-0.1)*AW104),0)</f>
        <v>#DIV/0!</v>
      </c>
      <c r="F124" s="3255"/>
      <c r="G124" s="3255"/>
      <c r="H124" s="3256"/>
      <c r="I124" s="971"/>
      <c r="J124" s="3254" t="e">
        <f>IF(((J121-0.1)*AW105)&gt;0,((J121-0.1)*AW105),0)</f>
        <v>#DIV/0!</v>
      </c>
      <c r="K124" s="3255"/>
      <c r="L124" s="3255"/>
      <c r="M124" s="3256"/>
      <c r="N124" s="971"/>
      <c r="O124" s="3254">
        <f>IF(((O121-0.1)*AW106)&gt;0,((O121-0.1)*AW106),0)</f>
        <v>2.7793774194580415E-2</v>
      </c>
      <c r="P124" s="3255"/>
      <c r="Q124" s="3255"/>
      <c r="R124" s="3256"/>
      <c r="S124" s="971"/>
      <c r="T124" s="3254">
        <f>IF(((T121-0.1)*AW107)&gt;0,((T121-0.1)*AW107),0)</f>
        <v>0.21193667982212946</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8">
        <f>ROUNDDOWN(SUMIF(E124:AG124,"&gt;0"),2)</f>
        <v>0.23</v>
      </c>
      <c r="F126" s="2999"/>
      <c r="G126" s="2999"/>
      <c r="H126" s="3000"/>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1">
        <f>IF((E126*100)&gt;10,10,E126*100)</f>
        <v>10</v>
      </c>
      <c r="F127" s="3192"/>
      <c r="G127" s="3192"/>
      <c r="H127" s="3193"/>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1">
        <f>E127</f>
        <v>10</v>
      </c>
      <c r="AL131" s="3192"/>
      <c r="AM131" s="319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07" t="s">
        <v>1584</v>
      </c>
      <c r="AF134" s="3207"/>
      <c r="AG134" s="3207"/>
      <c r="AH134" s="3207"/>
      <c r="AI134" s="3207"/>
      <c r="AJ134" s="3207"/>
      <c r="AK134" s="320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1608</v>
      </c>
      <c r="AG136" s="3137"/>
      <c r="AH136" s="3137"/>
      <c r="AI136" s="3137"/>
      <c r="AJ136" s="3137"/>
      <c r="AK136" s="3137"/>
      <c r="AL136" s="3137"/>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6" t="s">
        <v>2540</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197" t="s">
        <v>1611</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2" t="s">
        <v>625</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197" t="s">
        <v>1613</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98">
        <f>IF($AB$143="N/A",VLOOKUP($B$141,$AO$139:$AP$142,2,FALSE),VLOOKUP($B$146,$AO$144:$AP$147,2,FALSE))</f>
        <v>7</v>
      </c>
      <c r="AK149" s="319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1622</v>
      </c>
      <c r="AG151" s="3137"/>
      <c r="AH151" s="3137"/>
      <c r="AI151" s="3137"/>
      <c r="AJ151" s="3137"/>
      <c r="AK151" s="3137"/>
      <c r="AL151" s="3137"/>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7" t="s">
        <v>1620</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625</v>
      </c>
      <c r="AD155" s="3142"/>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197" t="s">
        <v>1613</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196" t="s">
        <v>2573</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5">
        <f>IF($AC$155="N/A",VLOOKUP($C$153,$AO$153:$AP$156,2,FALSE),VLOOKUP($C$157,$AO$160:$AP$162,2,FALSE))</f>
        <v>3</v>
      </c>
      <c r="AK163" s="305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1">
        <f>$AJ$149+$AJ$163</f>
        <v>10</v>
      </c>
      <c r="AL166" s="3192"/>
      <c r="AM166" s="319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1584</v>
      </c>
      <c r="AF169" s="3102"/>
      <c r="AG169" s="3102"/>
      <c r="AH169" s="3102"/>
      <c r="AI169" s="3102"/>
      <c r="AJ169" s="3102"/>
      <c r="AK169" s="3102"/>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4" t="s">
        <v>1154</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1633</v>
      </c>
      <c r="AG171" s="3137"/>
      <c r="AH171" s="3137"/>
      <c r="AI171" s="3137"/>
      <c r="AJ171" s="3137"/>
      <c r="AK171" s="3137"/>
      <c r="AL171" s="3137"/>
      <c r="AN171" s="1000"/>
      <c r="AP171" s="943" t="s">
        <v>1156</v>
      </c>
      <c r="AQ171" s="943">
        <v>10</v>
      </c>
    </row>
    <row r="172" spans="1:81" s="943" customFormat="1" ht="12.75" customHeight="1">
      <c r="A172" s="927"/>
      <c r="B172" s="3195" t="s">
        <v>2224</v>
      </c>
      <c r="C172" s="3195"/>
      <c r="D172" s="3195"/>
      <c r="E172" s="3195"/>
      <c r="F172" s="3195"/>
      <c r="G172" s="3195"/>
      <c r="H172" s="3195"/>
      <c r="I172" s="3195"/>
      <c r="J172" s="3195"/>
      <c r="K172" s="3195"/>
      <c r="L172" s="3195"/>
      <c r="M172" s="3195"/>
      <c r="N172" s="3195"/>
      <c r="O172" s="3195"/>
      <c r="P172" s="3195"/>
      <c r="Q172" s="3195"/>
      <c r="R172" s="3195"/>
      <c r="S172" s="3195"/>
      <c r="T172" s="3196" t="s">
        <v>625</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0">
        <f>IF(AK72&gt;0,VLOOKUP($B$171,AP168:AQ175,2,FALSE),0)</f>
        <v>10</v>
      </c>
      <c r="AL174" s="3021"/>
      <c r="AM174" s="3022"/>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1642</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2625</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3000000</v>
      </c>
      <c r="AE182" s="3178"/>
      <c r="AF182" s="3178"/>
      <c r="AG182" s="3178"/>
      <c r="AH182" s="3178"/>
      <c r="AI182" s="3178"/>
      <c r="AJ182" s="3178"/>
      <c r="AK182" s="1024"/>
    </row>
    <row r="183" spans="1:37">
      <c r="A183" s="1016"/>
      <c r="B183" s="3188"/>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c r="AE183" s="3178"/>
      <c r="AF183" s="3178"/>
      <c r="AG183" s="3178"/>
      <c r="AH183" s="3178"/>
      <c r="AI183" s="3178"/>
      <c r="AJ183" s="3178"/>
      <c r="AK183" s="1024"/>
    </row>
    <row r="184" spans="1:37">
      <c r="A184" s="1016"/>
      <c r="B184" s="3188"/>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1930</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0</v>
      </c>
      <c r="AE192" s="3176"/>
      <c r="AF192" s="3176"/>
      <c r="AG192" s="3176"/>
      <c r="AH192" s="3176"/>
      <c r="AI192" s="3176"/>
      <c r="AJ192" s="3176"/>
      <c r="AK192" s="1024"/>
    </row>
    <row r="193" spans="1:37">
      <c r="A193" s="1016"/>
      <c r="B193" s="3040" t="s">
        <v>1893</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2">
        <f>SUM(AD182:AJ192)-AD193</f>
        <v>3000000</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1910</v>
      </c>
      <c r="J205" s="3203"/>
      <c r="K205" s="3203"/>
      <c r="L205" s="991"/>
      <c r="M205" s="991"/>
      <c r="N205" s="991"/>
      <c r="O205" s="991"/>
      <c r="P205" s="991"/>
      <c r="Q205" s="991"/>
      <c r="R205" s="991"/>
      <c r="S205" s="991"/>
      <c r="T205" s="3003" t="s">
        <v>1904</v>
      </c>
      <c r="U205" s="3003"/>
      <c r="V205" s="3003"/>
      <c r="W205" s="3003"/>
      <c r="X205" s="3003"/>
      <c r="Y205" s="3003"/>
      <c r="Z205" s="1401"/>
      <c r="AA205" s="1402"/>
      <c r="AB205" s="3199" t="s">
        <v>1905</v>
      </c>
      <c r="AC205" s="3199"/>
      <c r="AD205" s="3199"/>
      <c r="AE205" s="3199"/>
      <c r="AF205" s="3199"/>
      <c r="AG205" s="3199"/>
      <c r="AH205" s="1371"/>
      <c r="AI205" s="1371"/>
      <c r="AJ205" s="1371"/>
      <c r="AK205" s="1024"/>
    </row>
    <row r="206" spans="1:37">
      <c r="A206" s="1016"/>
      <c r="B206" s="3201" t="s">
        <v>1883</v>
      </c>
      <c r="C206" s="3201"/>
      <c r="D206" s="3201"/>
      <c r="E206" s="3201"/>
      <c r="F206" s="3201"/>
      <c r="G206" s="3201"/>
      <c r="I206" s="3202" t="s">
        <v>1911</v>
      </c>
      <c r="J206" s="3202"/>
      <c r="K206" s="3202"/>
      <c r="L206" s="1799"/>
      <c r="N206" s="3041" t="s">
        <v>1906</v>
      </c>
      <c r="O206" s="3041"/>
      <c r="P206" s="3041"/>
      <c r="Q206" s="3041"/>
      <c r="R206" s="3041"/>
      <c r="T206" s="3041" t="s">
        <v>1907</v>
      </c>
      <c r="U206" s="3041"/>
      <c r="V206" s="3041"/>
      <c r="W206" s="3041"/>
      <c r="X206" s="3041"/>
      <c r="Y206" s="3041"/>
      <c r="Z206" s="1403"/>
      <c r="AA206" s="1402"/>
      <c r="AB206" s="3044" t="s">
        <v>1908</v>
      </c>
      <c r="AC206" s="3044"/>
      <c r="AD206" s="3044"/>
      <c r="AE206" s="3044"/>
      <c r="AF206" s="3044"/>
      <c r="AG206" s="3044"/>
      <c r="AH206" s="1371"/>
      <c r="AI206" s="1371"/>
      <c r="AJ206" s="1371"/>
      <c r="AK206" s="1024"/>
    </row>
    <row r="207" spans="1:37">
      <c r="A207" s="1016"/>
      <c r="B207" s="3043" t="s">
        <v>1383</v>
      </c>
      <c r="C207" s="3043"/>
      <c r="D207" s="3043"/>
      <c r="E207" s="3043"/>
      <c r="F207" s="3043"/>
      <c r="G207" s="3043"/>
      <c r="H207" s="1405"/>
      <c r="I207" s="3008"/>
      <c r="J207" s="3008"/>
      <c r="K207" s="3008"/>
      <c r="L207" s="1799"/>
      <c r="N207" s="3005"/>
      <c r="O207" s="3005"/>
      <c r="P207" s="3005"/>
      <c r="Q207" s="3005"/>
      <c r="R207" s="3005"/>
      <c r="T207" s="3004"/>
      <c r="U207" s="3004"/>
      <c r="V207" s="3004"/>
      <c r="W207" s="3004"/>
      <c r="X207" s="3004"/>
      <c r="Y207" s="3004"/>
      <c r="Z207" s="1404"/>
      <c r="AA207" s="1404"/>
      <c r="AB207" s="3002">
        <f t="shared" ref="AB207:AB216" si="0">MAX(($T207-$N207)*$I207*12,0)</f>
        <v>0</v>
      </c>
      <c r="AC207" s="3002"/>
      <c r="AD207" s="3002"/>
      <c r="AE207" s="3002"/>
      <c r="AF207" s="3002"/>
      <c r="AG207" s="3002"/>
      <c r="AH207" s="1371"/>
      <c r="AI207" s="1371"/>
      <c r="AJ207" s="1371"/>
      <c r="AK207" s="1024"/>
    </row>
    <row r="208" spans="1:37">
      <c r="A208" s="1016"/>
      <c r="B208" s="3043" t="s">
        <v>1383</v>
      </c>
      <c r="C208" s="3043"/>
      <c r="D208" s="3043"/>
      <c r="E208" s="3043"/>
      <c r="F208" s="3043"/>
      <c r="G208" s="3043"/>
      <c r="I208" s="3008"/>
      <c r="J208" s="3008"/>
      <c r="K208" s="3008"/>
      <c r="L208" s="1799"/>
      <c r="N208" s="3005"/>
      <c r="O208" s="3005"/>
      <c r="P208" s="3005"/>
      <c r="Q208" s="3005"/>
      <c r="R208" s="3005"/>
      <c r="T208" s="3004"/>
      <c r="U208" s="3004"/>
      <c r="V208" s="3004"/>
      <c r="W208" s="3004"/>
      <c r="X208" s="3004"/>
      <c r="Y208" s="3004"/>
      <c r="Z208" s="1404"/>
      <c r="AA208" s="1404"/>
      <c r="AB208" s="3002">
        <f t="shared" si="0"/>
        <v>0</v>
      </c>
      <c r="AC208" s="3002"/>
      <c r="AD208" s="3002"/>
      <c r="AE208" s="3002"/>
      <c r="AF208" s="3002"/>
      <c r="AG208" s="3002"/>
      <c r="AH208" s="1371"/>
      <c r="AI208" s="1371"/>
      <c r="AJ208" s="1371"/>
      <c r="AK208" s="1024"/>
    </row>
    <row r="209" spans="1:37">
      <c r="A209" s="1016"/>
      <c r="B209" s="3043" t="s">
        <v>1383</v>
      </c>
      <c r="C209" s="3043"/>
      <c r="D209" s="3043"/>
      <c r="E209" s="3043"/>
      <c r="F209" s="3043"/>
      <c r="G209" s="3043"/>
      <c r="I209" s="3008"/>
      <c r="J209" s="3008"/>
      <c r="K209" s="3008"/>
      <c r="L209" s="1799"/>
      <c r="N209" s="3005"/>
      <c r="O209" s="3005"/>
      <c r="P209" s="3005"/>
      <c r="Q209" s="3005"/>
      <c r="R209" s="3005"/>
      <c r="T209" s="3004"/>
      <c r="U209" s="3004"/>
      <c r="V209" s="3004"/>
      <c r="W209" s="3004"/>
      <c r="X209" s="3004"/>
      <c r="Y209" s="3004"/>
      <c r="Z209" s="1404"/>
      <c r="AA209" s="1404"/>
      <c r="AB209" s="3002">
        <f t="shared" si="0"/>
        <v>0</v>
      </c>
      <c r="AC209" s="3002"/>
      <c r="AD209" s="3002"/>
      <c r="AE209" s="3002"/>
      <c r="AF209" s="3002"/>
      <c r="AG209" s="3002"/>
      <c r="AH209" s="1371"/>
      <c r="AI209" s="1371"/>
      <c r="AJ209" s="1371"/>
      <c r="AK209" s="1024"/>
    </row>
    <row r="210" spans="1:37">
      <c r="A210" s="1016"/>
      <c r="B210" s="3043" t="s">
        <v>1383</v>
      </c>
      <c r="C210" s="3043"/>
      <c r="D210" s="3043"/>
      <c r="E210" s="3043"/>
      <c r="F210" s="3043"/>
      <c r="G210" s="3043"/>
      <c r="I210" s="3008"/>
      <c r="J210" s="3008"/>
      <c r="K210" s="3008"/>
      <c r="L210" s="1799"/>
      <c r="N210" s="3005"/>
      <c r="O210" s="3005"/>
      <c r="P210" s="3005"/>
      <c r="Q210" s="3005"/>
      <c r="R210" s="3005"/>
      <c r="T210" s="3004"/>
      <c r="U210" s="3004"/>
      <c r="V210" s="3004"/>
      <c r="W210" s="3004"/>
      <c r="X210" s="3004"/>
      <c r="Y210" s="3004"/>
      <c r="Z210" s="1404"/>
      <c r="AA210" s="1404"/>
      <c r="AB210" s="3002">
        <f t="shared" si="0"/>
        <v>0</v>
      </c>
      <c r="AC210" s="3002"/>
      <c r="AD210" s="3002"/>
      <c r="AE210" s="3002"/>
      <c r="AF210" s="3002"/>
      <c r="AG210" s="3002"/>
      <c r="AH210" s="1371"/>
      <c r="AI210" s="1371"/>
      <c r="AJ210" s="1371"/>
      <c r="AK210" s="1024"/>
    </row>
    <row r="211" spans="1:37">
      <c r="A211" s="1016"/>
      <c r="B211" s="3043" t="s">
        <v>1383</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1383</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1383</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1383</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1383</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1383</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2">
        <f>SUM(AB207:AB216)</f>
        <v>0</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c r="AC223" s="3045"/>
      <c r="AD223" s="3045"/>
      <c r="AE223" s="3045"/>
      <c r="AF223" s="3045"/>
      <c r="AG223" s="304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c r="AC227" s="3001"/>
      <c r="AD227" s="3001"/>
      <c r="AE227" s="3001"/>
      <c r="AF227" s="3001"/>
      <c r="AG227" s="3001"/>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0</v>
      </c>
      <c r="AC233" s="3009"/>
      <c r="AD233" s="3009"/>
      <c r="AE233" s="3009"/>
      <c r="AF233" s="3009"/>
      <c r="AG233" s="300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0</v>
      </c>
      <c r="AC235" s="3187"/>
      <c r="AD235" s="3187"/>
      <c r="AE235" s="3187"/>
      <c r="AF235" s="3187"/>
      <c r="AG235" s="3187"/>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0</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0</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3000000</v>
      </c>
      <c r="AH251" s="3017"/>
      <c r="AI251" s="3017"/>
      <c r="AJ251" s="3017"/>
      <c r="AK251" s="301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28308071.719608217</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0.1</v>
      </c>
      <c r="AH253" s="3175"/>
      <c r="AI253" s="3175"/>
      <c r="AJ253" s="3175"/>
      <c r="AK253" s="3175"/>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68">
        <f>IF(AG253=0,0,IF((AG253*100)&gt;8,8,(AG253*100)))</f>
        <v>8</v>
      </c>
      <c r="AL256" s="3168"/>
      <c r="AM256" s="316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4" t="s">
        <v>577</v>
      </c>
      <c r="D261" s="3034"/>
      <c r="E261" s="940"/>
      <c r="F261" s="2985" t="s">
        <v>2414</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1633</v>
      </c>
      <c r="AH261" s="3173"/>
      <c r="AI261" s="3173"/>
      <c r="AJ261" s="3173"/>
      <c r="AK261" s="1026"/>
      <c r="AL261" s="1026"/>
      <c r="AM261" s="1026"/>
      <c r="AN261" s="1061"/>
      <c r="AO261" s="943"/>
      <c r="AS261" s="21"/>
      <c r="AT261" s="21"/>
    </row>
    <row r="262" spans="1:81" ht="13.65"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68">
        <f>IF($C$261="yes",10,0)</f>
        <v>10</v>
      </c>
      <c r="AL267" s="3168"/>
      <c r="AM267" s="316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6" t="s">
        <v>1652</v>
      </c>
      <c r="B274" s="3146"/>
      <c r="C274" s="3034" t="s">
        <v>625</v>
      </c>
      <c r="D274" s="3034"/>
      <c r="E274" s="940"/>
      <c r="F274" s="3170" t="s">
        <v>1653</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3" t="s">
        <v>1655</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3" t="s">
        <v>1656</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3" t="s">
        <v>1657</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6" t="s">
        <v>1658</v>
      </c>
      <c r="B284" s="3146"/>
      <c r="C284" s="3034" t="s">
        <v>625</v>
      </c>
      <c r="D284" s="3034"/>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3" t="s">
        <v>1661</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1656</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1662</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1663</v>
      </c>
      <c r="B292" s="3146"/>
      <c r="C292" s="3034" t="s">
        <v>577</v>
      </c>
      <c r="D292" s="3034"/>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3" t="s">
        <v>1664</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1383</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3" t="s">
        <v>2228</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59" t="s">
        <v>1383</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59" t="s">
        <v>1666</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46" t="s">
        <v>1667</v>
      </c>
      <c r="B315" s="3146"/>
      <c r="C315" s="3034" t="s">
        <v>625</v>
      </c>
      <c r="D315" s="3034"/>
      <c r="E315" s="940"/>
      <c r="F315" s="3147" t="s">
        <v>1668</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0">
        <f>AP279</f>
        <v>9</v>
      </c>
      <c r="AL320" s="3021"/>
      <c r="AM320" s="302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1584</v>
      </c>
      <c r="AF323" s="3102"/>
      <c r="AG323" s="3102"/>
      <c r="AH323" s="3102"/>
      <c r="AI323" s="3102"/>
      <c r="AJ323" s="3102"/>
      <c r="AK323" s="310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8" t="s">
        <v>2191</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75"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75"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75"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75"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75"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75"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75"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75"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1608</v>
      </c>
      <c r="AG339" s="3137"/>
      <c r="AH339" s="3137"/>
      <c r="AI339" s="3137"/>
      <c r="AJ339" s="3137"/>
      <c r="AK339" s="3137"/>
      <c r="AL339" s="3137"/>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1674</v>
      </c>
      <c r="AG346" s="3137"/>
      <c r="AH346" s="3137"/>
      <c r="AI346" s="3137"/>
      <c r="AJ346" s="3137"/>
      <c r="AK346" s="3137"/>
      <c r="AL346" s="3137"/>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1648</v>
      </c>
      <c r="AG352" s="3137"/>
      <c r="AH352" s="3137"/>
      <c r="AI352" s="3137"/>
      <c r="AJ352" s="3137"/>
      <c r="AK352" s="3137"/>
      <c r="AL352" s="3137"/>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1677</v>
      </c>
      <c r="AG358" s="3137"/>
      <c r="AH358" s="3137"/>
      <c r="AI358" s="3137"/>
      <c r="AJ358" s="3137"/>
      <c r="AK358" s="3137"/>
      <c r="AL358" s="3137"/>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5" t="s">
        <v>1383</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1622</v>
      </c>
      <c r="AG364" s="3137"/>
      <c r="AH364" s="3137"/>
      <c r="AI364" s="3137"/>
      <c r="AJ364" s="3137"/>
      <c r="AK364" s="3137"/>
      <c r="AL364" s="3137"/>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37" t="s">
        <v>541</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44" t="s">
        <v>625</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2" t="s">
        <v>625</v>
      </c>
      <c r="C377" s="3142"/>
      <c r="D377" s="1644"/>
      <c r="E377" s="3038" t="s">
        <v>1681</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75"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75"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75"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0">
        <f>VLOOKUP($H$367,$AO$347:$AP$352,2,FALSE)+VLOOKUP($I$375,$AO$374:$AP$376,2,FALSE)</f>
        <v>6</v>
      </c>
      <c r="AK382" s="302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3" t="s">
        <v>2192</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1622</v>
      </c>
      <c r="AG386" s="3137"/>
      <c r="AH386" s="3137"/>
      <c r="AI386" s="3137"/>
      <c r="AJ386" s="3137"/>
      <c r="AK386" s="3137"/>
      <c r="AL386" s="3137"/>
      <c r="AM386" s="1026"/>
      <c r="AN386" s="1125"/>
    </row>
    <row r="387" spans="1:42" s="943" customFormat="1" ht="12.75"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2" t="s">
        <v>625</v>
      </c>
      <c r="Y395" s="314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1686</v>
      </c>
      <c r="AG397" s="3137"/>
      <c r="AH397" s="3137"/>
      <c r="AI397" s="3137"/>
      <c r="AJ397" s="3137"/>
      <c r="AK397" s="3137"/>
      <c r="AL397" s="313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37" t="s">
        <v>541</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0">
        <f>VLOOKUP($H$399,$AO$366:$AP$368,2,FALSE)</f>
        <v>2</v>
      </c>
      <c r="AK401" s="3022"/>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1622</v>
      </c>
      <c r="AG405" s="3137"/>
      <c r="AH405" s="3137"/>
      <c r="AI405" s="3137"/>
      <c r="AJ405" s="3137"/>
      <c r="AK405" s="3137"/>
      <c r="AL405" s="3137"/>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1686</v>
      </c>
      <c r="AG408" s="3137"/>
      <c r="AH408" s="3137"/>
      <c r="AI408" s="3137"/>
      <c r="AJ408" s="3137"/>
      <c r="AK408" s="3137"/>
      <c r="AL408" s="3137"/>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37" t="s">
        <v>625</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0">
        <f>VLOOKUP(H411,AT366:AU368,2,FALSE)</f>
        <v>0</v>
      </c>
      <c r="AK413" s="3022"/>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8" t="s">
        <v>1698</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1648</v>
      </c>
      <c r="AG418" s="3137"/>
      <c r="AH418" s="3137"/>
      <c r="AI418" s="3137"/>
      <c r="AJ418" s="3137"/>
      <c r="AK418" s="3137"/>
      <c r="AL418" s="3137"/>
      <c r="AN418" s="1000"/>
    </row>
    <row r="419" spans="1:42" s="943" customFormat="1" ht="12.75"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75"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8" t="s">
        <v>1699</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1677</v>
      </c>
      <c r="AG422" s="3137"/>
      <c r="AH422" s="3137"/>
      <c r="AI422" s="3137"/>
      <c r="AJ422" s="3137"/>
      <c r="AK422" s="3137"/>
      <c r="AL422" s="3137"/>
      <c r="AN422" s="1000"/>
    </row>
    <row r="423" spans="1:42" s="943" customFormat="1" ht="12.75"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8" t="s">
        <v>1700</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1622</v>
      </c>
      <c r="AG426" s="3137"/>
      <c r="AH426" s="3137"/>
      <c r="AI426" s="3137"/>
      <c r="AJ426" s="3137"/>
      <c r="AK426" s="3137"/>
      <c r="AL426" s="3137"/>
      <c r="AN426" s="1000"/>
    </row>
    <row r="427" spans="1:42" s="943" customFormat="1" ht="12.75"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625</v>
      </c>
      <c r="AP427" s="1120">
        <v>0</v>
      </c>
    </row>
    <row r="428" spans="1:42" s="943" customFormat="1" ht="12.75"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38" t="s">
        <v>1701</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1677</v>
      </c>
      <c r="AG430" s="3137"/>
      <c r="AH430" s="3137"/>
      <c r="AI430" s="3137"/>
      <c r="AJ430" s="3137"/>
      <c r="AK430" s="3137"/>
      <c r="AL430" s="3137"/>
      <c r="AN430" s="1000"/>
    </row>
    <row r="431" spans="1:42" s="943" customFormat="1" ht="12.75"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38" t="s">
        <v>1702</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1622</v>
      </c>
      <c r="AG434" s="3137"/>
      <c r="AH434" s="3137"/>
      <c r="AI434" s="3137"/>
      <c r="AJ434" s="3137"/>
      <c r="AK434" s="3137"/>
      <c r="AL434" s="3137"/>
      <c r="AM434" s="1065"/>
      <c r="AN434" s="1000"/>
    </row>
    <row r="435" spans="1:42" s="943" customFormat="1" ht="12.75"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38" t="s">
        <v>1703</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1686</v>
      </c>
      <c r="AG438" s="3137"/>
      <c r="AH438" s="3137"/>
      <c r="AI438" s="3137"/>
      <c r="AJ438" s="3137"/>
      <c r="AK438" s="3137"/>
      <c r="AL438" s="3137"/>
      <c r="AM438" s="1065"/>
      <c r="AN438" s="1000"/>
    </row>
    <row r="439" spans="1:42" s="943" customFormat="1" ht="12.75"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38" t="s">
        <v>1704</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1705</v>
      </c>
      <c r="AG442" s="3137"/>
      <c r="AH442" s="3137"/>
      <c r="AI442" s="3137"/>
      <c r="AJ442" s="3137"/>
      <c r="AK442" s="3137"/>
      <c r="AL442" s="3137"/>
      <c r="AM442" s="1065"/>
      <c r="AN442" s="1000"/>
      <c r="AO442" s="1118" t="s">
        <v>724</v>
      </c>
      <c r="AP442" s="943">
        <v>3</v>
      </c>
    </row>
    <row r="443" spans="1:42" s="943" customFormat="1" ht="12.75"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37" t="s">
        <v>724</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0">
        <f>VLOOKUP($H$446,$AO$394:$AP$401,2,FALSE)</f>
        <v>5</v>
      </c>
      <c r="AK448" s="302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8" t="s">
        <v>2188</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1622</v>
      </c>
      <c r="AG452" s="3137"/>
      <c r="AH452" s="3137"/>
      <c r="AI452" s="3137"/>
      <c r="AJ452" s="3137"/>
      <c r="AK452" s="3137"/>
      <c r="AL452" s="3137"/>
      <c r="AM452" s="1026"/>
      <c r="AN452" s="1001"/>
    </row>
    <row r="453" spans="1:42" s="1002" customFormat="1" ht="12.75"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75"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8" t="s">
        <v>2190</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1686</v>
      </c>
      <c r="AG457" s="3137"/>
      <c r="AH457" s="3137"/>
      <c r="AI457" s="3137"/>
      <c r="AJ457" s="3137"/>
      <c r="AK457" s="3137"/>
      <c r="AL457" s="3137"/>
      <c r="AM457" s="1026"/>
      <c r="AN457" s="1000"/>
      <c r="AO457" s="1118" t="s">
        <v>541</v>
      </c>
      <c r="AP457" s="943">
        <v>1</v>
      </c>
    </row>
    <row r="458" spans="1:42" s="943" customFormat="1" ht="12"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8" t="s">
        <v>2189</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37" t="s">
        <v>541</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0">
        <f>VLOOKUP($H$466,$AO$413:$AP$415,2,FALSE)</f>
        <v>2</v>
      </c>
      <c r="AK468" s="302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39" t="s">
        <v>2193</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1622</v>
      </c>
      <c r="AG472" s="3137"/>
      <c r="AH472" s="3137"/>
      <c r="AI472" s="3137"/>
      <c r="AJ472" s="3137"/>
      <c r="AK472" s="3137"/>
      <c r="AL472" s="3137"/>
      <c r="AM472" s="1026"/>
      <c r="AN472" s="1133"/>
      <c r="AP472" s="1135" t="s">
        <v>1714</v>
      </c>
    </row>
    <row r="473" spans="1:43" s="1134" customFormat="1" ht="11.85"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541</v>
      </c>
      <c r="E476" s="3140" t="s">
        <v>1717</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1686</v>
      </c>
      <c r="AG476" s="3137"/>
      <c r="AH476" s="3137"/>
      <c r="AI476" s="3137"/>
      <c r="AJ476" s="3137"/>
      <c r="AK476" s="3137"/>
      <c r="AL476" s="3137"/>
      <c r="AM476" s="1026"/>
      <c r="AN476" s="1136"/>
    </row>
    <row r="477" spans="1:43" s="1134" customFormat="1" ht="12.75"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1678</v>
      </c>
      <c r="E480" s="1643"/>
      <c r="F480" s="1643"/>
      <c r="G480" s="1643"/>
      <c r="H480" s="3037" t="s">
        <v>625</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0">
        <f>VLOOKUP($H$480,$AO$413:$AP$415,2,FALSE)</f>
        <v>0</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8" t="s">
        <v>2194</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1622</v>
      </c>
      <c r="AG486" s="3137"/>
      <c r="AH486" s="3137"/>
      <c r="AI486" s="3137"/>
      <c r="AJ486" s="3137"/>
      <c r="AK486" s="3137"/>
      <c r="AL486" s="3137"/>
      <c r="AM486" s="1026"/>
      <c r="AN486" s="1133"/>
      <c r="AT486" s="51"/>
      <c r="AU486" s="51"/>
      <c r="AV486" s="51"/>
      <c r="AW486" s="51"/>
      <c r="AX486" s="51"/>
      <c r="AY486" s="51"/>
      <c r="AZ486" s="51"/>
    </row>
    <row r="487" spans="1:81" s="1134" customFormat="1">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8" t="s">
        <v>1721</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1686</v>
      </c>
      <c r="AG489" s="3137"/>
      <c r="AH489" s="3137"/>
      <c r="AI489" s="3137"/>
      <c r="AJ489" s="3137"/>
      <c r="AK489" s="3137"/>
      <c r="AL489" s="3137"/>
      <c r="AM489" s="1026"/>
      <c r="AN489" s="1133"/>
      <c r="AT489" s="51"/>
      <c r="AU489" s="51"/>
      <c r="AV489" s="51"/>
      <c r="AW489" s="51"/>
      <c r="AX489" s="51"/>
      <c r="AY489" s="51"/>
      <c r="AZ489" s="51"/>
    </row>
    <row r="490" spans="1:81" s="1134" customFormat="1">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37" t="s">
        <v>625</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8" t="s">
        <v>1724</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1622</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8" t="s">
        <v>1725</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1686</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37" t="s">
        <v>625</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0">
        <f>VLOOKUP($H$508,$AO$441:$AP$443,2,FALSE)</f>
        <v>0</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8" t="s">
        <v>1727</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1686</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8" t="s">
        <v>1728</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1705</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37" t="s">
        <v>625</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0">
        <f>VLOOKUP($H$520,$AO$455:$AP$457,2,FALSE)</f>
        <v>0</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038" t="s">
        <v>2187</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1686</v>
      </c>
      <c r="AG526" s="3137"/>
      <c r="AH526" s="3137"/>
      <c r="AI526" s="3137"/>
      <c r="AJ526" s="3137"/>
      <c r="AK526" s="3137"/>
      <c r="AL526" s="3137"/>
      <c r="AM526" s="1031"/>
      <c r="AN526" s="1133"/>
    </row>
    <row r="527" spans="1:74" s="1134" customFormat="1" ht="13.65"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8" t="s">
        <v>2195</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1622</v>
      </c>
      <c r="AG531" s="3137"/>
      <c r="AH531" s="3137"/>
      <c r="AI531" s="3137"/>
      <c r="AJ531" s="3137"/>
      <c r="AK531" s="3137"/>
      <c r="AL531" s="3137"/>
      <c r="AM531" s="1031"/>
      <c r="AN531" s="1000"/>
    </row>
    <row r="532" spans="1:81" s="943" customFormat="1" ht="12.75"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37" t="s">
        <v>625</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038" t="s">
        <v>2186</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1732</v>
      </c>
      <c r="AG542" s="3137"/>
      <c r="AH542" s="3137"/>
      <c r="AI542" s="3137"/>
      <c r="AJ542" s="3137"/>
      <c r="AK542" s="3137"/>
      <c r="AL542" s="3137"/>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37" t="s">
        <v>625</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0">
        <f>IF(($AJ$382+$AJ$401+$AJ$413+$AJ$448+$AJ$468+$AJ$482+$AJ$494+$AJ$510+$AJ$522+$AJ$538+AJ549)&gt;10,10,($AJ$382+$AJ$401+$AJ$413+$AJ$448+$AJ$468+$AJ$482+$AJ$494+$AJ$510+$AJ$522+$AJ$538+AJ549))</f>
        <v>10</v>
      </c>
      <c r="AL551" s="3021"/>
      <c r="AM551" s="302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0">
        <f>IF((AK320+AK551)&gt;20,20,(AK320+AK551))</f>
        <v>19</v>
      </c>
      <c r="AL553" s="3021"/>
      <c r="AM553" s="302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1584</v>
      </c>
      <c r="AF556" s="3102"/>
      <c r="AG556" s="3102"/>
      <c r="AH556" s="3102"/>
      <c r="AI556" s="3102"/>
      <c r="AJ556" s="3102"/>
      <c r="AK556" s="310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9" t="s">
        <v>1737</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75"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75"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75"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45"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4.9" customHeight="1">
      <c r="A563" s="1027"/>
      <c r="B563" s="1118"/>
      <c r="C563" s="3029" t="s">
        <v>1738</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9" t="s">
        <v>2392</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30"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75"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75" customHeight="1">
      <c r="A568" s="1027"/>
      <c r="B568" s="1118"/>
      <c r="C568" s="3029" t="s">
        <v>1739</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75"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75"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85"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0</v>
      </c>
      <c r="AQ572" s="1002"/>
      <c r="AR572" s="1002"/>
      <c r="AS572" s="932" t="s">
        <v>1740</v>
      </c>
    </row>
    <row r="573" spans="1:46" s="943" customFormat="1" ht="12.75"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75"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7</v>
      </c>
      <c r="AS574" s="932" t="s">
        <v>1741</v>
      </c>
    </row>
    <row r="575" spans="1:46" s="943" customFormat="1" ht="12.75"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0</v>
      </c>
      <c r="AS575" s="2994">
        <f>IF(AND(AQ581&gt;0,AQ590&gt;0),(AQ581+AQ590)/2,0)</f>
        <v>0</v>
      </c>
      <c r="AT575" s="2994"/>
    </row>
    <row r="576" spans="1:46" s="943" customFormat="1" ht="12.75"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6" t="s">
        <v>1742</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3</v>
      </c>
      <c r="AS577" s="2994">
        <f>IF(AQ581=0,AQ590,AQ581)</f>
        <v>10</v>
      </c>
      <c r="AT577" s="2994"/>
    </row>
    <row r="578" spans="1:81" s="943" customFormat="1" ht="12.75"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820</v>
      </c>
      <c r="AP578" s="1152">
        <f>IF(C627="Yes",5,0)</f>
        <v>0</v>
      </c>
    </row>
    <row r="579" spans="1:81" s="943" customFormat="1" ht="12.75"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618</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5"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032">
        <f>IF(AP581&gt;0,AP581,0)</f>
        <v>10</v>
      </c>
      <c r="AR581" s="3032"/>
    </row>
    <row r="582" spans="1:81" s="943" customFormat="1" ht="12.75"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29" t="s">
        <v>1743</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487</v>
      </c>
      <c r="AP584" s="1152">
        <f>IF(C657="Yes",5,0)</f>
        <v>0</v>
      </c>
    </row>
    <row r="585" spans="1:81" s="943" customFormat="1" ht="12.75"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493</v>
      </c>
      <c r="AP585" s="1152">
        <f>IF(C664="Yes",5,0)</f>
        <v>0</v>
      </c>
    </row>
    <row r="586" spans="1:81" s="943" customFormat="1" ht="68.099999999999994"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680</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202</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2">
        <f>IF(AP590&gt;0,AP590,0)</f>
        <v>0</v>
      </c>
      <c r="AR590" s="3032"/>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4" t="s">
        <v>1748</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3" t="s">
        <v>625</v>
      </c>
      <c r="D596" s="3034"/>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1750</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4" t="s">
        <v>1751</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3" t="s">
        <v>625</v>
      </c>
      <c r="D604" s="3034"/>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1750</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4" t="s">
        <v>1753</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3" t="s">
        <v>577</v>
      </c>
      <c r="D612" s="3034"/>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1755</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3" t="s">
        <v>625</v>
      </c>
      <c r="D614" s="3034"/>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1750</v>
      </c>
      <c r="AG614" s="3035"/>
      <c r="AH614" s="3035"/>
      <c r="AI614" s="3035"/>
      <c r="AJ614" s="3035"/>
      <c r="AK614" s="3035"/>
      <c r="AL614" s="30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4" t="s">
        <v>1759</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3" t="s">
        <v>625</v>
      </c>
      <c r="D622" s="3034"/>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1750</v>
      </c>
      <c r="AG622" s="3035"/>
      <c r="AH622" s="3035"/>
      <c r="AI622" s="3035"/>
      <c r="AJ622" s="3035"/>
      <c r="AK622" s="3035"/>
      <c r="AL622" s="30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3" t="s">
        <v>577</v>
      </c>
      <c r="D624" s="3034"/>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1762</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3" t="s">
        <v>625</v>
      </c>
      <c r="D627" s="3034"/>
      <c r="E627" s="1174" t="s">
        <v>1763</v>
      </c>
      <c r="F627" s="3024" t="s">
        <v>1764</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0" t="s">
        <v>1766</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75"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75"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75" customHeight="1">
      <c r="A636" s="927"/>
      <c r="B636" s="51"/>
      <c r="C636" s="3033" t="s">
        <v>625</v>
      </c>
      <c r="D636" s="3034"/>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3" t="s">
        <v>625</v>
      </c>
      <c r="D638" s="3034"/>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4" t="s">
        <v>1771</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75" customHeight="1">
      <c r="A645" s="927"/>
      <c r="B645" s="51"/>
      <c r="C645" s="3033" t="s">
        <v>625</v>
      </c>
      <c r="D645" s="3034"/>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4" t="s">
        <v>1774</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75"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75"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5"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75" customHeight="1">
      <c r="A657" s="927"/>
      <c r="B657" s="51"/>
      <c r="C657" s="3033" t="s">
        <v>625</v>
      </c>
      <c r="D657" s="3034"/>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4" t="s">
        <v>1777</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3" t="s">
        <v>625</v>
      </c>
      <c r="D664" s="3034"/>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4" t="s">
        <v>625</v>
      </c>
      <c r="D668" s="3135"/>
      <c r="E668" s="1174" t="s">
        <v>1786</v>
      </c>
      <c r="F668" s="3024" t="s">
        <v>1787</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1750</v>
      </c>
      <c r="AG668" s="3128"/>
      <c r="AH668" s="3128"/>
      <c r="AI668" s="3128"/>
      <c r="AJ668" s="3128"/>
      <c r="AK668" s="3128"/>
      <c r="AL668" s="312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3" t="s">
        <v>625</v>
      </c>
      <c r="D672" s="3034"/>
      <c r="E672" s="1174" t="s">
        <v>1792</v>
      </c>
      <c r="F672" s="3024" t="s">
        <v>1793</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1750</v>
      </c>
      <c r="AG672" s="3128"/>
      <c r="AH672" s="3128"/>
      <c r="AI672" s="3128"/>
      <c r="AJ672" s="3128"/>
      <c r="AK672" s="3128"/>
      <c r="AL672" s="3129"/>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0" t="s">
        <v>1796</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75"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75"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75"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75" customHeight="1">
      <c r="A681" s="927"/>
      <c r="B681" s="51"/>
      <c r="C681" s="3033" t="s">
        <v>625</v>
      </c>
      <c r="D681" s="3034"/>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1750</v>
      </c>
      <c r="AG681" s="3035"/>
      <c r="AH681" s="3035"/>
      <c r="AI681" s="3035"/>
      <c r="AJ681" s="3035"/>
      <c r="AK681" s="3035"/>
      <c r="AL681" s="30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0">
        <f>IF(Application!D213="N/A",AS573,AS575)</f>
        <v>10</v>
      </c>
      <c r="AL684" s="3021"/>
      <c r="AM684" s="302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1800</v>
      </c>
      <c r="AF687" s="3023"/>
      <c r="AG687" s="3023"/>
      <c r="AH687" s="3023"/>
      <c r="AI687" s="3023"/>
      <c r="AJ687" s="3023"/>
      <c r="AK687" s="3023"/>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09" t="s">
        <v>625</v>
      </c>
      <c r="D693" s="3110"/>
      <c r="E693" s="1248" t="s">
        <v>539</v>
      </c>
      <c r="F693" s="3118" t="s">
        <v>1806</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4" t="s">
        <v>625</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5" t="s">
        <v>577</v>
      </c>
      <c r="D697" s="3126"/>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28" t="s">
        <v>625</v>
      </c>
      <c r="W700" s="3028"/>
      <c r="X700" s="302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28" t="s">
        <v>625</v>
      </c>
      <c r="W702" s="3028"/>
      <c r="X702" s="302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28" t="s">
        <v>625</v>
      </c>
      <c r="W707" s="3028"/>
      <c r="X707" s="302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2"/>
      <c r="E710" s="311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28" t="s">
        <v>625</v>
      </c>
      <c r="W711" s="3028"/>
      <c r="X711" s="302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28" t="s">
        <v>625</v>
      </c>
      <c r="W713" s="3028"/>
      <c r="X713" s="302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9" t="s">
        <v>625</v>
      </c>
      <c r="D716" s="3110"/>
      <c r="E716" s="1248" t="s">
        <v>539</v>
      </c>
      <c r="F716" s="3118" t="s">
        <v>1806</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0" t="s">
        <v>625</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9" t="s">
        <v>625</v>
      </c>
      <c r="D720" s="3110"/>
      <c r="E720" s="1248" t="s">
        <v>797</v>
      </c>
      <c r="F720" s="3121" t="s">
        <v>1828</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3" t="s">
        <v>625</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09" t="s">
        <v>625</v>
      </c>
      <c r="D725" s="311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1"/>
      <c r="D727" s="311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3" t="s">
        <v>625</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4" t="s">
        <v>625</v>
      </c>
      <c r="D730" s="311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4" t="s">
        <v>625</v>
      </c>
      <c r="D734" s="3115"/>
      <c r="E734" s="1025"/>
      <c r="F734" s="1290" t="s">
        <v>1836</v>
      </c>
      <c r="G734" s="3116" t="s">
        <v>1837</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8" t="s">
        <v>625</v>
      </c>
      <c r="D738" s="309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0" t="s">
        <v>625</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1851</v>
      </c>
      <c r="AF753" s="3102"/>
      <c r="AG753" s="3102"/>
      <c r="AH753" s="3102"/>
      <c r="AI753" s="3102"/>
      <c r="AJ753" s="3102"/>
      <c r="AK753" s="3102"/>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4" t="s">
        <v>577</v>
      </c>
      <c r="D756" s="3034"/>
      <c r="E756" s="944"/>
      <c r="F756" s="3103" t="s">
        <v>1852</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75"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4" t="s">
        <v>625</v>
      </c>
      <c r="D759" s="3034"/>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2" t="s">
        <v>1854</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75"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2" t="s">
        <v>1856</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75"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40021184</v>
      </c>
      <c r="AQ765" s="3006"/>
      <c r="AR765" s="3006"/>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26337774.668028526</v>
      </c>
      <c r="AG766" s="3017"/>
      <c r="AH766" s="3017"/>
      <c r="AI766" s="3017"/>
      <c r="AJ766" s="301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52754214.200000003</v>
      </c>
      <c r="AG767" s="3018"/>
      <c r="AH767" s="3018"/>
      <c r="AI767" s="3018"/>
      <c r="AJ767" s="3018"/>
      <c r="AK767" s="1005"/>
      <c r="AL767" s="1005"/>
      <c r="AM767" s="1005"/>
      <c r="AN767" s="1000"/>
      <c r="AP767" s="3006">
        <f>Application!AJ1024</f>
        <v>4002118.4000000004</v>
      </c>
      <c r="AQ767" s="3006"/>
      <c r="AR767" s="300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0.5</v>
      </c>
      <c r="AG768" s="3019"/>
      <c r="AH768" s="3019"/>
      <c r="AI768" s="3019"/>
      <c r="AJ768" s="3019"/>
      <c r="AK768" s="1005"/>
      <c r="AL768" s="1005"/>
      <c r="AM768" s="1005"/>
      <c r="AN768" s="1000"/>
      <c r="AP768" s="3007">
        <f>Application!AJ1028</f>
        <v>8004236.8000000007</v>
      </c>
      <c r="AQ768" s="3007"/>
      <c r="AR768" s="300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0.30000000000000004</v>
      </c>
      <c r="AQ769" s="3026"/>
      <c r="AR769" s="3026"/>
    </row>
    <row r="770" spans="1:44" s="943" customFormat="1" ht="12.75" customHeight="1">
      <c r="A770" s="1048"/>
      <c r="B770" s="3078" t="s">
        <v>1859</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75"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40747859</v>
      </c>
      <c r="AQ771" s="3027"/>
      <c r="AR771" s="3027"/>
    </row>
    <row r="772" spans="1:44" s="943" customFormat="1" ht="12.75"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52754214.200000003</v>
      </c>
      <c r="AQ772" s="3006"/>
      <c r="AR772" s="300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87">
        <f>IF(AF768=0,0,IF((AF768*100)&gt;12,12,(AF768*100)))</f>
        <v>12</v>
      </c>
      <c r="AL774" s="3087"/>
      <c r="AM774" s="3088"/>
      <c r="AN774" s="1000"/>
      <c r="AP774" s="2995">
        <f>AP771+(AP765*AP769)</f>
        <v>52754214.200000003</v>
      </c>
      <c r="AQ774" s="2996"/>
      <c r="AR774" s="299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1861</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1862</v>
      </c>
      <c r="U782" s="3093"/>
      <c r="V782" s="3093"/>
      <c r="W782" s="3093"/>
      <c r="X782" s="3093"/>
      <c r="Y782" s="3094"/>
      <c r="Z782" s="3092" t="s">
        <v>1863</v>
      </c>
      <c r="AA782" s="3093"/>
      <c r="AB782" s="3093"/>
      <c r="AC782" s="3093"/>
      <c r="AD782" s="3093"/>
      <c r="AE782" s="3094"/>
      <c r="AF782" s="3092" t="s">
        <v>1864</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797</v>
      </c>
      <c r="B784" s="3046" t="s">
        <v>1562</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1830</v>
      </c>
      <c r="B785" s="3046" t="s">
        <v>1583</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1839</v>
      </c>
      <c r="B786" s="3046" t="s">
        <v>1593</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1865</v>
      </c>
      <c r="B787" s="3046" t="s">
        <v>1603</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1866</v>
      </c>
      <c r="B788" s="3046" t="s">
        <v>1867</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1868</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1869</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1631</v>
      </c>
      <c r="B791" s="3046" t="s">
        <v>1870</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1640</v>
      </c>
      <c r="B792" s="3046" t="s">
        <v>1641</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623</v>
      </c>
      <c r="B793" s="3046" t="s">
        <v>1871</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6" t="s">
        <v>1872</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6" t="s">
        <v>1651</v>
      </c>
      <c r="C795" s="3046"/>
      <c r="D795" s="3046"/>
      <c r="E795" s="3046"/>
      <c r="F795" s="3046"/>
      <c r="G795" s="3046"/>
      <c r="H795" s="3046"/>
      <c r="I795" s="3046"/>
      <c r="J795" s="3046"/>
      <c r="K795" s="3046"/>
      <c r="L795" s="3046"/>
      <c r="M795" s="3046"/>
      <c r="N795" s="3046"/>
      <c r="O795" s="3046"/>
      <c r="P795" s="3046"/>
      <c r="Q795" s="3046"/>
      <c r="R795" s="3046"/>
      <c r="S795" s="3047"/>
      <c r="T795" s="3048">
        <f>AK553</f>
        <v>19</v>
      </c>
      <c r="U795" s="3048"/>
      <c r="V795" s="3048"/>
      <c r="W795" s="3048"/>
      <c r="X795" s="3048"/>
      <c r="Y795" s="3048"/>
      <c r="Z795" s="3058">
        <v>20</v>
      </c>
      <c r="AA795" s="3059"/>
      <c r="AB795" s="3059"/>
      <c r="AC795" s="3059"/>
      <c r="AD795" s="3059"/>
      <c r="AE795" s="3060"/>
      <c r="AF795" s="3058">
        <f>IF(T795&gt;Z795,Z795,T795)</f>
        <v>19</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5">
        <f>AK320</f>
        <v>9</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5">
        <f>AK551</f>
        <v>10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6" t="s">
        <v>907</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6" t="s">
        <v>1850</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1875</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1876</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5" t="s">
        <v>1877</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119</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2021-08-31T22:05:41Z</cp:lastPrinted>
  <dcterms:created xsi:type="dcterms:W3CDTF">2007-12-27T18:26:28Z</dcterms:created>
  <dcterms:modified xsi:type="dcterms:W3CDTF">2021-09-07T18:19:28Z</dcterms:modified>
</cp:coreProperties>
</file>