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332000-21332999\21332170\L\L\Petaluma - Meridian at Corona Station - 9% TCAC Application &amp; Exhibits (ID 21332170)\"/>
    </mc:Choice>
  </mc:AlternateContent>
  <xr:revisionPtr revIDLastSave="0" documentId="13_ncr:1_{FD3546E3-5972-4F48-8992-0F2A8B777549}" xr6:coauthVersionLast="47" xr6:coauthVersionMax="47" xr10:uidLastSave="{00000000-0000-0000-0000-000000000000}"/>
  <bookViews>
    <workbookView xWindow="25800" yWindow="0" windowWidth="23325" windowHeight="21000" firstSheet="2"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3">Application!$1:$135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4" i="4" l="1"/>
  <c r="E84" i="4" s="1"/>
  <c r="C78" i="4"/>
  <c r="E85" i="4"/>
  <c r="F101" i="18"/>
  <c r="F100" i="18"/>
  <c r="F99" i="18"/>
  <c r="F98" i="18"/>
  <c r="F97" i="18"/>
  <c r="F93" i="18"/>
  <c r="F92" i="18"/>
  <c r="F91" i="18"/>
  <c r="F90" i="18"/>
  <c r="F89" i="18"/>
  <c r="F88" i="18"/>
  <c r="F87" i="18"/>
  <c r="F85" i="18"/>
  <c r="F82" i="18"/>
  <c r="F42" i="18"/>
  <c r="F67" i="18"/>
  <c r="F66" i="18"/>
  <c r="F65" i="18"/>
  <c r="F64" i="18"/>
  <c r="F63" i="18"/>
  <c r="F51" i="18"/>
  <c r="F50" i="18"/>
  <c r="F49" i="18"/>
  <c r="F48" i="18"/>
  <c r="F47" i="18"/>
  <c r="F46" i="18"/>
  <c r="F45" i="18"/>
  <c r="F44" i="18"/>
  <c r="F40" i="18"/>
  <c r="F39" i="18"/>
  <c r="F36" i="18"/>
  <c r="F35" i="18"/>
  <c r="F34" i="18"/>
  <c r="F33" i="18"/>
  <c r="F32" i="18"/>
  <c r="F31" i="18"/>
  <c r="F30" i="18"/>
  <c r="F29" i="18"/>
  <c r="F28" i="18"/>
  <c r="C101" i="18"/>
  <c r="C100" i="18"/>
  <c r="C99" i="18"/>
  <c r="C98" i="18"/>
  <c r="C97" i="18"/>
  <c r="C93" i="18"/>
  <c r="C92" i="18"/>
  <c r="C91" i="18"/>
  <c r="C90" i="18"/>
  <c r="C89" i="18"/>
  <c r="C88" i="18"/>
  <c r="C87" i="18"/>
  <c r="C86" i="18"/>
  <c r="C85" i="18"/>
  <c r="C82" i="18"/>
  <c r="C81" i="18"/>
  <c r="C74" i="18"/>
  <c r="C73" i="18"/>
  <c r="C72" i="18"/>
  <c r="C71" i="18"/>
  <c r="C70" i="18"/>
  <c r="C67" i="18"/>
  <c r="C66" i="18"/>
  <c r="C65" i="18"/>
  <c r="C64" i="18"/>
  <c r="C63" i="18"/>
  <c r="C59" i="18"/>
  <c r="C58" i="18"/>
  <c r="C57" i="18"/>
  <c r="C56" i="18"/>
  <c r="C55" i="18"/>
  <c r="C54" i="18"/>
  <c r="C51" i="18"/>
  <c r="C50" i="18"/>
  <c r="C49" i="18"/>
  <c r="C48" i="18"/>
  <c r="C47" i="18"/>
  <c r="C46" i="18"/>
  <c r="C45" i="18"/>
  <c r="C44" i="18"/>
  <c r="C42" i="18"/>
  <c r="C40" i="18"/>
  <c r="C39" i="18"/>
  <c r="C29" i="18"/>
  <c r="C30" i="18"/>
  <c r="C31" i="18"/>
  <c r="C32" i="18"/>
  <c r="C33" i="18"/>
  <c r="C34" i="18"/>
  <c r="C35" i="18"/>
  <c r="C36" i="18"/>
  <c r="C28" i="18"/>
  <c r="C4" i="18"/>
  <c r="S98" i="4" l="1"/>
  <c r="S88" i="4"/>
  <c r="S89" i="4"/>
  <c r="S90" i="4"/>
  <c r="S91" i="4"/>
  <c r="S92" i="4"/>
  <c r="S93" i="4"/>
  <c r="S94" i="4"/>
  <c r="S86" i="4"/>
  <c r="S83" i="4"/>
  <c r="S68" i="4"/>
  <c r="S64" i="4"/>
  <c r="S47" i="4"/>
  <c r="S48" i="4"/>
  <c r="S49" i="4"/>
  <c r="S50" i="4"/>
  <c r="S51" i="4"/>
  <c r="S52" i="4"/>
  <c r="S46" i="4"/>
  <c r="S43" i="4"/>
  <c r="S41" i="4"/>
  <c r="S30" i="4"/>
  <c r="S31" i="4"/>
  <c r="S32" i="4"/>
  <c r="S33" i="4"/>
  <c r="S34" i="4"/>
  <c r="S35" i="4"/>
  <c r="S36" i="4"/>
  <c r="S37" i="4"/>
  <c r="S29" i="4"/>
  <c r="E41" i="4"/>
  <c r="E40" i="4"/>
  <c r="E98" i="4"/>
  <c r="E94" i="4"/>
  <c r="E93" i="4"/>
  <c r="E92" i="4"/>
  <c r="E91" i="4"/>
  <c r="E90" i="4"/>
  <c r="E89" i="4"/>
  <c r="E88" i="4"/>
  <c r="E87" i="4"/>
  <c r="E86" i="4"/>
  <c r="E83" i="4"/>
  <c r="E82" i="4"/>
  <c r="E79" i="4"/>
  <c r="E78" i="4"/>
  <c r="E75" i="4"/>
  <c r="E74" i="4"/>
  <c r="E73" i="4"/>
  <c r="E72" i="4"/>
  <c r="E71" i="4"/>
  <c r="E68" i="4"/>
  <c r="E67" i="4"/>
  <c r="E66" i="4"/>
  <c r="E65" i="4"/>
  <c r="E64" i="4"/>
  <c r="E60" i="4"/>
  <c r="E59" i="4"/>
  <c r="E58" i="4"/>
  <c r="E57" i="4"/>
  <c r="E56" i="4"/>
  <c r="E55" i="4"/>
  <c r="E52" i="4"/>
  <c r="E46" i="4"/>
  <c r="E47" i="4"/>
  <c r="E48" i="4"/>
  <c r="E49" i="4"/>
  <c r="E50" i="4"/>
  <c r="E51" i="4"/>
  <c r="E45" i="4"/>
  <c r="E30" i="4"/>
  <c r="E31" i="4"/>
  <c r="E32" i="4"/>
  <c r="E33" i="4"/>
  <c r="E34" i="4"/>
  <c r="E35" i="4"/>
  <c r="E36" i="4"/>
  <c r="E37" i="4"/>
  <c r="E29" i="4"/>
  <c r="AC864" i="3" l="1"/>
  <c r="R632" i="3" l="1"/>
  <c r="O632" i="3"/>
  <c r="BG696" i="3"/>
  <c r="BG695" i="3"/>
  <c r="BG715" i="3"/>
  <c r="BH690" i="3"/>
  <c r="BI690" i="3"/>
  <c r="BH691" i="3"/>
  <c r="BI691" i="3"/>
  <c r="BH692" i="3"/>
  <c r="BI692" i="3"/>
  <c r="BH693" i="3"/>
  <c r="BI693" i="3"/>
  <c r="BH694" i="3"/>
  <c r="BI694" i="3"/>
  <c r="BH695" i="3"/>
  <c r="BI695" i="3"/>
  <c r="BH696" i="3"/>
  <c r="BI696" i="3"/>
  <c r="BH697" i="3"/>
  <c r="BI697" i="3"/>
  <c r="BH698" i="3"/>
  <c r="BI698" i="3"/>
  <c r="BH699" i="3"/>
  <c r="BI699" i="3"/>
  <c r="BH700" i="3"/>
  <c r="BI700" i="3"/>
  <c r="BH701" i="3"/>
  <c r="BI701" i="3"/>
  <c r="BH702" i="3"/>
  <c r="BI702" i="3"/>
  <c r="BH703" i="3"/>
  <c r="BI703" i="3"/>
  <c r="BH704" i="3"/>
  <c r="BI704" i="3"/>
  <c r="BH705" i="3"/>
  <c r="BI705" i="3"/>
  <c r="BH706" i="3"/>
  <c r="BI706" i="3"/>
  <c r="BH707" i="3"/>
  <c r="BI707" i="3"/>
  <c r="BH708" i="3"/>
  <c r="BI708" i="3"/>
  <c r="BH709" i="3"/>
  <c r="BI709" i="3"/>
  <c r="BH710" i="3"/>
  <c r="BI710" i="3"/>
  <c r="BH711" i="3"/>
  <c r="BI711" i="3"/>
  <c r="BH712" i="3"/>
  <c r="BI712" i="3"/>
  <c r="BH713" i="3"/>
  <c r="BI713" i="3"/>
  <c r="BH714" i="3"/>
  <c r="BI714" i="3"/>
  <c r="BI715" i="3"/>
  <c r="AH731" i="3"/>
  <c r="G731" i="3"/>
  <c r="BA695" i="3"/>
  <c r="AM712" i="3"/>
  <c r="BA694" i="3"/>
  <c r="AM711" i="3"/>
  <c r="O712" i="3"/>
  <c r="O711" i="3"/>
  <c r="O710" i="3"/>
  <c r="O709" i="3"/>
  <c r="O708" i="3"/>
  <c r="O707" i="3"/>
  <c r="E591" i="6"/>
  <c r="O706" i="3"/>
  <c r="AA303" i="3"/>
  <c r="AA302" i="3"/>
  <c r="AA298" i="3"/>
  <c r="T25" i="5"/>
  <c r="AI7" i="5"/>
  <c r="AI11" i="5"/>
  <c r="AI23" i="5"/>
  <c r="AI26" i="5"/>
  <c r="AG434" i="3"/>
  <c r="AG437" i="3"/>
  <c r="U373" i="6"/>
  <c r="BN602" i="3"/>
  <c r="BN603" i="3"/>
  <c r="BN604" i="3"/>
  <c r="BN605" i="3"/>
  <c r="BN606" i="3"/>
  <c r="BN607" i="3"/>
  <c r="BN608" i="3"/>
  <c r="BN627" i="3"/>
  <c r="BR628" i="3"/>
  <c r="BS602" i="3"/>
  <c r="BS603" i="3"/>
  <c r="BS604" i="3"/>
  <c r="BS605" i="3"/>
  <c r="BS606" i="3"/>
  <c r="BS607" i="3"/>
  <c r="BS608" i="3"/>
  <c r="BS627" i="3"/>
  <c r="BW628" i="3"/>
  <c r="BX602" i="3"/>
  <c r="BX603" i="3"/>
  <c r="BX604" i="3"/>
  <c r="BX605" i="3"/>
  <c r="BX606" i="3"/>
  <c r="BX607" i="3"/>
  <c r="BX608" i="3"/>
  <c r="BX627" i="3"/>
  <c r="CB628" i="3"/>
  <c r="CC602" i="3"/>
  <c r="CC603" i="3"/>
  <c r="CC604" i="3"/>
  <c r="CC605" i="3"/>
  <c r="CC606" i="3"/>
  <c r="CC607" i="3"/>
  <c r="CC608" i="3"/>
  <c r="CC627" i="3"/>
  <c r="CG628" i="3"/>
  <c r="CH602" i="3"/>
  <c r="CH603" i="3"/>
  <c r="CH604" i="3"/>
  <c r="CH605" i="3"/>
  <c r="CH606" i="3"/>
  <c r="CH607" i="3"/>
  <c r="CH608" i="3"/>
  <c r="CH627" i="3"/>
  <c r="CL628" i="3"/>
  <c r="CM602" i="3"/>
  <c r="CM603" i="3"/>
  <c r="CM604" i="3"/>
  <c r="CM605" i="3"/>
  <c r="CM606" i="3"/>
  <c r="CM607" i="3"/>
  <c r="CM608" i="3"/>
  <c r="CM627" i="3"/>
  <c r="CQ628" i="3"/>
  <c r="CQ629" i="3"/>
  <c r="CQ650" i="3"/>
  <c r="U372" i="6"/>
  <c r="O734" i="3"/>
  <c r="AF978" i="3"/>
  <c r="AJ977"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E100" i="15" s="1"/>
  <c r="D100" i="15"/>
  <c r="B101" i="15"/>
  <c r="C101" i="15"/>
  <c r="D101" i="15"/>
  <c r="B102" i="15"/>
  <c r="C102" i="15"/>
  <c r="E102" i="15" s="1"/>
  <c r="D102" i="15"/>
  <c r="B103" i="15"/>
  <c r="C103" i="15"/>
  <c r="E103" i="15" s="1"/>
  <c r="D103"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s="1"/>
  <c r="D68" i="15"/>
  <c r="B69" i="15"/>
  <c r="C69" i="15"/>
  <c r="D69" i="15"/>
  <c r="D65" i="15"/>
  <c r="C65" i="15"/>
  <c r="B65" i="15"/>
  <c r="B57" i="15"/>
  <c r="C57" i="15"/>
  <c r="E57" i="15" s="1"/>
  <c r="D57" i="15"/>
  <c r="B58" i="15"/>
  <c r="C58" i="15"/>
  <c r="D58" i="15"/>
  <c r="B59" i="15"/>
  <c r="C59" i="15"/>
  <c r="E59" i="15" s="1"/>
  <c r="D59" i="15"/>
  <c r="B60" i="15"/>
  <c r="C60" i="15"/>
  <c r="E60" i="15" s="1"/>
  <c r="D60" i="15"/>
  <c r="B61" i="15"/>
  <c r="C61" i="15"/>
  <c r="D61" i="15"/>
  <c r="D56" i="15"/>
  <c r="C56" i="15"/>
  <c r="B56" i="15"/>
  <c r="B47" i="15"/>
  <c r="C47" i="15"/>
  <c r="E47" i="15" s="1"/>
  <c r="D47" i="15"/>
  <c r="B48" i="15"/>
  <c r="C48" i="15"/>
  <c r="D48" i="15"/>
  <c r="B49" i="15"/>
  <c r="C49" i="15"/>
  <c r="E49" i="15" s="1"/>
  <c r="D49" i="15"/>
  <c r="B50" i="15"/>
  <c r="C50" i="15"/>
  <c r="D50" i="15"/>
  <c r="B51" i="15"/>
  <c r="C51" i="15"/>
  <c r="E51" i="15" s="1"/>
  <c r="D51" i="15"/>
  <c r="B52" i="15"/>
  <c r="C52" i="15"/>
  <c r="D52" i="15"/>
  <c r="B53" i="15"/>
  <c r="C53" i="15"/>
  <c r="D53" i="15"/>
  <c r="D46" i="15"/>
  <c r="C46" i="15"/>
  <c r="B46" i="15"/>
  <c r="B44" i="15"/>
  <c r="C44" i="15"/>
  <c r="D44" i="15"/>
  <c r="B42" i="15"/>
  <c r="C42" i="15"/>
  <c r="D42" i="15"/>
  <c r="D41" i="15"/>
  <c r="C41" i="15"/>
  <c r="B41" i="15"/>
  <c r="E41" i="15" s="1"/>
  <c r="B38" i="15"/>
  <c r="C38" i="15"/>
  <c r="E38" i="15" s="1"/>
  <c r="D38" i="15"/>
  <c r="B31" i="15"/>
  <c r="C31" i="15"/>
  <c r="E31" i="15" s="1"/>
  <c r="D31" i="15"/>
  <c r="B32" i="15"/>
  <c r="C32" i="15"/>
  <c r="E32" i="15" s="1"/>
  <c r="D32" i="15"/>
  <c r="B33" i="15"/>
  <c r="C33" i="15"/>
  <c r="E33" i="15" s="1"/>
  <c r="D33" i="15"/>
  <c r="B34" i="15"/>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E23" i="15" s="1"/>
  <c r="D23" i="15"/>
  <c r="B24" i="15"/>
  <c r="C24" i="15"/>
  <c r="E24" i="15" s="1"/>
  <c r="D24" i="15"/>
  <c r="B25" i="15"/>
  <c r="C25" i="15"/>
  <c r="D25" i="15"/>
  <c r="B26" i="15"/>
  <c r="C26" i="15"/>
  <c r="E26" i="15" s="1"/>
  <c r="D26" i="15"/>
  <c r="B28" i="15"/>
  <c r="C28" i="15"/>
  <c r="E28" i="15" s="1"/>
  <c r="D28" i="15"/>
  <c r="B5" i="15"/>
  <c r="C5" i="15"/>
  <c r="B6" i="15"/>
  <c r="C6" i="15"/>
  <c r="B7" i="15"/>
  <c r="C7" i="15"/>
  <c r="B8" i="15"/>
  <c r="C8" i="15"/>
  <c r="C9" i="15" s="1"/>
  <c r="B10" i="15"/>
  <c r="C10" i="15"/>
  <c r="B11" i="15"/>
  <c r="B12" i="15" s="1"/>
  <c r="C11" i="15"/>
  <c r="E11" i="15" s="1"/>
  <c r="B14" i="15"/>
  <c r="C14" i="15"/>
  <c r="E14" i="15" s="1"/>
  <c r="B15" i="15"/>
  <c r="C15" i="15"/>
  <c r="B16" i="15"/>
  <c r="C16" i="15"/>
  <c r="E16" i="15" s="1"/>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K39" i="9" s="1"/>
  <c r="K42" i="9" s="1"/>
  <c r="AJ973" i="3"/>
  <c r="E25" i="15"/>
  <c r="E76" i="15"/>
  <c r="E34" i="15"/>
  <c r="E101" i="15"/>
  <c r="E53" i="15"/>
  <c r="E69" i="15"/>
  <c r="E56" i="15"/>
  <c r="E73" i="15"/>
  <c r="E22" i="15"/>
  <c r="E91" i="15"/>
  <c r="E87" i="15"/>
  <c r="E67" i="15"/>
  <c r="E90" i="15"/>
  <c r="E58" i="15"/>
  <c r="E89" i="15"/>
  <c r="E7" i="15"/>
  <c r="E61" i="15"/>
  <c r="E92" i="15"/>
  <c r="E88" i="15"/>
  <c r="E84" i="15"/>
  <c r="E44" i="15"/>
  <c r="E21" i="15"/>
  <c r="E8" i="15"/>
  <c r="E52" i="15"/>
  <c r="E48" i="15"/>
  <c r="E19" i="15"/>
  <c r="E42" i="15"/>
  <c r="E72" i="15"/>
  <c r="E50" i="15"/>
  <c r="E99" i="15"/>
  <c r="E6" i="15"/>
  <c r="E46" i="15"/>
  <c r="E5" i="15"/>
  <c r="E35" i="15"/>
  <c r="E65" i="15"/>
  <c r="E36" i="15"/>
  <c r="E1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B8" i="18" s="1"/>
  <c r="C11" i="4"/>
  <c r="C26" i="4"/>
  <c r="C38" i="4"/>
  <c r="C42" i="4"/>
  <c r="C53" i="4"/>
  <c r="C61" i="4"/>
  <c r="B61" i="4" s="1"/>
  <c r="C69" i="4"/>
  <c r="C76" i="4"/>
  <c r="D77" i="15" s="1"/>
  <c r="C80" i="4"/>
  <c r="B79" i="18" s="1"/>
  <c r="C95" i="4"/>
  <c r="B96" i="15" s="1"/>
  <c r="C103" i="4"/>
  <c r="C65" i="25"/>
  <c r="C66" i="25"/>
  <c r="G67" i="25" s="1"/>
  <c r="Y20" i="5"/>
  <c r="Y22" i="5"/>
  <c r="AI20" i="5"/>
  <c r="S26" i="4"/>
  <c r="S38" i="4"/>
  <c r="S53" i="4"/>
  <c r="S69" i="4"/>
  <c r="S103" i="4"/>
  <c r="E102" i="18" s="1"/>
  <c r="F25" i="18"/>
  <c r="F37" i="18"/>
  <c r="F41" i="18"/>
  <c r="F52" i="18"/>
  <c r="F61" i="18" s="1"/>
  <c r="F68"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BN609" i="3"/>
  <c r="BN610" i="3"/>
  <c r="BN611" i="3"/>
  <c r="BN612" i="3"/>
  <c r="BN613" i="3"/>
  <c r="BN614" i="3"/>
  <c r="BN615" i="3"/>
  <c r="BN616" i="3"/>
  <c r="BN617" i="3"/>
  <c r="BN618" i="3"/>
  <c r="BN619" i="3"/>
  <c r="BN620" i="3"/>
  <c r="BN621" i="3"/>
  <c r="BN622" i="3"/>
  <c r="BN623" i="3"/>
  <c r="BN624" i="3"/>
  <c r="BN625" i="3"/>
  <c r="BN626" i="3"/>
  <c r="BS609" i="3"/>
  <c r="BS610" i="3"/>
  <c r="BS611" i="3"/>
  <c r="BS612" i="3"/>
  <c r="BS613" i="3"/>
  <c r="BS614" i="3"/>
  <c r="BS615" i="3"/>
  <c r="BS616" i="3"/>
  <c r="BS617" i="3"/>
  <c r="BS618" i="3"/>
  <c r="BS619" i="3"/>
  <c r="BS620" i="3"/>
  <c r="BS621" i="3"/>
  <c r="BS622" i="3"/>
  <c r="BS623" i="3"/>
  <c r="BS624" i="3"/>
  <c r="BS625" i="3"/>
  <c r="BS626" i="3"/>
  <c r="BX609" i="3"/>
  <c r="BX610" i="3"/>
  <c r="BX611" i="3"/>
  <c r="BX612" i="3"/>
  <c r="BX613" i="3"/>
  <c r="BX614" i="3"/>
  <c r="BX615" i="3"/>
  <c r="BX616" i="3"/>
  <c r="BX617" i="3"/>
  <c r="BX618" i="3"/>
  <c r="BX619" i="3"/>
  <c r="BX620" i="3"/>
  <c r="BX621" i="3"/>
  <c r="BX622" i="3"/>
  <c r="BX623" i="3"/>
  <c r="BX624" i="3"/>
  <c r="BX625" i="3"/>
  <c r="BX626" i="3"/>
  <c r="CC609" i="3"/>
  <c r="CC610" i="3"/>
  <c r="CC611" i="3"/>
  <c r="CC612" i="3"/>
  <c r="CC613" i="3"/>
  <c r="CC614" i="3"/>
  <c r="CC615" i="3"/>
  <c r="CC616" i="3"/>
  <c r="CC617" i="3"/>
  <c r="CC618" i="3"/>
  <c r="CC619" i="3"/>
  <c r="CC620" i="3"/>
  <c r="CC621" i="3"/>
  <c r="CC622" i="3"/>
  <c r="CC623" i="3"/>
  <c r="CC624" i="3"/>
  <c r="CC625" i="3"/>
  <c r="CC626" i="3"/>
  <c r="CH609" i="3"/>
  <c r="CH610" i="3"/>
  <c r="CH611" i="3"/>
  <c r="CH612" i="3"/>
  <c r="CH613" i="3"/>
  <c r="CH614" i="3"/>
  <c r="CH615" i="3"/>
  <c r="CH616" i="3"/>
  <c r="CH617" i="3"/>
  <c r="CH618" i="3"/>
  <c r="CH619" i="3"/>
  <c r="CH620" i="3"/>
  <c r="CH621" i="3"/>
  <c r="CH622" i="3"/>
  <c r="CH623" i="3"/>
  <c r="CH624" i="3"/>
  <c r="CH625" i="3"/>
  <c r="CH626"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T20" i="27" s="1"/>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T20" i="26"/>
  <c r="T22" i="26" s="1"/>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E78" i="18" s="1"/>
  <c r="F78" i="18" s="1"/>
  <c r="F79" i="18" s="1"/>
  <c r="R78" i="4"/>
  <c r="S78" i="4" s="1"/>
  <c r="AG443" i="3"/>
  <c r="B94" i="18"/>
  <c r="B102" i="4"/>
  <c r="B53"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2" i="18"/>
  <c r="E77" i="18"/>
  <c r="F77" i="18" s="1"/>
  <c r="E67" i="18"/>
  <c r="E63" i="18"/>
  <c r="E51" i="18"/>
  <c r="E50" i="18"/>
  <c r="E49" i="18"/>
  <c r="E48" i="18"/>
  <c r="E47" i="18"/>
  <c r="E46" i="18"/>
  <c r="E45" i="18"/>
  <c r="E44" i="18"/>
  <c r="E42" i="18"/>
  <c r="E40"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C94" i="18" s="1"/>
  <c r="B82" i="18"/>
  <c r="B81" i="18"/>
  <c r="B77" i="18"/>
  <c r="C77" i="18" s="1"/>
  <c r="C79" i="18" s="1"/>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C61" i="18" s="1"/>
  <c r="D25" i="18"/>
  <c r="C25" i="18"/>
  <c r="D11" i="18"/>
  <c r="C11" i="18"/>
  <c r="D8" i="18"/>
  <c r="C8" i="18"/>
  <c r="AG519" i="6"/>
  <c r="AO653" i="6"/>
  <c r="AO652" i="6"/>
  <c r="AO651" i="6"/>
  <c r="AO650" i="6"/>
  <c r="AO649" i="6"/>
  <c r="AO648" i="6"/>
  <c r="AO654" i="6" s="1"/>
  <c r="AK671" i="6" s="1"/>
  <c r="T693" i="6" s="1"/>
  <c r="AF693" i="6" s="1"/>
  <c r="AJ273" i="6"/>
  <c r="AJ258" i="6"/>
  <c r="AJ246" i="6"/>
  <c r="AJ232" i="6"/>
  <c r="AJ220" i="6"/>
  <c r="AJ208" i="6"/>
  <c r="AJ189" i="6"/>
  <c r="AJ144" i="6"/>
  <c r="AK285" i="6" s="1"/>
  <c r="T686" i="6" s="1"/>
  <c r="AO679" i="6" s="1"/>
  <c r="AO678" i="6" s="1"/>
  <c r="T685" i="6" s="1"/>
  <c r="AF685" i="6" s="1"/>
  <c r="AJ129" i="6"/>
  <c r="AK73" i="6"/>
  <c r="T684" i="6"/>
  <c r="AF684" i="6"/>
  <c r="AJ47" i="6"/>
  <c r="T683" i="6"/>
  <c r="AJ31" i="6"/>
  <c r="T682" i="6"/>
  <c r="T681" i="6"/>
  <c r="AF681" i="6"/>
  <c r="AG526" i="6"/>
  <c r="AG522" i="6"/>
  <c r="AG515" i="6"/>
  <c r="AG510" i="6"/>
  <c r="AG487" i="6"/>
  <c r="R98" i="4"/>
  <c r="R94" i="4"/>
  <c r="R82" i="4"/>
  <c r="R84" i="4"/>
  <c r="S84" i="4" s="1"/>
  <c r="R85" i="4"/>
  <c r="S85" i="4" s="1"/>
  <c r="E84" i="18" s="1"/>
  <c r="F84" i="18" s="1"/>
  <c r="R86" i="4"/>
  <c r="R87" i="4"/>
  <c r="R88" i="4"/>
  <c r="R89" i="4"/>
  <c r="R90" i="4"/>
  <c r="R91" i="4"/>
  <c r="R92" i="4"/>
  <c r="R93" i="4"/>
  <c r="R60" i="4"/>
  <c r="R59" i="4"/>
  <c r="R58" i="4"/>
  <c r="R57" i="4"/>
  <c r="R56" i="4"/>
  <c r="R52" i="4"/>
  <c r="R51" i="4"/>
  <c r="R50" i="4"/>
  <c r="R49" i="4"/>
  <c r="R48" i="4"/>
  <c r="R47" i="4"/>
  <c r="R46" i="4"/>
  <c r="R45" i="4"/>
  <c r="R43" i="4"/>
  <c r="R41" i="4"/>
  <c r="R40" i="4"/>
  <c r="S40" i="4" s="1"/>
  <c r="S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52" i="18"/>
  <c r="E68" i="18"/>
  <c r="H25" i="18"/>
  <c r="H37" i="18"/>
  <c r="H52" i="18"/>
  <c r="H94" i="18"/>
  <c r="H102" i="18"/>
  <c r="B37"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AF984" i="3" s="1"/>
  <c r="AJ982" i="3" s="1"/>
  <c r="AJ1002" i="3" s="1"/>
  <c r="T24" i="5"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7" i="3"/>
  <c r="BG698" i="3"/>
  <c r="BG699" i="3"/>
  <c r="BG700" i="3"/>
  <c r="BG701" i="3"/>
  <c r="BG702" i="3"/>
  <c r="BG703" i="3"/>
  <c r="BG704" i="3"/>
  <c r="BG705" i="3"/>
  <c r="BG706" i="3"/>
  <c r="BG707" i="3"/>
  <c r="BG708" i="3"/>
  <c r="BG709" i="3"/>
  <c r="BG710" i="3"/>
  <c r="BG711" i="3"/>
  <c r="BG712" i="3"/>
  <c r="BG713" i="3"/>
  <c r="BG714" i="3"/>
  <c r="BA691" i="3"/>
  <c r="BA692" i="3"/>
  <c r="BA693"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E25" i="18"/>
  <c r="T692" i="6"/>
  <c r="AF692" i="6"/>
  <c r="E14" i="9"/>
  <c r="G14" i="9" s="1"/>
  <c r="B26" i="4"/>
  <c r="D12" i="4"/>
  <c r="B43" i="15"/>
  <c r="C43" i="15"/>
  <c r="D43" i="15"/>
  <c r="G12" i="4"/>
  <c r="C104" i="15"/>
  <c r="B104" i="15"/>
  <c r="E104" i="15" s="1"/>
  <c r="D104" i="15"/>
  <c r="C39" i="15"/>
  <c r="D39" i="15"/>
  <c r="B39" i="15"/>
  <c r="F12" i="4"/>
  <c r="B27" i="15"/>
  <c r="D27" i="15"/>
  <c r="C27" i="15"/>
  <c r="B11" i="4"/>
  <c r="C77" i="15"/>
  <c r="B8" i="4"/>
  <c r="T62" i="4"/>
  <c r="B68" i="18"/>
  <c r="B70" i="15"/>
  <c r="C70" i="15"/>
  <c r="D70" i="15"/>
  <c r="B62" i="15"/>
  <c r="B54" i="15"/>
  <c r="C54" i="15"/>
  <c r="D54" i="15"/>
  <c r="L26" i="28"/>
  <c r="V26" i="28"/>
  <c r="B11" i="18"/>
  <c r="E50" i="25"/>
  <c r="G52" i="25"/>
  <c r="AM709" i="3"/>
  <c r="BI724" i="3"/>
  <c r="AM707" i="3"/>
  <c r="BI722" i="3"/>
  <c r="BI733" i="3"/>
  <c r="AM718" i="3"/>
  <c r="BI732" i="3"/>
  <c r="AM717" i="3"/>
  <c r="BI731" i="3"/>
  <c r="AM716" i="3"/>
  <c r="BI730" i="3"/>
  <c r="AM715" i="3"/>
  <c r="AM710" i="3"/>
  <c r="BI725" i="3"/>
  <c r="BI729" i="3"/>
  <c r="AM714" i="3"/>
  <c r="BI728" i="3"/>
  <c r="AM713" i="3"/>
  <c r="AM708" i="3"/>
  <c r="BI723" i="3"/>
  <c r="BI727" i="3"/>
  <c r="BI726" i="3"/>
  <c r="BI746" i="3"/>
  <c r="AM731" i="3"/>
  <c r="R950" i="3"/>
  <c r="R951" i="3"/>
  <c r="R949" i="3"/>
  <c r="R948" i="3"/>
  <c r="R947" i="3"/>
  <c r="AB47" i="26"/>
  <c r="I61" i="18"/>
  <c r="I95" i="18"/>
  <c r="I103" i="18"/>
  <c r="I105" i="18"/>
  <c r="J61" i="18"/>
  <c r="J95" i="18"/>
  <c r="J103" i="18"/>
  <c r="J105" i="18"/>
  <c r="R76" i="4"/>
  <c r="K12" i="4"/>
  <c r="B42" i="4"/>
  <c r="J12" i="4"/>
  <c r="R11" i="4"/>
  <c r="R8" i="4"/>
  <c r="D12" i="15"/>
  <c r="B103" i="4"/>
  <c r="R69" i="4"/>
  <c r="G62" i="4"/>
  <c r="G96" i="4" s="1"/>
  <c r="G104" i="4" s="1"/>
  <c r="E62" i="4"/>
  <c r="C12" i="18"/>
  <c r="M62" i="4"/>
  <c r="M96" i="4"/>
  <c r="M104" i="4"/>
  <c r="J62" i="4"/>
  <c r="J96" i="4"/>
  <c r="J104" i="4"/>
  <c r="O62" i="4"/>
  <c r="O96" i="4"/>
  <c r="O104" i="4"/>
  <c r="N62" i="4"/>
  <c r="N96" i="4"/>
  <c r="N104" i="4"/>
  <c r="D62" i="4"/>
  <c r="D96" i="4"/>
  <c r="D104" i="4"/>
  <c r="B75" i="18"/>
  <c r="L62" i="4"/>
  <c r="L96" i="4"/>
  <c r="L104" i="4"/>
  <c r="H12" i="4"/>
  <c r="H11" i="18"/>
  <c r="Q62" i="4"/>
  <c r="Q96" i="4"/>
  <c r="Q104" i="4"/>
  <c r="K62" i="4"/>
  <c r="K96" i="4"/>
  <c r="K104" i="4"/>
  <c r="I62" i="4"/>
  <c r="I96" i="4" s="1"/>
  <c r="I104" i="4" s="1"/>
  <c r="R38" i="4"/>
  <c r="T96" i="4"/>
  <c r="H61" i="18"/>
  <c r="H62" i="4"/>
  <c r="H96" i="4" s="1"/>
  <c r="H104" i="4" s="1"/>
  <c r="M12" i="4"/>
  <c r="D12" i="18"/>
  <c r="P62" i="4"/>
  <c r="P96" i="4"/>
  <c r="P104" i="4"/>
  <c r="B69" i="4"/>
  <c r="C62" i="4"/>
  <c r="B61" i="18" s="1"/>
  <c r="G61" i="18"/>
  <c r="G95" i="18"/>
  <c r="G103" i="18"/>
  <c r="G105" i="18"/>
  <c r="B38" i="4"/>
  <c r="D61" i="18"/>
  <c r="D95" i="18"/>
  <c r="D103" i="18"/>
  <c r="AP383" i="6"/>
  <c r="AQ383" i="6"/>
  <c r="AK542" i="6"/>
  <c r="AP370" i="6"/>
  <c r="AQ370" i="6"/>
  <c r="Q588" i="6"/>
  <c r="W588" i="6"/>
  <c r="AC588" i="6" s="1"/>
  <c r="D100" i="25"/>
  <c r="D102" i="25"/>
  <c r="D104" i="25"/>
  <c r="D110" i="25"/>
  <c r="G38" i="25"/>
  <c r="G53" i="25"/>
  <c r="O27" i="9"/>
  <c r="U27" i="9"/>
  <c r="W27" i="9"/>
  <c r="Y27" i="9"/>
  <c r="I27" i="9"/>
  <c r="Q27" i="9"/>
  <c r="S27" i="9"/>
  <c r="AA27" i="9"/>
  <c r="AG27" i="9"/>
  <c r="AE27" i="9"/>
  <c r="K27" i="9"/>
  <c r="G27" i="9"/>
  <c r="S39" i="9"/>
  <c r="S42" i="9" s="1"/>
  <c r="Q39" i="9"/>
  <c r="Q42" i="9" s="1"/>
  <c r="CS628" i="3"/>
  <c r="T612" i="6"/>
  <c r="AZ578" i="6"/>
  <c r="CC634" i="3"/>
  <c r="BS634" i="3"/>
  <c r="CM646" i="3"/>
  <c r="BS646" i="3"/>
  <c r="BW647" i="3"/>
  <c r="CM634" i="3"/>
  <c r="CX628" i="3"/>
  <c r="T611" i="6"/>
  <c r="DH628" i="3"/>
  <c r="T609" i="6"/>
  <c r="DM628" i="3"/>
  <c r="T608" i="6"/>
  <c r="AC861" i="3"/>
  <c r="AC863" i="3" s="1"/>
  <c r="AE39" i="9"/>
  <c r="AE42" i="9" s="1"/>
  <c r="AG39" i="9"/>
  <c r="AG42" i="9" s="1"/>
  <c r="BX634" i="3"/>
  <c r="BN634" i="3"/>
  <c r="U39" i="9"/>
  <c r="U42" i="9" s="1"/>
  <c r="DC628" i="3"/>
  <c r="T610" i="6"/>
  <c r="AP537" i="6"/>
  <c r="BF587" i="6"/>
  <c r="BF590" i="6"/>
  <c r="CH646" i="3"/>
  <c r="CL647" i="3"/>
  <c r="BN646" i="3"/>
  <c r="O612" i="6"/>
  <c r="AU578" i="6"/>
  <c r="AZ260" i="3"/>
  <c r="BO245" i="3"/>
  <c r="T269" i="3"/>
  <c r="DR628" i="3"/>
  <c r="T607" i="6"/>
  <c r="O607" i="6"/>
  <c r="AU573" i="6"/>
  <c r="CC646" i="3"/>
  <c r="CG647" i="3"/>
  <c r="BK628" i="3"/>
  <c r="AC862" i="3"/>
  <c r="BX646" i="3"/>
  <c r="CB647" i="3"/>
  <c r="CH634" i="3"/>
  <c r="L29" i="28"/>
  <c r="V29" i="28"/>
  <c r="AY932" i="3"/>
  <c r="AY924" i="3"/>
  <c r="AY928" i="3"/>
  <c r="BG628" i="3"/>
  <c r="AY930" i="3"/>
  <c r="B1011" i="3"/>
  <c r="Q591" i="6"/>
  <c r="W591" i="6"/>
  <c r="Q586" i="6"/>
  <c r="W586" i="6" s="1"/>
  <c r="AC586" i="6" s="1"/>
  <c r="AC27" i="9"/>
  <c r="Q585" i="6"/>
  <c r="W585" i="6" s="1"/>
  <c r="AC585" i="6" s="1"/>
  <c r="Q584" i="6"/>
  <c r="W584" i="6"/>
  <c r="AC584" i="6" s="1"/>
  <c r="BD526" i="6"/>
  <c r="Q583" i="6"/>
  <c r="W583" i="6" s="1"/>
  <c r="AC583" i="6" s="1"/>
  <c r="G18" i="9"/>
  <c r="I18" i="9"/>
  <c r="K18" i="9" s="1"/>
  <c r="M18" i="9" s="1"/>
  <c r="O18" i="9" s="1"/>
  <c r="Q18" i="9" s="1"/>
  <c r="S18" i="9" s="1"/>
  <c r="U18" i="9" s="1"/>
  <c r="W18" i="9" s="1"/>
  <c r="Y18" i="9" s="1"/>
  <c r="AA18" i="9" s="1"/>
  <c r="AC18" i="9" s="1"/>
  <c r="AE18" i="9" s="1"/>
  <c r="AG18" i="9" s="1"/>
  <c r="AD63" i="5"/>
  <c r="T7" i="5"/>
  <c r="M39" i="9"/>
  <c r="M42" i="9" s="1"/>
  <c r="Y7" i="5"/>
  <c r="E70" i="15"/>
  <c r="E27" i="15"/>
  <c r="R12" i="4"/>
  <c r="L30" i="28"/>
  <c r="V30" i="28"/>
  <c r="O610" i="6"/>
  <c r="AU576" i="6"/>
  <c r="L28" i="28"/>
  <c r="V28" i="28"/>
  <c r="L27" i="28"/>
  <c r="O611" i="6"/>
  <c r="AU577" i="6"/>
  <c r="CC652" i="3"/>
  <c r="AB950" i="3"/>
  <c r="AJ950" i="3"/>
  <c r="CS634" i="3"/>
  <c r="BR647" i="3"/>
  <c r="CQ648" i="3"/>
  <c r="Y610" i="6"/>
  <c r="BE576" i="6"/>
  <c r="AP586" i="6"/>
  <c r="CC532" i="6"/>
  <c r="CC533" i="6"/>
  <c r="Y612" i="6"/>
  <c r="CE532" i="6"/>
  <c r="CE533" i="6"/>
  <c r="O608" i="6"/>
  <c r="O609" i="6"/>
  <c r="BF567" i="6"/>
  <c r="BS652" i="3"/>
  <c r="AB948" i="3"/>
  <c r="AJ948" i="3"/>
  <c r="CM652" i="3"/>
  <c r="CH652" i="3"/>
  <c r="CQ647" i="3"/>
  <c r="H95" i="18"/>
  <c r="T104" i="4"/>
  <c r="AS359" i="6"/>
  <c r="AZ573" i="6"/>
  <c r="AS357" i="6"/>
  <c r="AP535" i="6"/>
  <c r="AX585" i="6"/>
  <c r="AX590" i="6"/>
  <c r="AX591" i="6"/>
  <c r="AZ577" i="6"/>
  <c r="BY531" i="6"/>
  <c r="BY533" i="6"/>
  <c r="BX652" i="3"/>
  <c r="AB949" i="3"/>
  <c r="AJ949" i="3"/>
  <c r="BN652" i="3"/>
  <c r="AB947" i="3"/>
  <c r="AJ947" i="3"/>
  <c r="E4" i="9"/>
  <c r="Y611" i="6"/>
  <c r="CH551" i="6"/>
  <c r="AB951" i="3"/>
  <c r="AJ951" i="3"/>
  <c r="AJ953" i="3"/>
  <c r="BH715" i="3"/>
  <c r="CH552" i="6"/>
  <c r="BE578" i="6"/>
  <c r="AP588" i="6"/>
  <c r="AU574" i="6"/>
  <c r="H103" i="18"/>
  <c r="T106" i="4"/>
  <c r="H105" i="18"/>
  <c r="AK476" i="6"/>
  <c r="T687" i="6"/>
  <c r="AO680" i="6"/>
  <c r="BK570" i="6"/>
  <c r="AU548" i="6"/>
  <c r="E5" i="9"/>
  <c r="AB952" i="3"/>
  <c r="BE577" i="6"/>
  <c r="AP587" i="6"/>
  <c r="CA531" i="6"/>
  <c r="CA533" i="6"/>
  <c r="BY534" i="6"/>
  <c r="P414" i="3"/>
  <c r="AD11" i="5"/>
  <c r="AD23" i="5"/>
  <c r="AD26" i="5"/>
  <c r="AI11" i="27"/>
  <c r="AI23" i="27"/>
  <c r="AI26" i="27"/>
  <c r="AI11" i="26"/>
  <c r="AD11" i="27"/>
  <c r="AD23" i="27"/>
  <c r="AD26" i="27"/>
  <c r="AD11" i="26"/>
  <c r="AD23" i="26"/>
  <c r="AD26" i="26"/>
  <c r="B1013" i="3"/>
  <c r="T24" i="27"/>
  <c r="T24" i="26"/>
  <c r="V27" i="28"/>
  <c r="V31" i="28"/>
  <c r="I30" i="10"/>
  <c r="Z787" i="3"/>
  <c r="BM528" i="6"/>
  <c r="BM533" i="6"/>
  <c r="BK567" i="6"/>
  <c r="Y608" i="6"/>
  <c r="BH585" i="6"/>
  <c r="AP550" i="6"/>
  <c r="AU551" i="6"/>
  <c r="AP539" i="6"/>
  <c r="BN589" i="6"/>
  <c r="BN590" i="6"/>
  <c r="BD585" i="6"/>
  <c r="BD590" i="6"/>
  <c r="AP538" i="6"/>
  <c r="AZ574" i="6"/>
  <c r="AX548" i="6"/>
  <c r="AU575" i="6"/>
  <c r="O613" i="6"/>
  <c r="T613" i="6"/>
  <c r="F30" i="10"/>
  <c r="CC534" i="6"/>
  <c r="AY543" i="6"/>
  <c r="AS544" i="6"/>
  <c r="BP585" i="6"/>
  <c r="BL585" i="6"/>
  <c r="BL587" i="6"/>
  <c r="AP536" i="6"/>
  <c r="BH586" i="6"/>
  <c r="L31" i="28"/>
  <c r="G4" i="9"/>
  <c r="BP587" i="6"/>
  <c r="Y609" i="6"/>
  <c r="BL586" i="6"/>
  <c r="AD7" i="5"/>
  <c r="Y607" i="6"/>
  <c r="BE573" i="6"/>
  <c r="AP583" i="6"/>
  <c r="BJ573" i="6"/>
  <c r="BJ579" i="6"/>
  <c r="BU530" i="6"/>
  <c r="BU533" i="6"/>
  <c r="BQ529" i="6"/>
  <c r="BQ533" i="6"/>
  <c r="G28" i="9"/>
  <c r="Y28" i="9"/>
  <c r="AZ575" i="6"/>
  <c r="AA28" i="9"/>
  <c r="AZ576" i="6"/>
  <c r="CH550" i="6"/>
  <c r="Q589" i="6"/>
  <c r="W589" i="6"/>
  <c r="AC589" i="6" s="1"/>
  <c r="O28" i="9"/>
  <c r="U28" i="9"/>
  <c r="Q28" i="9"/>
  <c r="BW530" i="6"/>
  <c r="BW533" i="6"/>
  <c r="Q587" i="6"/>
  <c r="W587" i="6"/>
  <c r="AC587" i="6" s="1"/>
  <c r="S28" i="9"/>
  <c r="AK66" i="6"/>
  <c r="CH549" i="6"/>
  <c r="AU536" i="6"/>
  <c r="BS529" i="6"/>
  <c r="BS533" i="6"/>
  <c r="BE575" i="6"/>
  <c r="AP585" i="6"/>
  <c r="BP588" i="6"/>
  <c r="BJ588" i="6"/>
  <c r="BJ590" i="6"/>
  <c r="BH590" i="6"/>
  <c r="BF591" i="6"/>
  <c r="BU534" i="6"/>
  <c r="CC535" i="6"/>
  <c r="BE574" i="6"/>
  <c r="AU535" i="6"/>
  <c r="AU539" i="6"/>
  <c r="BO528" i="6"/>
  <c r="BO533" i="6"/>
  <c r="BM534" i="6"/>
  <c r="CH548" i="6"/>
  <c r="AU538" i="6"/>
  <c r="AU537" i="6"/>
  <c r="G5" i="9"/>
  <c r="I4" i="9"/>
  <c r="BB586" i="6"/>
  <c r="BB590" i="6"/>
  <c r="BB591" i="6"/>
  <c r="BP586" i="6"/>
  <c r="Z796" i="3"/>
  <c r="E6" i="9"/>
  <c r="BL590" i="6"/>
  <c r="BP590" i="6"/>
  <c r="BN591" i="6"/>
  <c r="BQ534" i="6"/>
  <c r="BY537" i="6"/>
  <c r="CC538" i="6"/>
  <c r="BQ535" i="6"/>
  <c r="BQ539" i="6"/>
  <c r="BY536" i="6"/>
  <c r="BU536" i="6"/>
  <c r="BU535" i="6"/>
  <c r="BU539" i="6"/>
  <c r="BY535" i="6"/>
  <c r="BY539" i="6"/>
  <c r="E7" i="9"/>
  <c r="G6" i="9"/>
  <c r="BE547" i="6"/>
  <c r="BE552" i="6"/>
  <c r="BI548" i="6"/>
  <c r="BJ591" i="6"/>
  <c r="BJ592" i="6"/>
  <c r="AV556" i="6"/>
  <c r="AP584" i="6"/>
  <c r="BO574" i="6"/>
  <c r="K4" i="9"/>
  <c r="I5" i="9"/>
  <c r="CC537" i="6"/>
  <c r="CC536" i="6"/>
  <c r="CC539" i="6"/>
  <c r="CG539" i="6"/>
  <c r="BO579" i="6"/>
  <c r="BT575" i="6"/>
  <c r="M4" i="9"/>
  <c r="K5" i="9"/>
  <c r="BI552" i="6"/>
  <c r="BM549" i="6"/>
  <c r="G7" i="9"/>
  <c r="I6" i="9"/>
  <c r="M5" i="9"/>
  <c r="O4" i="9"/>
  <c r="BT579" i="6"/>
  <c r="BY576" i="6"/>
  <c r="CD577" i="6"/>
  <c r="CD579" i="6"/>
  <c r="I7" i="9"/>
  <c r="K6" i="9"/>
  <c r="BM552" i="6"/>
  <c r="BQ550" i="6"/>
  <c r="BQ552" i="6"/>
  <c r="BU551" i="6"/>
  <c r="BU552" i="6"/>
  <c r="M6" i="9"/>
  <c r="K7" i="9"/>
  <c r="Q4" i="9"/>
  <c r="O5" i="9"/>
  <c r="BY579" i="6"/>
  <c r="CI578" i="6"/>
  <c r="CI579" i="6"/>
  <c r="CN579" i="6"/>
  <c r="BD560" i="6"/>
  <c r="AW564" i="6"/>
  <c r="AT562" i="6"/>
  <c r="O6" i="9"/>
  <c r="M7" i="9"/>
  <c r="CC552" i="6"/>
  <c r="S4" i="9"/>
  <c r="Q5" i="9"/>
  <c r="U4" i="9"/>
  <c r="S5" i="9"/>
  <c r="O7" i="9"/>
  <c r="Q6" i="9"/>
  <c r="U5" i="9"/>
  <c r="W4" i="9"/>
  <c r="S6" i="9"/>
  <c r="Q7" i="9"/>
  <c r="U6" i="9"/>
  <c r="S7" i="9"/>
  <c r="Y4" i="9"/>
  <c r="W5" i="9"/>
  <c r="AA4" i="9"/>
  <c r="Y5" i="9"/>
  <c r="W6" i="9"/>
  <c r="U7" i="9"/>
  <c r="AC4" i="9"/>
  <c r="AA5" i="9"/>
  <c r="Y6" i="9"/>
  <c r="W7" i="9"/>
  <c r="AE4" i="9"/>
  <c r="AC5" i="9"/>
  <c r="Y7" i="9"/>
  <c r="AA6" i="9"/>
  <c r="AC6" i="9"/>
  <c r="AA7" i="9"/>
  <c r="AG4" i="9"/>
  <c r="AE5" i="9"/>
  <c r="AC7" i="9"/>
  <c r="AE6" i="9"/>
  <c r="AG5" i="9"/>
  <c r="AE7" i="9"/>
  <c r="AG6" i="9"/>
  <c r="AG7" i="9"/>
  <c r="E85" i="15" l="1"/>
  <c r="S80" i="4"/>
  <c r="E79" i="18" s="1"/>
  <c r="E79" i="15"/>
  <c r="S95" i="4"/>
  <c r="E94" i="18" s="1"/>
  <c r="E83" i="18"/>
  <c r="F83" i="18" s="1"/>
  <c r="F94" i="18" s="1"/>
  <c r="F95" i="18" s="1"/>
  <c r="F103" i="18" s="1"/>
  <c r="F105" i="18" s="1"/>
  <c r="C67" i="25"/>
  <c r="C95" i="18"/>
  <c r="C103" i="18" s="1"/>
  <c r="AG438" i="3"/>
  <c r="T27" i="5" s="1"/>
  <c r="T22" i="27"/>
  <c r="B95" i="4"/>
  <c r="D96" i="15"/>
  <c r="C96" i="15"/>
  <c r="E96" i="15" s="1"/>
  <c r="E41" i="18"/>
  <c r="S62" i="4"/>
  <c r="E39" i="18"/>
  <c r="E83" i="15"/>
  <c r="R95" i="4"/>
  <c r="E61" i="18"/>
  <c r="R53" i="4"/>
  <c r="R42" i="4"/>
  <c r="E80" i="15"/>
  <c r="B80" i="4"/>
  <c r="D81" i="15"/>
  <c r="B81" i="15"/>
  <c r="C81" i="15"/>
  <c r="B76" i="4"/>
  <c r="B77" i="15"/>
  <c r="E77" i="15" s="1"/>
  <c r="E54" i="15"/>
  <c r="E43" i="15"/>
  <c r="R103" i="4"/>
  <c r="E96" i="4"/>
  <c r="E104" i="4" s="1"/>
  <c r="R80" i="4"/>
  <c r="R61" i="4"/>
  <c r="B60" i="18"/>
  <c r="D62" i="15"/>
  <c r="C62" i="15"/>
  <c r="E62" i="15" s="1"/>
  <c r="F62" i="4"/>
  <c r="F96" i="4" s="1"/>
  <c r="F104" i="4" s="1"/>
  <c r="E39" i="15"/>
  <c r="R26" i="4"/>
  <c r="AB47" i="5"/>
  <c r="C12" i="15"/>
  <c r="E12" i="15" s="1"/>
  <c r="B12" i="4"/>
  <c r="D9" i="15"/>
  <c r="D13" i="15" s="1"/>
  <c r="C12" i="4"/>
  <c r="B12" i="18" s="1"/>
  <c r="B9" i="15"/>
  <c r="B13" i="15" s="1"/>
  <c r="E9" i="15"/>
  <c r="C96" i="4"/>
  <c r="B62" i="4"/>
  <c r="D63" i="15"/>
  <c r="C13" i="15"/>
  <c r="C63" i="15"/>
  <c r="B63" i="15"/>
  <c r="E21" i="9"/>
  <c r="E34" i="9" s="1"/>
  <c r="I14" i="9"/>
  <c r="G21" i="9"/>
  <c r="G34" i="9" s="1"/>
  <c r="G8" i="9"/>
  <c r="E9" i="9"/>
  <c r="E10" i="9" s="1"/>
  <c r="E36" i="9" s="1"/>
  <c r="AO646" i="3"/>
  <c r="AM562" i="3" s="1"/>
  <c r="AM572" i="3" s="1"/>
  <c r="G39" i="9"/>
  <c r="G42" i="9" s="1"/>
  <c r="I39" i="9"/>
  <c r="I42" i="9" s="1"/>
  <c r="O39" i="9"/>
  <c r="O42" i="9" s="1"/>
  <c r="AC39" i="9"/>
  <c r="AC42" i="9" s="1"/>
  <c r="W39" i="9"/>
  <c r="W42" i="9" s="1"/>
  <c r="E42" i="9"/>
  <c r="AA39" i="9"/>
  <c r="AA42" i="9" s="1"/>
  <c r="Y39" i="9"/>
  <c r="Y42" i="9" s="1"/>
  <c r="AC592" i="6"/>
  <c r="AD27" i="26"/>
  <c r="AD28" i="26" s="1"/>
  <c r="S96" i="4" l="1"/>
  <c r="T27" i="26"/>
  <c r="Y27" i="5"/>
  <c r="AD27" i="27"/>
  <c r="AD28" i="27" s="1"/>
  <c r="AI27" i="27"/>
  <c r="AI28" i="27" s="1"/>
  <c r="AD63" i="27" s="1"/>
  <c r="AI27" i="26"/>
  <c r="AI28" i="26" s="1"/>
  <c r="AD63" i="26" s="1"/>
  <c r="Y27" i="26"/>
  <c r="AI27" i="5"/>
  <c r="AI28" i="5" s="1"/>
  <c r="T27" i="27"/>
  <c r="AD27" i="5"/>
  <c r="AD28" i="5" s="1"/>
  <c r="Y27" i="27"/>
  <c r="R62" i="4"/>
  <c r="R96" i="4"/>
  <c r="R104" i="4" s="1"/>
  <c r="E81" i="15"/>
  <c r="E13" i="15"/>
  <c r="E63" i="15"/>
  <c r="D97" i="15"/>
  <c r="B96" i="4"/>
  <c r="B95" i="18"/>
  <c r="C104" i="4"/>
  <c r="B97" i="15"/>
  <c r="C97" i="15"/>
  <c r="K14" i="9"/>
  <c r="I21" i="9"/>
  <c r="I34" i="9" s="1"/>
  <c r="I8" i="9"/>
  <c r="G9" i="9"/>
  <c r="G10" i="9"/>
  <c r="G36" i="9" s="1"/>
  <c r="G44" i="9" s="1"/>
  <c r="E48" i="9"/>
  <c r="E44" i="9"/>
  <c r="T690" i="6"/>
  <c r="AK618" i="6"/>
  <c r="E95" i="18" l="1"/>
  <c r="S104" i="4"/>
  <c r="E97" i="15"/>
  <c r="B105" i="15"/>
  <c r="B103" i="18"/>
  <c r="B104" i="4"/>
  <c r="D105" i="15"/>
  <c r="AC448" i="3"/>
  <c r="C105" i="15"/>
  <c r="G48" i="9"/>
  <c r="K21" i="9"/>
  <c r="K34" i="9" s="1"/>
  <c r="M14" i="9"/>
  <c r="K8" i="9"/>
  <c r="I9" i="9"/>
  <c r="I10" i="9" s="1"/>
  <c r="I36" i="9" s="1"/>
  <c r="G59" i="9"/>
  <c r="G47" i="9"/>
  <c r="G46" i="9"/>
  <c r="E47" i="9"/>
  <c r="E46" i="9"/>
  <c r="E59" i="9"/>
  <c r="T689" i="6"/>
  <c r="AO683" i="6"/>
  <c r="AF689" i="6" s="1"/>
  <c r="AF695" i="6" s="1"/>
  <c r="S106" i="4" l="1"/>
  <c r="E103" i="18"/>
  <c r="E105" i="15"/>
  <c r="T11" i="5"/>
  <c r="T11" i="26"/>
  <c r="T23" i="26" s="1"/>
  <c r="T11" i="27"/>
  <c r="T23" i="27" s="1"/>
  <c r="AC447" i="3"/>
  <c r="J58" i="25"/>
  <c r="AB46" i="5"/>
  <c r="AB48" i="5" s="1"/>
  <c r="AB53" i="5" s="1"/>
  <c r="AB54" i="5" s="1"/>
  <c r="AB46" i="27"/>
  <c r="AB48" i="27" s="1"/>
  <c r="AB46" i="26"/>
  <c r="AB48" i="26" s="1"/>
  <c r="M21" i="9"/>
  <c r="M34" i="9" s="1"/>
  <c r="O14" i="9"/>
  <c r="I44" i="9"/>
  <c r="I48" i="9"/>
  <c r="K9" i="9"/>
  <c r="M8" i="9"/>
  <c r="K10" i="9"/>
  <c r="K36" i="9" s="1"/>
  <c r="G61" i="9"/>
  <c r="G67" i="9"/>
  <c r="G66" i="9"/>
  <c r="G65" i="9"/>
  <c r="G68" i="9"/>
  <c r="E66" i="9"/>
  <c r="E65" i="9"/>
  <c r="X1006" i="3" l="1"/>
  <c r="X1007" i="3" s="1"/>
  <c r="D1008" i="3" s="1"/>
  <c r="AC449" i="3"/>
  <c r="E105" i="18"/>
  <c r="T26" i="27"/>
  <c r="T28" i="27" s="1"/>
  <c r="T26" i="26"/>
  <c r="T28" i="26" s="1"/>
  <c r="T23" i="5"/>
  <c r="BE16" i="28"/>
  <c r="AB53" i="27"/>
  <c r="AB54" i="27" s="1"/>
  <c r="G71" i="25"/>
  <c r="G72" i="25" s="1"/>
  <c r="B75" i="25" s="1"/>
  <c r="B76" i="25"/>
  <c r="O76" i="25" s="1"/>
  <c r="AB53" i="26"/>
  <c r="AB54" i="26" s="1"/>
  <c r="E69" i="9"/>
  <c r="E71" i="9" s="1"/>
  <c r="Q14" i="9"/>
  <c r="O21" i="9"/>
  <c r="O34" i="9" s="1"/>
  <c r="K48" i="9"/>
  <c r="K44" i="9"/>
  <c r="M9" i="9"/>
  <c r="M10" i="9"/>
  <c r="M36" i="9" s="1"/>
  <c r="O8" i="9"/>
  <c r="I46" i="9"/>
  <c r="I47" i="9"/>
  <c r="I59" i="9"/>
  <c r="G69" i="9"/>
  <c r="G71" i="9" s="1"/>
  <c r="Y11" i="5" l="1"/>
  <c r="Y23" i="5" s="1"/>
  <c r="Y26" i="5" s="1"/>
  <c r="Y28" i="5" s="1"/>
  <c r="Y63" i="5" s="1"/>
  <c r="Y67" i="5" s="1"/>
  <c r="Y11" i="26"/>
  <c r="Y23" i="26" s="1"/>
  <c r="Y38" i="26" s="1"/>
  <c r="Y40" i="26" s="1"/>
  <c r="Y11" i="27"/>
  <c r="Y23" i="27" s="1"/>
  <c r="T26" i="5"/>
  <c r="T28" i="5" s="1"/>
  <c r="Q21" i="9"/>
  <c r="Q34" i="9" s="1"/>
  <c r="S14" i="9"/>
  <c r="I66" i="9"/>
  <c r="I61" i="9"/>
  <c r="I65" i="9"/>
  <c r="I68" i="9"/>
  <c r="I67" i="9"/>
  <c r="Q8" i="9"/>
  <c r="O9" i="9"/>
  <c r="O10" i="9" s="1"/>
  <c r="O36" i="9" s="1"/>
  <c r="M44" i="9"/>
  <c r="M48" i="9"/>
  <c r="K59" i="9"/>
  <c r="K47" i="9"/>
  <c r="K46" i="9"/>
  <c r="T29" i="5" l="1"/>
  <c r="Q71" i="25"/>
  <c r="O75" i="25" s="1"/>
  <c r="R75" i="25" s="1"/>
  <c r="Y26" i="27"/>
  <c r="Y28" i="27" s="1"/>
  <c r="Y38" i="27"/>
  <c r="Y40" i="27" s="1"/>
  <c r="AD38" i="27"/>
  <c r="AD40" i="27" s="1"/>
  <c r="Y26" i="26"/>
  <c r="Y28" i="26" s="1"/>
  <c r="AD38" i="26"/>
  <c r="AD40" i="26" s="1"/>
  <c r="Y41" i="26" s="1"/>
  <c r="AB55" i="26" s="1"/>
  <c r="AB56" i="26" s="1"/>
  <c r="AB58" i="26" s="1"/>
  <c r="AD38" i="5"/>
  <c r="AD40" i="5" s="1"/>
  <c r="Y38" i="5"/>
  <c r="Y40" i="5" s="1"/>
  <c r="S21" i="9"/>
  <c r="S34" i="9" s="1"/>
  <c r="U14" i="9"/>
  <c r="O48" i="9"/>
  <c r="O44" i="9"/>
  <c r="S8" i="9"/>
  <c r="Q9" i="9"/>
  <c r="Q10" i="9" s="1"/>
  <c r="Q36" i="9" s="1"/>
  <c r="K65" i="9"/>
  <c r="K68" i="9"/>
  <c r="K61" i="9"/>
  <c r="K67" i="9"/>
  <c r="K66" i="9"/>
  <c r="I69" i="9"/>
  <c r="I71" i="9" s="1"/>
  <c r="M59" i="9"/>
  <c r="M46" i="9"/>
  <c r="M47" i="9"/>
  <c r="F59" i="26" l="1"/>
  <c r="AB75" i="26"/>
  <c r="Y63" i="26"/>
  <c r="Y67" i="26" s="1"/>
  <c r="T29" i="26"/>
  <c r="Y41" i="27"/>
  <c r="AB55" i="27" s="1"/>
  <c r="AB56" i="27" s="1"/>
  <c r="AB58" i="27" s="1"/>
  <c r="Y63" i="27"/>
  <c r="Y67" i="27" s="1"/>
  <c r="T29" i="27"/>
  <c r="AR43" i="5"/>
  <c r="AR42" i="5"/>
  <c r="Y41" i="5" s="1"/>
  <c r="AB55" i="5" s="1"/>
  <c r="K69" i="9"/>
  <c r="W14" i="9"/>
  <c r="U21" i="9"/>
  <c r="U34" i="9" s="1"/>
  <c r="K71" i="9"/>
  <c r="Q44" i="9"/>
  <c r="Q48" i="9"/>
  <c r="M66" i="9"/>
  <c r="M67" i="9"/>
  <c r="M68" i="9"/>
  <c r="M61" i="9"/>
  <c r="M65" i="9"/>
  <c r="U8" i="9"/>
  <c r="S9" i="9"/>
  <c r="S10" i="9"/>
  <c r="S36" i="9" s="1"/>
  <c r="O47" i="9"/>
  <c r="O46" i="9"/>
  <c r="O59" i="9"/>
  <c r="AB75" i="27" l="1"/>
  <c r="AB76" i="27" s="1"/>
  <c r="AB77" i="27" s="1"/>
  <c r="AB79" i="27" s="1"/>
  <c r="J80" i="27" s="1"/>
  <c r="F59" i="27"/>
  <c r="AB76" i="26"/>
  <c r="AB77" i="26" s="1"/>
  <c r="AB79" i="26" s="1"/>
  <c r="J80" i="26" s="1"/>
  <c r="AB56" i="5"/>
  <c r="AB58" i="5" s="1"/>
  <c r="BE15" i="28"/>
  <c r="Q22" i="28"/>
  <c r="V33" i="28" s="1"/>
  <c r="V35" i="28" s="1"/>
  <c r="M25" i="3"/>
  <c r="M69" i="9"/>
  <c r="M71" i="9" s="1"/>
  <c r="Y14" i="9"/>
  <c r="W21" i="9"/>
  <c r="W34" i="9" s="1"/>
  <c r="O67" i="9"/>
  <c r="O61" i="9"/>
  <c r="O68" i="9"/>
  <c r="O65" i="9"/>
  <c r="O66" i="9"/>
  <c r="S48" i="9"/>
  <c r="S44" i="9"/>
  <c r="U10" i="9"/>
  <c r="U36" i="9" s="1"/>
  <c r="W8" i="9"/>
  <c r="U9" i="9"/>
  <c r="Q46" i="9"/>
  <c r="Q59" i="9"/>
  <c r="Q47" i="9"/>
  <c r="P203" i="3" l="1"/>
  <c r="AB75" i="5"/>
  <c r="AB76" i="5" s="1"/>
  <c r="F59" i="5"/>
  <c r="AA14" i="9"/>
  <c r="Y21" i="9"/>
  <c r="Y34" i="9" s="1"/>
  <c r="Q68" i="9"/>
  <c r="Q66" i="9"/>
  <c r="Q61" i="9"/>
  <c r="Q65" i="9"/>
  <c r="Q67" i="9"/>
  <c r="S46" i="9"/>
  <c r="S47" i="9"/>
  <c r="S59" i="9"/>
  <c r="O69" i="9"/>
  <c r="O71" i="9" s="1"/>
  <c r="U48" i="9"/>
  <c r="U44" i="9"/>
  <c r="W9" i="9"/>
  <c r="Y8" i="9"/>
  <c r="W10" i="9"/>
  <c r="W36" i="9" s="1"/>
  <c r="AB77" i="5" l="1"/>
  <c r="AB79" i="5" s="1"/>
  <c r="J80" i="5" s="1"/>
  <c r="M27" i="3"/>
  <c r="AC14" i="9"/>
  <c r="AA21" i="9"/>
  <c r="AA34" i="9" s="1"/>
  <c r="W44" i="9"/>
  <c r="W48" i="9"/>
  <c r="S61" i="9"/>
  <c r="S67" i="9"/>
  <c r="S65" i="9"/>
  <c r="S66" i="9"/>
  <c r="S68" i="9"/>
  <c r="Y9" i="9"/>
  <c r="Y10" i="9" s="1"/>
  <c r="Y36" i="9" s="1"/>
  <c r="AA8" i="9"/>
  <c r="Q69" i="9"/>
  <c r="Q71" i="9" s="1"/>
  <c r="U47" i="9"/>
  <c r="U59" i="9"/>
  <c r="U46" i="9"/>
  <c r="W203" i="3" l="1"/>
  <c r="D203" i="3"/>
  <c r="AE14" i="9"/>
  <c r="AC21" i="9"/>
  <c r="AC34" i="9" s="1"/>
  <c r="Y48" i="9"/>
  <c r="Y44" i="9"/>
  <c r="S69" i="9"/>
  <c r="S71" i="9" s="1"/>
  <c r="AC8" i="9"/>
  <c r="AA9" i="9"/>
  <c r="AA10" i="9" s="1"/>
  <c r="AA36" i="9" s="1"/>
  <c r="U68" i="9"/>
  <c r="U65" i="9"/>
  <c r="U66" i="9"/>
  <c r="U61" i="9"/>
  <c r="U67" i="9"/>
  <c r="W46" i="9"/>
  <c r="W59" i="9"/>
  <c r="W47" i="9"/>
  <c r="U69" i="9" l="1"/>
  <c r="U71" i="9" s="1"/>
  <c r="AG14" i="9"/>
  <c r="AG21" i="9" s="1"/>
  <c r="AG34" i="9" s="1"/>
  <c r="AE21" i="9"/>
  <c r="AE34" i="9" s="1"/>
  <c r="AA44" i="9"/>
  <c r="AA48" i="9"/>
  <c r="W66" i="9"/>
  <c r="W67" i="9"/>
  <c r="W65" i="9"/>
  <c r="W68" i="9"/>
  <c r="W61" i="9"/>
  <c r="Y47" i="9"/>
  <c r="Y46" i="9"/>
  <c r="Y59" i="9"/>
  <c r="AE8" i="9"/>
  <c r="AC9" i="9"/>
  <c r="AC10" i="9" s="1"/>
  <c r="AC36" i="9" s="1"/>
  <c r="AC44" i="9" l="1"/>
  <c r="AC48" i="9"/>
  <c r="AG8" i="9"/>
  <c r="AE9" i="9"/>
  <c r="AE10" i="9"/>
  <c r="AE36" i="9" s="1"/>
  <c r="W69" i="9"/>
  <c r="W71" i="9" s="1"/>
  <c r="Y66" i="9"/>
  <c r="Y61" i="9"/>
  <c r="Y68" i="9"/>
  <c r="Y65" i="9"/>
  <c r="Y67" i="9"/>
  <c r="AA46" i="9"/>
  <c r="AA47" i="9"/>
  <c r="AA59" i="9"/>
  <c r="AG9" i="9" l="1"/>
  <c r="AG10" i="9" s="1"/>
  <c r="AG36" i="9" s="1"/>
  <c r="AA66" i="9"/>
  <c r="AA68" i="9"/>
  <c r="AA67" i="9"/>
  <c r="AA65" i="9"/>
  <c r="AA61" i="9"/>
  <c r="AE48" i="9"/>
  <c r="AE44" i="9"/>
  <c r="Y69" i="9"/>
  <c r="Y71" i="9" s="1"/>
  <c r="AC46" i="9"/>
  <c r="AC59" i="9"/>
  <c r="AC47" i="9"/>
  <c r="AA69" i="9" l="1"/>
  <c r="AA71" i="9"/>
  <c r="AG48" i="9"/>
  <c r="AG44" i="9"/>
  <c r="AC65" i="9"/>
  <c r="AC68" i="9"/>
  <c r="AC66" i="9"/>
  <c r="AC61" i="9"/>
  <c r="AC67" i="9"/>
  <c r="AE47" i="9"/>
  <c r="AE46" i="9"/>
  <c r="AE59" i="9"/>
  <c r="AC69" i="9" l="1"/>
  <c r="AC71" i="9" s="1"/>
  <c r="AE65" i="9"/>
  <c r="AE66" i="9"/>
  <c r="AE67" i="9"/>
  <c r="AE68" i="9"/>
  <c r="AE61" i="9"/>
  <c r="AG47" i="9"/>
  <c r="AG46" i="9"/>
  <c r="AG59" i="9"/>
  <c r="AE69" i="9" l="1"/>
  <c r="AE71" i="9" s="1"/>
  <c r="AG68" i="9"/>
  <c r="AG65" i="9"/>
  <c r="AG61" i="9"/>
  <c r="AG67" i="9"/>
  <c r="AG66"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<sst xmlns="http://schemas.openxmlformats.org/spreadsheetml/2006/main" count="4692" uniqueCount="2478">
  <si>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</si>
  <si>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</si>
  <si>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</si>
  <si>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</si>
  <si>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</si>
  <si>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</si>
  <si>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</si>
  <si>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</si>
  <si>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</si>
  <si>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</si>
  <si>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</si>
  <si>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</si>
  <si>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</si>
  <si>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</si>
  <si>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</si>
  <si>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</si>
  <si>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</si>
  <si>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</si>
  <si>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</si>
  <si>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</si>
  <si>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</si>
  <si>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</si>
  <si>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</si>
  <si>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</si>
  <si>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</si>
  <si>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</si>
  <si>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</si>
  <si>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</si>
  <si>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</si>
  <si>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</si>
  <si>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</si>
  <si>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</si>
  <si>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</si>
  <si>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</si>
  <si>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</si>
  <si>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</si>
  <si>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</si>
  <si>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</si>
  <si>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</si>
  <si>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</si>
  <si>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</si>
  <si>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</si>
  <si>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</si>
  <si>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</si>
  <si>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</si>
  <si>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</si>
  <si>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</si>
  <si>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</si>
  <si>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</si>
  <si>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</si>
  <si>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</si>
  <si>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</si>
  <si>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</si>
  <si>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</si>
  <si>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</si>
  <si>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</si>
  <si>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</si>
  <si>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</si>
  <si>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</si>
  <si>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</si>
  <si>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</si>
  <si>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</si>
  <si>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</si>
  <si>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</si>
  <si>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</si>
  <si>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</si>
  <si>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</si>
  <si>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</si>
  <si>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</si>
  <si>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</si>
  <si>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</si>
  <si>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</si>
  <si>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</si>
  <si>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</si>
  <si>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</si>
  <si>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</si>
  <si>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</si>
  <si>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</si>
  <si>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</si>
  <si>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</si>
  <si>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</si>
  <si>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</si>
  <si>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</si>
  <si>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</si>
  <si>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</si>
  <si>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</si>
  <si>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</si>
  <si>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</si>
  <si>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</si>
  <si>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</si>
  <si>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</si>
  <si>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</si>
  <si>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</si>
  <si>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</si>
  <si>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</si>
  <si>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</si>
  <si>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</si>
  <si>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</si>
  <si>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</si>
  <si>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</si>
  <si>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</si>
  <si>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</si>
  <si>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</si>
  <si>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</si>
  <si>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</si>
  <si>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</si>
  <si>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</si>
  <si>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</si>
  <si>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</si>
  <si>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</si>
  <si>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</si>
  <si>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</si>
  <si>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</si>
  <si>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</si>
  <si>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</si>
  <si>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</si>
  <si>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</si>
  <si>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</si>
  <si>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</si>
  <si>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</si>
  <si>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</si>
  <si>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</si>
  <si>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</si>
  <si>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</si>
  <si>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</si>
  <si>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</si>
  <si>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</si>
  <si>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</si>
  <si>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</si>
  <si>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</si>
  <si>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</si>
  <si>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</si>
  <si>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</si>
  <si>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</si>
  <si>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</si>
  <si>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</si>
  <si>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</si>
  <si>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</si>
  <si>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</si>
  <si>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</si>
  <si>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</si>
  <si>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</si>
  <si>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</si>
  <si>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</si>
  <si>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</si>
  <si>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</si>
  <si>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</si>
  <si>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</si>
  <si>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</si>
  <si>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</si>
  <si>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</si>
  <si>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</si>
  <si>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</si>
  <si>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</si>
  <si>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</si>
  <si>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</si>
  <si>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</si>
  <si>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</si>
  <si>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</si>
  <si>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</si>
  <si>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</si>
  <si>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</si>
  <si>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</si>
  <si>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</si>
  <si>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</si>
  <si>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</si>
  <si>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</si>
  <si>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</si>
  <si>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</si>
  <si>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</si>
  <si>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</si>
  <si>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</si>
  <si>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</si>
  <si>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</si>
  <si>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</si>
  <si>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</si>
  <si>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</si>
  <si>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</si>
  <si>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</si>
  <si>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</si>
  <si>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</si>
  <si>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</si>
  <si>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</si>
  <si>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</si>
  <si>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</si>
  <si>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</si>
  <si>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</si>
  <si>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</si>
  <si>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</si>
  <si>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</si>
  <si>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</si>
  <si>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</si>
  <si>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</si>
  <si>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</si>
  <si>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</si>
  <si>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</si>
  <si>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</si>
  <si>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</si>
  <si>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</si>
  <si>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</si>
  <si>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</si>
  <si>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</si>
  <si>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</si>
  <si>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</si>
  <si>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</si>
  <si>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</si>
  <si>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</si>
  <si>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</si>
  <si>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</si>
  <si>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</si>
  <si>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</si>
  <si>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</si>
  <si>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</si>
  <si>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</si>
  <si>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</si>
  <si>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</si>
  <si>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</si>
  <si>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</si>
  <si>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</si>
  <si>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</si>
  <si>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</si>
  <si>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</si>
  <si>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</si>
  <si>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</si>
  <si>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</si>
  <si>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</si>
  <si>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</si>
  <si>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</si>
  <si>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</si>
  <si>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</si>
  <si>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</si>
  <si>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</si>
  <si>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</si>
  <si>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</si>
  <si>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</si>
  <si>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</si>
  <si>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</si>
  <si>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</si>
  <si>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</si>
  <si>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</si>
  <si>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</si>
  <si>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</si>
  <si>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</si>
  <si>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</si>
  <si>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</si>
  <si>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</si>
  <si>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</si>
  <si>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</si>
  <si>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</si>
  <si>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</si>
  <si>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</si>
  <si>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</si>
  <si>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</si>
  <si>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</si>
  <si>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</si>
  <si>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</si>
  <si>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</si>
  <si>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</si>
  <si>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</si>
  <si>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</si>
  <si>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</si>
  <si>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</si>
  <si>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</si>
  <si>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</si>
  <si>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</si>
  <si>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</si>
  <si>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</si>
  <si>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</si>
  <si>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</si>
  <si>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</si>
  <si>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</si>
  <si>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</si>
  <si>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</si>
  <si>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</si>
  <si>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</si>
  <si>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</si>
  <si>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</si>
  <si>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</si>
  <si>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</si>
  <si>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</si>
  <si>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</si>
  <si>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</si>
  <si>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</si>
  <si>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</si>
  <si>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</si>
  <si>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</si>
  <si>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</si>
  <si>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</si>
  <si>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</si>
  <si>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</si>
  <si>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</si>
  <si>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</si>
  <si>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</si>
  <si>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</si>
  <si>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</si>
  <si>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</si>
  <si>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</si>
  <si>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</si>
  <si>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</si>
  <si>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</si>
  <si>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</si>
  <si>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</si>
  <si>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</si>
  <si>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</si>
  <si>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</si>
  <si>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</si>
  <si>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</si>
  <si>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</si>
  <si>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</si>
  <si>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</si>
  <si>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</si>
  <si>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</si>
  <si>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</si>
  <si>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</si>
  <si>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</si>
  <si>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</si>
  <si>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</si>
  <si>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</si>
  <si>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</si>
  <si>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</si>
  <si>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</si>
  <si>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</si>
  <si>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</si>
  <si>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</si>
  <si>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</si>
  <si>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</si>
  <si>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</si>
  <si>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</si>
  <si>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</si>
  <si>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</si>
  <si>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</si>
  <si>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</si>
  <si>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</si>
  <si>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</si>
  <si>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</si>
  <si>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</si>
  <si>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</si>
  <si>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</si>
  <si>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</si>
  <si>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</si>
  <si>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</si>
  <si>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</si>
  <si>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</si>
  <si>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</si>
  <si>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</si>
  <si>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</si>
  <si>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</si>
  <si>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</si>
  <si>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</si>
  <si>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</si>
  <si>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</si>
  <si>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</si>
  <si>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</si>
  <si>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</si>
  <si>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</si>
  <si>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</si>
  <si>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</si>
  <si>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</si>
  <si>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</si>
  <si>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</si>
  <si>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</si>
  <si>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</si>
  <si>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</si>
  <si>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</si>
  <si>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</si>
  <si>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</si>
  <si>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</si>
  <si>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</si>
  <si>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</si>
  <si>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</si>
  <si>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</si>
  <si>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</si>
  <si>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</si>
  <si>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</si>
  <si>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</si>
  <si>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</si>
  <si>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</si>
  <si>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</si>
  <si>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</si>
  <si>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</si>
  <si>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</si>
  <si>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</si>
  <si>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</si>
  <si>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</si>
  <si>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</si>
  <si>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</si>
  <si>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</si>
  <si>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</si>
  <si>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</si>
  <si>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</si>
  <si>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</si>
  <si>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</si>
  <si>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</si>
  <si>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</si>
  <si>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</si>
  <si>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</si>
  <si>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</si>
  <si>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</si>
  <si>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</si>
  <si>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</si>
  <si>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</si>
  <si>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</si>
  <si>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</si>
  <si>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</si>
  <si>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</si>
  <si>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</si>
  <si>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</si>
  <si>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</si>
  <si>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</si>
  <si>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</si>
  <si>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</si>
  <si>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</si>
  <si>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</si>
  <si>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</si>
  <si>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</si>
  <si>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</si>
  <si>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</si>
  <si>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</si>
  <si>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</si>
  <si>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</si>
  <si>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</si>
  <si>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</si>
  <si>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</si>
  <si>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</si>
  <si>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</si>
  <si>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</si>
  <si>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</si>
  <si>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</si>
  <si>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</si>
  <si>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</si>
  <si>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</si>
  <si>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</si>
  <si>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</si>
  <si>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</si>
  <si>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</si>
  <si>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</si>
  <si>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</si>
  <si>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</si>
  <si>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</si>
  <si>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</si>
  <si>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</si>
  <si>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</si>
  <si>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</si>
  <si>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</si>
  <si>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</si>
  <si>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</si>
  <si>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</si>
  <si>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</si>
  <si>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</si>
  <si>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</si>
  <si>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</si>
  <si>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</si>
  <si>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</si>
  <si>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</si>
  <si>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</si>
  <si>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</si>
  <si>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</si>
  <si>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</si>
  <si>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</si>
  <si>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</si>
  <si>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</si>
  <si>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</si>
  <si>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</si>
  <si>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</si>
  <si>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</si>
  <si>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</si>
  <si>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</si>
  <si>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</si>
  <si>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</si>
  <si>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</si>
  <si>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</si>
  <si>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</si>
  <si>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</si>
  <si>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</si>
  <si>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</si>
  <si>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</si>
  <si>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</si>
  <si>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</si>
  <si>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</si>
  <si>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</si>
  <si>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</si>
  <si>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</si>
  <si>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</si>
  <si>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</si>
  <si>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</si>
  <si>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</si>
  <si>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</si>
  <si>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</si>
  <si>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</si>
  <si>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</si>
  <si>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</si>
  <si>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</si>
  <si>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</si>
  <si>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</si>
  <si>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</si>
  <si>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</si>
  <si>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</si>
  <si>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</si>
  <si>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</si>
  <si>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</si>
  <si>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</si>
  <si>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</si>
  <si>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</si>
  <si>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</si>
  <si>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</si>
  <si>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</si>
  <si>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</si>
  <si>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</si>
  <si>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</si>
  <si>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</si>
  <si>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</si>
  <si>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</si>
  <si>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</si>
  <si>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</si>
  <si>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</si>
  <si>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</si>
  <si>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</si>
  <si>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</si>
  <si>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</si>
  <si>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</si>
  <si>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</si>
  <si>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</si>
  <si>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</si>
  <si>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</si>
  <si>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</si>
  <si>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</si>
  <si>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</si>
  <si>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</si>
  <si>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</si>
  <si>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</si>
  <si>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</si>
  <si>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</si>
  <si>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</si>
  <si>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</si>
  <si>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</si>
  <si>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</si>
  <si>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</si>
  <si>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</si>
  <si>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</si>
  <si>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</si>
  <si>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</si>
  <si>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</si>
  <si>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</si>
  <si>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</si>
  <si>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</si>
  <si>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</si>
  <si>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</si>
  <si>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</si>
  <si>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</si>
  <si>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</si>
  <si>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</si>
  <si>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</si>
  <si>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</si>
  <si>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</si>
  <si>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</si>
  <si>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</si>
  <si>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</si>
  <si>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</si>
  <si>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</si>
  <si>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</si>
  <si>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</si>
  <si>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</si>
  <si>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</si>
  <si>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</si>
  <si>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</si>
  <si>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</si>
  <si>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</si>
  <si>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</si>
  <si>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</si>
  <si>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</si>
  <si>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</si>
  <si>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</si>
  <si>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</si>
  <si>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</si>
  <si>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</si>
  <si>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</si>
  <si>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</si>
  <si>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</si>
  <si>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</si>
  <si>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</si>
  <si>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</si>
  <si>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</si>
  <si>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</si>
  <si>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</si>
  <si>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</si>
  <si>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</si>
  <si>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</si>
  <si>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</si>
  <si>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</si>
  <si>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</si>
  <si>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</si>
  <si>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</si>
  <si>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</si>
  <si>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</si>
  <si>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</si>
  <si>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</si>
  <si>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</si>
  <si>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</si>
  <si>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</si>
  <si>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</si>
  <si>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</si>
  <si>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</si>
  <si>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</si>
  <si>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</si>
  <si>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</si>
  <si>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</si>
  <si>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</si>
  <si>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</si>
  <si>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</si>
  <si>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</si>
  <si>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</si>
  <si>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</si>
  <si>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</si>
  <si>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</si>
  <si>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</si>
  <si>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</si>
  <si>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</si>
  <si>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</si>
  <si>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</si>
  <si>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</si>
  <si>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</si>
  <si>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</si>
  <si>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</si>
  <si>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</si>
  <si>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</si>
  <si>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</si>
  <si>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</si>
  <si>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</si>
  <si>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</si>
  <si>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</si>
  <si>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</si>
  <si>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</si>
  <si>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</si>
  <si>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</si>
  <si>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</si>
  <si>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</si>
  <si>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</si>
  <si>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</si>
  <si>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</si>
  <si>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</si>
  <si>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</si>
  <si>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</si>
  <si>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</si>
  <si>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</si>
  <si>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</si>
  <si>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</si>
  <si>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</si>
  <si>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</si>
  <si>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</si>
  <si>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</si>
  <si>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</si>
  <si>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</si>
  <si>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</si>
  <si>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</si>
  <si>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</si>
  <si>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</si>
  <si>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</si>
  <si>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</si>
  <si>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</si>
  <si>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</si>
  <si>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</si>
  <si>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</si>
  <si>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</si>
  <si>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</si>
  <si>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</si>
  <si>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</si>
  <si>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</si>
  <si>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</si>
  <si>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</si>
  <si>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</si>
  <si>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</si>
  <si>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</si>
  <si>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</si>
  <si>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</si>
  <si>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</si>
  <si>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</si>
  <si>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</si>
  <si>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</si>
  <si>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</si>
  <si>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</si>
  <si>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</si>
  <si>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</si>
  <si>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</si>
  <si>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</si>
  <si>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</si>
  <si>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</si>
  <si>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</si>
  <si>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</si>
  <si>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</si>
  <si>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</si>
  <si>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</si>
  <si>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</si>
  <si>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</si>
  <si>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</si>
  <si>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</si>
  <si>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</si>
  <si>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</si>
  <si>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</si>
  <si>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</si>
  <si>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</si>
  <si>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</si>
  <si>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</si>
  <si>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</si>
  <si>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</si>
  <si>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</si>
  <si>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</si>
  <si>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</si>
  <si>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</si>
  <si>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</si>
  <si>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</si>
  <si>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</si>
  <si>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</si>
  <si>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</si>
  <si>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</si>
  <si>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</si>
  <si>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</si>
  <si>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</si>
  <si>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</si>
  <si>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</si>
  <si>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</si>
  <si>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</si>
  <si>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</si>
  <si>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</si>
  <si>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</si>
  <si>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</si>
  <si>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</si>
  <si>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</si>
  <si>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</si>
  <si>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</si>
  <si>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</si>
  <si>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</si>
  <si>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</si>
  <si>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</si>
  <si>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</si>
  <si>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</si>
  <si>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</si>
  <si>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</si>
  <si>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</si>
  <si>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</si>
  <si>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</si>
  <si>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</si>
  <si>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</si>
  <si>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</si>
  <si>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</si>
  <si>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</si>
  <si>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</si>
  <si>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</si>
  <si>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</si>
  <si>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</si>
  <si>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</si>
  <si>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</si>
  <si>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</si>
  <si>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</si>
  <si>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</si>
  <si>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</si>
  <si>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</si>
  <si>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</si>
  <si>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</si>
  <si>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</si>
  <si>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</si>
  <si>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</si>
  <si>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</si>
  <si>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</si>
  <si>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</si>
  <si>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</si>
  <si>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</si>
  <si>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</si>
  <si>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</si>
  <si>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</si>
  <si>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</si>
  <si>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</si>
  <si>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</si>
  <si>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</si>
  <si>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</si>
  <si>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</si>
  <si>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</si>
  <si>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</si>
  <si>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</si>
  <si>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</si>
  <si>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</si>
  <si>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</si>
  <si>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</si>
  <si>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</si>
  <si>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</si>
  <si>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</si>
  <si>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</si>
  <si>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</si>
  <si>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</si>
  <si>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</si>
  <si>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</si>
  <si>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</si>
  <si>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</si>
  <si>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</si>
  <si>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</si>
  <si>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</si>
  <si>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</si>
  <si>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</si>
  <si>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</si>
  <si>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</si>
  <si>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</si>
  <si>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</si>
  <si>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</si>
  <si>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</si>
  <si>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</si>
  <si>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</si>
  <si>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</si>
  <si>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</si>
  <si>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</si>
  <si>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</si>
  <si>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</si>
  <si>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</si>
  <si>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</si>
  <si>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</si>
  <si>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</si>
  <si>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</si>
  <si>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</si>
  <si>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</si>
  <si>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</si>
  <si>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</si>
  <si>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</si>
  <si>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</si>
  <si>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</si>
  <si>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</si>
  <si>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</si>
  <si>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</si>
  <si>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</si>
  <si>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</si>
  <si>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</si>
  <si>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</si>
  <si>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</si>
  <si>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</si>
  <si>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</si>
  <si>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</si>
  <si>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</si>
  <si>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</si>
  <si>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</si>
  <si>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</si>
  <si>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</si>
  <si>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</si>
  <si>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</si>
  <si>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</si>
  <si>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</si>
  <si>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</si>
  <si>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</si>
  <si>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</si>
  <si>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</si>
  <si>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</si>
  <si>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</si>
  <si>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</si>
  <si>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</si>
  <si>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</si>
  <si>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</si>
  <si>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</si>
  <si>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</si>
  <si>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</si>
  <si>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</si>
  <si>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</si>
  <si>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</si>
  <si>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</si>
  <si>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</si>
  <si>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</si>
  <si>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</si>
  <si>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</si>
  <si>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</si>
  <si>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</si>
  <si>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</si>
  <si>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</si>
  <si>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</si>
  <si>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</si>
  <si>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</si>
  <si>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</si>
  <si>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</si>
  <si>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</si>
  <si>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</si>
  <si>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</si>
  <si>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</si>
  <si>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</si>
  <si>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</si>
  <si>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</si>
  <si>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</si>
  <si>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</si>
  <si>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</si>
  <si>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</si>
  <si>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</si>
  <si>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</si>
  <si>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</si>
  <si>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</si>
  <si>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</si>
  <si>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</si>
  <si>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</si>
  <si>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</si>
  <si>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</si>
  <si>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</si>
  <si>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</si>
  <si>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</si>
  <si>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</si>
  <si>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</si>
  <si>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</si>
  <si>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</si>
  <si>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</si>
  <si>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</si>
  <si>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</si>
  <si>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</si>
  <si>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</si>
  <si>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</si>
  <si>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</si>
  <si>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</si>
  <si>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</si>
  <si>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</si>
  <si>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</si>
  <si>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</si>
  <si>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</si>
  <si>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</si>
  <si>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</si>
  <si>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</si>
  <si>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</si>
  <si>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</si>
  <si>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</si>
  <si>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</si>
  <si>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</si>
  <si>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</si>
  <si>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</si>
  <si>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</si>
  <si>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</si>
  <si>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</si>
  <si>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</si>
  <si>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</si>
  <si>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</si>
  <si>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</si>
  <si>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</si>
  <si>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</si>
  <si>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</si>
  <si>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</si>
  <si>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</si>
  <si>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</si>
  <si>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</si>
  <si>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</si>
  <si>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</si>
  <si>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</si>
  <si>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</si>
  <si>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</si>
  <si>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</si>
  <si>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</si>
  <si>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</si>
  <si>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</si>
  <si>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</si>
  <si>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</si>
  <si>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</si>
  <si>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</si>
  <si>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</si>
  <si>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</si>
  <si>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</si>
  <si>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</si>
  <si>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</si>
  <si>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</si>
  <si>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</si>
  <si>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</si>
  <si>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</si>
  <si>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</si>
  <si>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</si>
  <si>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</si>
  <si>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</si>
  <si>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</si>
  <si>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</si>
  <si>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</si>
  <si>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</si>
  <si>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</si>
  <si>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</si>
  <si>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</si>
  <si>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</si>
  <si>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</si>
  <si>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</si>
  <si>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</si>
  <si>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</si>
  <si>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</si>
  <si>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</si>
  <si>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</si>
  <si>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</si>
  <si>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</si>
  <si>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</si>
  <si>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</si>
  <si>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</si>
  <si>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</si>
  <si>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</si>
  <si>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</si>
  <si>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</si>
  <si>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</si>
  <si>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</si>
  <si>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</si>
  <si>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</si>
  <si>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</si>
  <si>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</si>
  <si>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</si>
  <si>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</si>
  <si>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</si>
  <si>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</si>
  <si>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</si>
  <si>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</si>
  <si>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</si>
  <si>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</si>
  <si>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</si>
  <si>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</si>
  <si>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</si>
  <si>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</si>
  <si>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</si>
  <si>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</si>
  <si>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</si>
  <si>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</si>
  <si>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</si>
  <si>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</si>
  <si>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</si>
  <si>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</si>
  <si>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</si>
  <si>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</si>
  <si>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</si>
  <si>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</si>
  <si>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</si>
  <si>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</si>
  <si>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</si>
  <si>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</si>
  <si>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</si>
  <si>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</si>
  <si>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</si>
  <si>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</si>
  <si>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</si>
  <si>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</si>
  <si>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</si>
  <si>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</si>
  <si>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</si>
  <si>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</si>
  <si>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</si>
  <si>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</si>
  <si>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</si>
  <si>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</si>
  <si>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</si>
  <si>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</si>
  <si>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</si>
  <si>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</si>
  <si>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</si>
  <si>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</si>
  <si>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</si>
  <si>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</si>
  <si>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</si>
  <si>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</si>
  <si>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</si>
  <si>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</si>
  <si>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</si>
  <si>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</si>
  <si>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</si>
  <si>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</si>
  <si>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</si>
  <si>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</si>
  <si>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</si>
  <si>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</si>
  <si>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</si>
  <si>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</si>
  <si>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</si>
  <si>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</si>
  <si>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</si>
  <si>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</si>
  <si>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</si>
  <si>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</si>
  <si>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</si>
  <si>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</si>
  <si>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</si>
  <si>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</si>
  <si>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</si>
  <si>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</si>
  <si>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</si>
  <si>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</si>
  <si>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</si>
  <si>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</si>
  <si>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</si>
  <si>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</si>
  <si>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</si>
  <si>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</si>
  <si>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</si>
  <si>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</si>
  <si>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</si>
  <si>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</si>
  <si>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</si>
  <si>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</si>
  <si>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</si>
  <si>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</si>
  <si>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</si>
  <si>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</si>
  <si>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</si>
  <si>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</si>
  <si>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</si>
  <si>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</si>
  <si>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</si>
  <si>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</si>
  <si>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</si>
  <si>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</si>
  <si>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</si>
  <si>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</si>
  <si>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</si>
  <si>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</si>
  <si>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</si>
  <si>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</si>
  <si>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</si>
  <si>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</si>
  <si>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</si>
  <si>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</si>
  <si>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</si>
  <si>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</si>
  <si>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</si>
  <si>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</si>
  <si>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</si>
  <si>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</si>
  <si>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</si>
  <si>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</si>
  <si>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</si>
  <si>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</si>
  <si>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</si>
  <si>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</si>
  <si>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</si>
  <si>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</si>
  <si>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</si>
  <si>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</si>
  <si>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</si>
  <si>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</si>
  <si>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</si>
  <si>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</si>
  <si>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</si>
  <si>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</si>
  <si>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</si>
  <si>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</si>
  <si>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</si>
  <si>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</si>
  <si>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</si>
  <si>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</si>
  <si>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</si>
  <si>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</si>
  <si>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</si>
  <si>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</si>
  <si>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</si>
  <si>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</si>
  <si>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</si>
  <si>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</si>
  <si>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</si>
  <si>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</si>
  <si>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</si>
  <si>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</si>
  <si>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</si>
  <si>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</si>
  <si>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</si>
  <si>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</si>
  <si>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</si>
  <si>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</si>
  <si>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</si>
  <si>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</si>
  <si>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</si>
  <si>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</si>
  <si>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</si>
  <si>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</si>
  <si>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</si>
  <si>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</si>
  <si>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</si>
  <si>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</si>
  <si>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</si>
  <si>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</si>
  <si>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</si>
  <si>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</si>
  <si>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</si>
  <si>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</si>
  <si>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</si>
  <si>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</si>
  <si>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</si>
  <si>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</si>
  <si>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</si>
  <si>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</si>
  <si>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</si>
  <si>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</si>
  <si>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</si>
  <si>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</si>
  <si>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</si>
  <si>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</si>
  <si>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</si>
  <si>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</si>
  <si>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</si>
  <si>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</si>
  <si>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</si>
  <si>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</si>
  <si>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</si>
  <si>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</si>
  <si>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</si>
  <si>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</si>
  <si>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</si>
  <si>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</si>
  <si>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</si>
  <si>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</si>
  <si>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</si>
  <si>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</si>
  <si>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</si>
  <si>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</si>
  <si>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</si>
  <si>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</si>
  <si>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</si>
  <si>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</si>
  <si>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</si>
  <si>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</si>
  <si>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</si>
  <si>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</si>
  <si>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</si>
  <si>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</si>
  <si>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</si>
  <si>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</si>
  <si>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</si>
  <si>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</si>
  <si>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</si>
  <si>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</si>
  <si>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</si>
  <si>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</si>
  <si>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</si>
  <si>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</si>
  <si>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</si>
  <si>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</si>
  <si>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</si>
  <si>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</si>
  <si>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</si>
  <si>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</si>
  <si>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</si>
  <si>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</si>
  <si>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</si>
  <si>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</si>
  <si>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</si>
  <si>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</si>
  <si>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</si>
  <si>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</si>
  <si>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</si>
  <si>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</si>
  <si>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</si>
  <si>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</si>
  <si>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</si>
  <si>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</si>
  <si>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</si>
  <si>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</si>
  <si>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</si>
  <si>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</si>
  <si>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</si>
  <si>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</si>
  <si>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</si>
  <si>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</si>
  <si>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</si>
  <si>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</si>
  <si>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</si>
  <si>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</si>
  <si>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</si>
  <si>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</si>
  <si>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</si>
  <si>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</si>
  <si>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</si>
  <si>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</si>
  <si>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</si>
  <si>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</si>
  <si>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</si>
  <si>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</si>
  <si>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</si>
  <si>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</si>
  <si>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</si>
  <si>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</si>
  <si>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</si>
  <si>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</si>
  <si>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</si>
  <si>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</si>
  <si>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</si>
  <si>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</si>
  <si>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</si>
  <si>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</si>
  <si>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</si>
  <si>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</si>
  <si>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</si>
  <si>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</si>
  <si>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</si>
  <si>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</si>
  <si>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</si>
  <si>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</si>
  <si>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</si>
  <si>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</si>
  <si>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</si>
  <si>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</si>
  <si>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</si>
  <si>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</si>
  <si>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</si>
  <si>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</si>
  <si>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</si>
  <si>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</si>
  <si>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</si>
  <si>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</si>
  <si>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</si>
  <si>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</si>
  <si>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</si>
  <si>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</si>
  <si>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</si>
  <si>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</si>
  <si>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</si>
  <si>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</si>
  <si>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</si>
  <si>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</si>
  <si>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</si>
  <si>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</si>
  <si>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</si>
  <si>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</si>
  <si>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</si>
  <si>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</si>
  <si>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</si>
  <si>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</si>
  <si>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</si>
  <si>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</si>
  <si>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</si>
  <si>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</si>
  <si>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</si>
  <si>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</si>
  <si>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</si>
  <si>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</si>
  <si>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</si>
  <si>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</si>
  <si>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</si>
  <si>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</si>
  <si>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</si>
  <si>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</si>
  <si>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</si>
  <si>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</si>
  <si>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</si>
  <si>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</si>
  <si>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</si>
  <si>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</si>
  <si>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</si>
  <si>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</si>
  <si>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</si>
  <si>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</si>
  <si>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</si>
  <si>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</si>
  <si>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</si>
  <si>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</si>
  <si>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</si>
  <si>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</si>
  <si>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</si>
  <si>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</si>
  <si>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</si>
  <si>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</si>
  <si>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</si>
  <si>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</si>
  <si>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</si>
  <si>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</si>
  <si>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</si>
  <si>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</si>
  <si>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</si>
  <si>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</si>
  <si>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</si>
  <si>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</si>
  <si>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</si>
  <si>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</si>
  <si>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</si>
  <si>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</si>
  <si>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</si>
  <si>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</si>
  <si>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</si>
  <si>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</si>
  <si>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</si>
  <si>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</si>
  <si>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</si>
  <si>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</si>
  <si>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</si>
  <si>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</si>
  <si>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</si>
  <si>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</si>
  <si>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</si>
  <si>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</si>
  <si>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</si>
  <si>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</si>
  <si>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</si>
  <si>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</si>
  <si>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</si>
  <si>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</si>
  <si>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</si>
  <si>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</si>
  <si>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</si>
  <si>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</si>
  <si>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</si>
  <si>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</si>
  <si>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</si>
  <si>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</si>
  <si>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</si>
  <si>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</si>
  <si>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</si>
  <si>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</si>
  <si>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</si>
  <si>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</si>
  <si>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</si>
  <si>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</si>
  <si>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</si>
  <si>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</si>
  <si>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</si>
  <si>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</si>
  <si>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</si>
  <si>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</si>
  <si>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</si>
  <si>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</si>
  <si>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</si>
  <si>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</si>
  <si>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</si>
  <si>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</si>
  <si>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</si>
  <si>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</si>
  <si>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</si>
  <si>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</si>
  <si>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</si>
  <si>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</si>
  <si>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</si>
  <si>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</si>
  <si>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</si>
  <si>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</si>
  <si>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</si>
  <si>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</si>
  <si>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</si>
  <si>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</si>
  <si>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</si>
  <si>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</si>
  <si>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</si>
  <si>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</si>
  <si>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</si>
  <si>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</si>
  <si>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</si>
  <si>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</si>
  <si>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</si>
  <si>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</si>
  <si>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</si>
  <si>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</si>
  <si>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</si>
  <si>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</si>
  <si>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</si>
  <si>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</si>
  <si>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</si>
  <si>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</si>
  <si>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</si>
  <si>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</si>
  <si>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</si>
  <si>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</si>
  <si>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</si>
  <si>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</si>
  <si>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</si>
  <si>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</si>
  <si>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</si>
  <si>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</si>
  <si>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</si>
  <si>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</si>
  <si>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</si>
  <si>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</si>
  <si>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</si>
  <si>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</si>
  <si>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</si>
  <si>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</si>
  <si>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</si>
  <si>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</si>
  <si>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</si>
  <si>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</si>
  <si>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</si>
  <si>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</si>
  <si>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</si>
  <si>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</si>
  <si>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</si>
  <si>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</si>
  <si>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</si>
  <si>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</si>
  <si>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</si>
  <si>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</si>
  <si>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</si>
  <si>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</si>
  <si>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</si>
  <si>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</si>
  <si>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</si>
  <si>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</si>
  <si>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</si>
  <si>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</si>
  <si>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</si>
  <si>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</si>
  <si>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</si>
  <si>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</si>
  <si>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</si>
  <si>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</si>
  <si>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</si>
  <si>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</si>
  <si>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</si>
  <si>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</si>
  <si>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</si>
  <si>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</si>
  <si>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</si>
  <si>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</si>
  <si>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</si>
  <si>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</si>
  <si>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</si>
  <si>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</si>
  <si>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</si>
  <si>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</si>
  <si>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</si>
  <si>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</si>
  <si>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</si>
  <si>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</si>
  <si>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</si>
  <si>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</si>
  <si>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</si>
  <si>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</si>
  <si>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</si>
  <si>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</si>
  <si>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</si>
  <si>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</si>
  <si>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</si>
  <si>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</si>
  <si>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</si>
  <si>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</si>
  <si>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</si>
  <si>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</si>
  <si>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</si>
  <si>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</si>
  <si>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</si>
  <si>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</si>
  <si>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</si>
  <si>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</si>
  <si>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</si>
  <si>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</si>
  <si>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</si>
  <si>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</si>
  <si>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</si>
  <si>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</si>
  <si>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</si>
  <si>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</si>
  <si>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</si>
  <si>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</si>
  <si>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</si>
  <si>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</si>
  <si>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</si>
  <si>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</si>
  <si>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</si>
  <si>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</si>
  <si>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</si>
  <si>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</si>
  <si>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</si>
  <si>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</si>
  <si>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</si>
  <si>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</si>
  <si>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</si>
  <si>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</si>
  <si>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</si>
  <si>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</si>
  <si>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</si>
  <si>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</si>
  <si>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</si>
  <si>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</si>
  <si>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</si>
  <si>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</si>
  <si>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</si>
  <si>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</si>
  <si>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</si>
  <si>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</si>
  <si>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</si>
  <si>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</si>
  <si>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</si>
  <si>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</si>
  <si>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</si>
  <si>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</si>
  <si>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</si>
  <si>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</si>
  <si>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</si>
  <si>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</si>
  <si>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</si>
  <si>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</si>
  <si>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</si>
  <si>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</si>
  <si>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</si>
  <si>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</si>
  <si>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</si>
  <si>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</si>
  <si>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</si>
  <si>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</si>
  <si>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</si>
  <si>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</si>
  <si>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</si>
  <si>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</si>
  <si>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</si>
  <si>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</si>
  <si>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</si>
  <si>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</si>
  <si>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</si>
  <si>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</si>
  <si>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</si>
  <si>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</si>
  <si>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</si>
  <si>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</si>
  <si>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</si>
  <si>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</si>
  <si>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</si>
  <si>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</si>
  <si>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</si>
  <si>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</si>
  <si>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</si>
  <si>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</si>
  <si>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</si>
  <si>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</si>
  <si>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</si>
  <si>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</si>
  <si>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</si>
  <si>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</si>
  <si>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</si>
  <si>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</si>
  <si>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</si>
  <si>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</si>
  <si>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</si>
  <si>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</si>
  <si>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</si>
  <si>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</si>
  <si>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</si>
  <si>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</si>
  <si>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</si>
  <si>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</si>
  <si>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</si>
  <si>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</si>
  <si>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</si>
  <si>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</si>
  <si>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</si>
  <si>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</si>
  <si>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</si>
  <si>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</si>
  <si>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</si>
  <si>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</si>
  <si>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</si>
  <si>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</si>
  <si>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</si>
  <si>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</si>
  <si>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</si>
  <si>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</si>
  <si>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</si>
  <si>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</si>
  <si>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</si>
  <si>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</si>
  <si>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</si>
  <si>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</si>
  <si>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</si>
  <si>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</si>
  <si>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</si>
  <si>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</si>
  <si>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</si>
  <si>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</si>
  <si>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</si>
  <si>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</si>
  <si>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</si>
  <si>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</si>
  <si>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</si>
  <si>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</si>
  <si>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</si>
  <si>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</si>
  <si>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</si>
  <si>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</si>
  <si>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</si>
  <si>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</si>
  <si>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</si>
  <si>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</si>
  <si>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</si>
  <si>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</si>
  <si>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</si>
  <si>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</si>
  <si>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</si>
  <si>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</si>
  <si>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</si>
  <si>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</si>
  <si>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</si>
  <si>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</si>
  <si>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</si>
  <si>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</si>
  <si>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</si>
  <si>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</si>
  <si>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</si>
  <si>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</si>
  <si>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</si>
  <si>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</si>
  <si>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</si>
  <si>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</si>
  <si>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</si>
  <si>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</si>
  <si>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</si>
  <si>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</si>
  <si>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</si>
  <si>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</si>
  <si>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</si>
  <si>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</si>
  <si>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</si>
  <si>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</si>
  <si>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</si>
  <si>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</si>
  <si>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</si>
  <si>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</si>
  <si>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</si>
  <si>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</si>
  <si>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</si>
  <si>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</si>
  <si>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</si>
  <si>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</si>
  <si>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</si>
  <si>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</si>
  <si>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</si>
  <si>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</si>
  <si>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</si>
  <si>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</si>
  <si>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</si>
  <si>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</si>
  <si>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</si>
  <si>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</si>
  <si>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</si>
  <si>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</si>
  <si>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</si>
  <si>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</si>
  <si>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</si>
  <si>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</si>
  <si>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</si>
  <si>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</si>
  <si>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</si>
  <si>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</si>
  <si>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</si>
  <si>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</si>
  <si>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</si>
  <si>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</si>
  <si>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</si>
  <si>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</si>
  <si>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</si>
  <si>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</si>
  <si>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</si>
  <si>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</si>
  <si>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</si>
  <si>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</si>
  <si>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</si>
  <si>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</si>
  <si>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</si>
  <si>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</si>
  <si>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</si>
  <si>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</si>
  <si>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</si>
  <si>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</si>
  <si>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</si>
  <si>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</si>
  <si>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</si>
  <si>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</si>
  <si>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</si>
  <si>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</si>
  <si>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</si>
  <si>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</si>
  <si>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</si>
  <si>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</si>
  <si>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</si>
  <si>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</si>
  <si>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</si>
  <si>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</si>
  <si>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</si>
  <si>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</si>
  <si>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</si>
  <si>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</si>
  <si>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</si>
  <si>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</si>
  <si>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</si>
  <si>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</si>
  <si>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</si>
  <si>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</si>
  <si>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</si>
  <si>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</si>
  <si>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</si>
  <si>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</si>
  <si>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</si>
  <si>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</si>
  <si>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</si>
  <si>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</si>
  <si>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</si>
  <si>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</si>
  <si>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</si>
  <si>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</si>
  <si>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</si>
  <si>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</si>
  <si>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</si>
  <si>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</si>
  <si>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</si>
  <si>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</si>
  <si>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</si>
  <si>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</si>
  <si>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</si>
  <si>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</si>
  <si>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</si>
  <si>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</si>
  <si>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</si>
  <si>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</si>
  <si>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</si>
  <si>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</si>
  <si>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</si>
  <si>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</si>
  <si>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</si>
  <si>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</si>
  <si>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</si>
  <si>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</si>
  <si>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</si>
  <si>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</si>
  <si>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</si>
  <si>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</si>
  <si>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</si>
  <si>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</si>
  <si>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</si>
  <si>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</si>
  <si>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</si>
  <si>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</si>
  <si>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</si>
  <si>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</si>
  <si>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</si>
  <si>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</si>
  <si>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</si>
  <si>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</si>
  <si>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</si>
  <si>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</si>
  <si>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</si>
  <si>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</si>
  <si>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</si>
  <si>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</si>
  <si>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</si>
  <si>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</si>
  <si>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</si>
  <si>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</si>
  <si>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</si>
  <si>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</si>
  <si>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</si>
  <si>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</si>
  <si>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</si>
  <si>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</si>
  <si>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</si>
  <si>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</si>
  <si>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</si>
  <si>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</si>
  <si>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</si>
  <si>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</si>
  <si>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</si>
  <si>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</si>
  <si>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</si>
  <si>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</si>
  <si>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</si>
  <si>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</si>
  <si>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</si>
  <si>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</si>
  <si>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</si>
  <si>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</si>
  <si>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</si>
  <si>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</si>
  <si>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</si>
  <si>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</si>
  <si>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</si>
  <si>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</si>
  <si>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</si>
  <si>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</si>
  <si>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</si>
  <si>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</si>
  <si>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</si>
  <si>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</si>
  <si>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</si>
  <si>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</si>
  <si>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</si>
  <si>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</si>
  <si>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</si>
  <si>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</si>
  <si>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</si>
  <si>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</si>
  <si>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</si>
  <si>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</si>
  <si>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</si>
  <si>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</si>
  <si>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</si>
  <si>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</si>
  <si>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</si>
  <si>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</si>
  <si>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</si>
  <si>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</si>
  <si>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</si>
  <si>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</si>
  <si>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</si>
  <si>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</si>
  <si>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</si>
  <si>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</si>
  <si>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</si>
  <si>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</si>
  <si>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</si>
  <si>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</si>
  <si>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</si>
  <si>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</si>
  <si>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</si>
  <si>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</si>
  <si>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</si>
  <si>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</si>
  <si>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</si>
  <si>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</si>
  <si>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</si>
  <si>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</si>
  <si>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</si>
  <si>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</si>
  <si>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</si>
  <si>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</si>
  <si>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</si>
  <si>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</si>
  <si>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</si>
  <si>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</si>
  <si>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</si>
  <si>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</si>
  <si>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</si>
  <si>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</si>
  <si>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</si>
  <si>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</si>
  <si>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</si>
  <si>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</si>
  <si>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</si>
  <si>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</si>
  <si>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</si>
  <si>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</si>
  <si>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</si>
  <si>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</si>
  <si>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</si>
  <si>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</si>
  <si>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</si>
  <si>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</si>
  <si>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</si>
  <si>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</si>
  <si>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</si>
  <si>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</si>
  <si>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</si>
  <si>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</si>
  <si>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</si>
  <si>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</si>
  <si>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</si>
  <si>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</si>
  <si>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</si>
  <si>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</si>
  <si>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</si>
  <si>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</si>
  <si>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</si>
  <si>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</si>
  <si>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</si>
  <si>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</si>
  <si>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</si>
  <si>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</si>
  <si>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</si>
  <si>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</si>
  <si>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</si>
  <si>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</si>
  <si>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</si>
  <si>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</si>
  <si>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</si>
  <si>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</si>
  <si>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</si>
  <si>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</si>
  <si>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</si>
  <si>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</si>
  <si>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</si>
  <si>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</si>
  <si>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</si>
  <si>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</si>
  <si>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</si>
  <si>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</si>
  <si>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</si>
  <si>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</si>
  <si>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</si>
  <si>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</si>
  <si>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</si>
  <si>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</si>
  <si>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</si>
  <si>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</si>
  <si>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</si>
  <si>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</si>
  <si>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</si>
  <si>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</si>
  <si>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</si>
  <si>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</si>
  <si>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</si>
  <si>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</si>
  <si>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</si>
  <si>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</si>
  <si>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</si>
  <si>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</si>
  <si>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</si>
  <si>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</si>
  <si>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</si>
  <si>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</si>
  <si>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</si>
  <si>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</si>
  <si>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</si>
  <si>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</si>
  <si>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</si>
  <si>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</si>
  <si>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</si>
  <si>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</si>
  <si>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</si>
  <si>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</si>
  <si>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</si>
  <si>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</si>
  <si>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</si>
  <si>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</si>
  <si>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</si>
  <si>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</si>
  <si>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</si>
  <si>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</si>
  <si>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</si>
  <si>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</si>
  <si>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</si>
  <si>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</si>
  <si>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</si>
  <si>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</si>
  <si>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</si>
  <si>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</si>
  <si>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</si>
  <si>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</si>
  <si>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</si>
  <si>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</si>
  <si>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</si>
  <si>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</si>
  <si>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</si>
  <si>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</si>
  <si>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</si>
  <si>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</si>
  <si>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</si>
  <si>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</si>
  <si>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</si>
  <si>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</si>
  <si>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</si>
  <si>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</si>
  <si>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</si>
  <si>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</si>
  <si>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</si>
  <si>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</si>
  <si>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</si>
  <si>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</si>
  <si>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</si>
  <si>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</si>
  <si>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</si>
  <si>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</si>
  <si>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</si>
  <si>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</si>
  <si>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</si>
  <si>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</si>
  <si>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</si>
  <si>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</si>
  <si>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</si>
  <si>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</si>
  <si>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</si>
  <si>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</si>
  <si>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</si>
  <si>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</si>
  <si>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</si>
  <si>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</si>
  <si>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</si>
  <si>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</si>
  <si>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</si>
  <si>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</si>
  <si>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</si>
  <si>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</si>
  <si>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</si>
  <si>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</si>
  <si>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</si>
  <si>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</si>
  <si>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</si>
  <si>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</si>
  <si>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</si>
  <si>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</si>
  <si>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</si>
  <si>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</si>
  <si>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</si>
  <si>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</si>
  <si>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</si>
  <si>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</si>
  <si>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</si>
  <si>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</si>
  <si>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</si>
  <si>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</si>
  <si>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</si>
  <si>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</si>
  <si>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</si>
  <si>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</si>
  <si>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</si>
  <si>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</si>
  <si>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</si>
  <si>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</si>
  <si>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</si>
  <si>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</si>
  <si>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</si>
  <si>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</si>
  <si>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</si>
  <si>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</si>
  <si>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</si>
  <si>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</si>
  <si>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</si>
  <si>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</si>
  <si>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</si>
  <si>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</si>
  <si>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</si>
  <si>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</si>
  <si>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</si>
  <si>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</si>
  <si>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</si>
  <si>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</si>
  <si>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</si>
  <si>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</si>
  <si>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</si>
  <si>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</si>
  <si>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</si>
  <si>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</si>
  <si>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</si>
  <si>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</si>
  <si>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</si>
  <si>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</si>
  <si>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</si>
  <si>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</si>
  <si>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</si>
  <si>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</si>
  <si>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</si>
  <si>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</si>
  <si>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</si>
  <si>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</si>
  <si>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</si>
  <si>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</si>
  <si>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</si>
  <si>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</si>
  <si>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</si>
  <si>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</si>
  <si>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</si>
  <si>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</si>
  <si>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</si>
  <si>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</si>
  <si>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</si>
  <si>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</si>
  <si>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</si>
  <si>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</si>
  <si>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</si>
  <si>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</si>
  <si>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</si>
  <si>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</si>
  <si>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</si>
  <si>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</si>
  <si>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</si>
  <si>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</si>
  <si>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</si>
  <si>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</si>
  <si>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</si>
  <si>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</si>
  <si>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</si>
  <si>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</si>
  <si>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</si>
  <si>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</si>
  <si>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</si>
  <si>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</si>
  <si>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</si>
  <si>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</si>
  <si>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</si>
  <si>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</si>
  <si>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</si>
  <si>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</si>
  <si>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</si>
  <si>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</si>
  <si>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</si>
  <si>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</si>
  <si>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</si>
  <si>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</si>
  <si>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</si>
  <si>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</si>
  <si>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</si>
  <si>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</si>
  <si>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</si>
  <si>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</si>
  <si>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</si>
  <si>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</si>
  <si>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</si>
  <si>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</si>
  <si>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</si>
  <si>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</si>
  <si>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</si>
  <si>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</si>
  <si>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</si>
  <si>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</si>
  <si>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</si>
  <si>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</si>
  <si>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</si>
  <si>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</si>
  <si>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</si>
  <si>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</si>
  <si>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</si>
  <si>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</si>
  <si>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</si>
  <si>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</si>
  <si>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</si>
  <si>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</si>
  <si>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</si>
  <si>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</si>
  <si>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</si>
  <si>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</si>
  <si>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</si>
  <si>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</si>
  <si>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</si>
  <si>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</si>
  <si>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</si>
  <si>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</si>
  <si>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</si>
  <si>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</si>
  <si>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</si>
  <si>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</si>
  <si>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</si>
  <si>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</si>
  <si>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</si>
  <si>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</si>
  <si>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</si>
  <si>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</si>
  <si>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</si>
  <si>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</si>
  <si>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</si>
  <si>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</si>
  <si>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</si>
  <si>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</si>
  <si>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</si>
  <si>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</si>
  <si>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</si>
  <si>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</si>
  <si>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</si>
  <si>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</si>
  <si>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</si>
  <si>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</si>
  <si>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</si>
  <si>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</si>
  <si>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</si>
  <si>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</si>
  <si>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</si>
  <si>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</si>
  <si>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</si>
  <si>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</si>
  <si>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</si>
  <si>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</si>
  <si>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</si>
  <si>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</si>
  <si>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</si>
  <si>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</si>
  <si>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</si>
  <si>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</si>
  <si>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</si>
  <si>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</si>
  <si>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</si>
  <si>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</si>
  <si>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</si>
  <si>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</si>
  <si>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</si>
  <si>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</si>
  <si>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</si>
  <si>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</si>
  <si>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</si>
  <si>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</si>
  <si>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</si>
  <si>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</si>
  <si>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</si>
  <si>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</si>
  <si>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</si>
  <si>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</si>
  <si>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</si>
  <si>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</si>
  <si>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</si>
  <si>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</si>
  <si>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</si>
  <si>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</si>
  <si>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</si>
  <si>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</si>
  <si>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</si>
  <si>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</si>
  <si>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</si>
  <si>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</si>
  <si>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</si>
  <si>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</si>
  <si>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</si>
  <si>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</si>
  <si>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</si>
  <si>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</si>
  <si>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</si>
  <si>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</si>
  <si>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</si>
  <si>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</si>
  <si>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</si>
  <si>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</si>
  <si>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</si>
  <si>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</si>
  <si>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</si>
  <si>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</si>
  <si>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</si>
  <si>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</si>
  <si>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</si>
  <si>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</si>
  <si>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</si>
  <si>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</si>
  <si>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</si>
  <si>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</si>
  <si>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</si>
  <si>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</si>
  <si>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</si>
  <si>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</si>
  <si>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</si>
  <si>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</si>
  <si>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</si>
  <si>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</si>
  <si>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</si>
  <si>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</si>
  <si>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</si>
  <si>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</si>
  <si>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</si>
  <si>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</si>
  <si>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</si>
  <si>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</si>
  <si>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</si>
  <si>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</si>
  <si>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</si>
  <si>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</si>
  <si>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</si>
  <si>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</si>
  <si>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</si>
  <si>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</si>
  <si>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</si>
  <si>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</si>
  <si>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</si>
  <si>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</si>
  <si>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</si>
  <si>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</si>
  <si>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</si>
  <si>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</si>
  <si>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</si>
  <si>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</si>
  <si>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</si>
  <si>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</si>
  <si>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</si>
  <si>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</si>
  <si>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</si>
  <si>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</si>
  <si>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</si>
  <si>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</si>
  <si>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</si>
  <si>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</si>
  <si>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</si>
  <si>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</si>
  <si>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 xml:space="preserve">Meridian at Corona Station </t>
  </si>
  <si>
    <t>June</t>
  </si>
  <si>
    <t>Arcata</t>
  </si>
  <si>
    <t>Member</t>
  </si>
  <si>
    <t xml:space="preserve">Daniel J. Johnson </t>
  </si>
  <si>
    <t xml:space="preserve">Housing Administrator </t>
  </si>
  <si>
    <t>Bonnie Gaebler</t>
  </si>
  <si>
    <t>11 English Street/P.O. Box 61</t>
  </si>
  <si>
    <t xml:space="preserve">Petaluma </t>
  </si>
  <si>
    <t>(707)778-455</t>
  </si>
  <si>
    <t>(707)778-4586</t>
  </si>
  <si>
    <t>bgaebler@ci.petaluma.ca.us</t>
  </si>
  <si>
    <t>890 N. McDowell Boulevard</t>
  </si>
  <si>
    <t>137- 061- 019</t>
  </si>
  <si>
    <t>40%/60%</t>
  </si>
  <si>
    <t>5251 Ericson Way</t>
  </si>
  <si>
    <t>CA</t>
  </si>
  <si>
    <t>Chris Dart</t>
  </si>
  <si>
    <t>cdart@danco-group.com</t>
  </si>
  <si>
    <t>Danco Communities</t>
  </si>
  <si>
    <t>Communitiy Revitalization and Development Corporation</t>
  </si>
  <si>
    <t>Administrative GP</t>
  </si>
  <si>
    <t>635 Parkview Avenue</t>
  </si>
  <si>
    <t>Redding</t>
  </si>
  <si>
    <t>David Rutledge</t>
  </si>
  <si>
    <t>crdc@shasta.com</t>
  </si>
  <si>
    <t>Johnson &amp; Johnson Investments, LLC</t>
  </si>
  <si>
    <t xml:space="preserve">Danco Communities </t>
  </si>
  <si>
    <t>(707)822-9000</t>
  </si>
  <si>
    <t>(707)822-9596</t>
  </si>
  <si>
    <t>Arcata, CA 95521</t>
  </si>
  <si>
    <t>McKenzie Dibble</t>
  </si>
  <si>
    <t>mdibble@danco-group.com</t>
  </si>
  <si>
    <t>Developer</t>
  </si>
  <si>
    <t>707-825-1531</t>
  </si>
  <si>
    <t>707-822-9596</t>
  </si>
  <si>
    <t>Rowell Brokaw Architects</t>
  </si>
  <si>
    <t>1203 Willamette, Suite 210</t>
  </si>
  <si>
    <t>Eugene, Oregon, 97401</t>
  </si>
  <si>
    <t>Frank Visconti</t>
  </si>
  <si>
    <t xml:space="preserve">914 482 0005 </t>
  </si>
  <si>
    <t>frank@rowellbrokaw.com</t>
  </si>
  <si>
    <t>Odu &amp; Associates</t>
  </si>
  <si>
    <t>31805 Temecula Pkwy #720</t>
  </si>
  <si>
    <t>Temecula, CA 92592-8203</t>
  </si>
  <si>
    <t>Nkechi Odu</t>
  </si>
  <si>
    <t>nkechi@odulaw.com</t>
  </si>
  <si>
    <t>Danco Builders Northwest</t>
  </si>
  <si>
    <t>(707)825-1531</t>
  </si>
  <si>
    <t>Bowman &amp; Company LLC</t>
  </si>
  <si>
    <t>10100 Trinity Parkway, Suite 310</t>
  </si>
  <si>
    <t>Stockton, CA 952119</t>
  </si>
  <si>
    <t>Daryl Petrick</t>
  </si>
  <si>
    <t>209-473-1040</t>
  </si>
  <si>
    <t>209-473-9771</t>
  </si>
  <si>
    <t>dpetrick@cpabowman.com</t>
  </si>
  <si>
    <t>Redwood Energy</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</si>
  <si>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</si>
  <si>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</si>
  <si>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</si>
  <si>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</si>
  <si>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</si>
  <si>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</si>
  <si>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</si>
  <si>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</si>
  <si>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</si>
  <si>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</si>
  <si>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</si>
  <si>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</si>
  <si>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</si>
  <si>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</si>
  <si>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</si>
  <si>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</si>
  <si>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</si>
  <si>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Lomas Corona Station LLC</t>
  </si>
  <si>
    <t>Todd Kurtin</t>
  </si>
  <si>
    <t>13848 Weddington Street</t>
  </si>
  <si>
    <t>Sherman Oaks, CA 91401</t>
  </si>
  <si>
    <t>Detached 2/3/4 Family</t>
  </si>
  <si>
    <t xml:space="preserve">Multifamily Residential </t>
  </si>
  <si>
    <t>MU1B zone with Flood Plain -Combining (FP-C) Overlay</t>
  </si>
  <si>
    <t>40 units/acre</t>
  </si>
  <si>
    <t>Safeway</t>
  </si>
  <si>
    <t>701 Sonoma Mountain Pkwy
Petaluma, CA 94954</t>
  </si>
  <si>
    <t>Petaluma, CA</t>
  </si>
  <si>
    <t>Natalie Nattei</t>
  </si>
  <si>
    <t>Safeway.com</t>
  </si>
  <si>
    <t>0.8 mi</t>
  </si>
  <si>
    <t>Meadow School</t>
  </si>
  <si>
    <t>880 Maria Dr</t>
  </si>
  <si>
    <t>Sharon Battaglia</t>
  </si>
  <si>
    <t>https://wesd-ca.schoolloop.com/</t>
  </si>
  <si>
    <t>.5 mi</t>
  </si>
  <si>
    <t>Petaluma Health Center</t>
  </si>
  <si>
    <t>1179  N McDowell Blvd</t>
  </si>
  <si>
    <t>Petaluma, CA 94954</t>
  </si>
  <si>
    <t>Pedro Toledo</t>
  </si>
  <si>
    <t>phealthcenter.org</t>
  </si>
  <si>
    <t>0.4 mi</t>
  </si>
  <si>
    <t>Turnbridge Park</t>
  </si>
  <si>
    <t>Sonoma Mtn Pkwy at Wellington Pl</t>
  </si>
  <si>
    <t>Heather Hines</t>
  </si>
  <si>
    <t>https://cityofpetaluma.org/departments/parks-recreation/</t>
  </si>
  <si>
    <t>0.2 mi</t>
  </si>
  <si>
    <t>Bus Stop</t>
  </si>
  <si>
    <t>McDowell at Corona</t>
  </si>
  <si>
    <t>Jared Hall</t>
  </si>
  <si>
    <t>707-778-4460</t>
  </si>
  <si>
    <t>https://transit.cityofpetaluma.net/</t>
  </si>
  <si>
    <t>0.1 mi</t>
  </si>
  <si>
    <t xml:space="preserve">Petaluma Corona Station LP </t>
  </si>
  <si>
    <t>NA</t>
  </si>
  <si>
    <t>City of Petaluma</t>
  </si>
  <si>
    <t>Danco Communities - Developer Fee</t>
  </si>
  <si>
    <t>Danco Communities - Excess Land</t>
  </si>
  <si>
    <t>Pacific Western Bank Construction Loan</t>
  </si>
  <si>
    <t>275 North Brea Boulevard</t>
  </si>
  <si>
    <t>Brea, CA 92821</t>
  </si>
  <si>
    <t>Dan Bronfman</t>
  </si>
  <si>
    <t>925-386-0760</t>
  </si>
  <si>
    <t>Conventional</t>
  </si>
  <si>
    <t>Pacific Western Bank Perm Loan</t>
  </si>
  <si>
    <t>Developer Capital - Excess Land</t>
  </si>
  <si>
    <t>Solar Tax Credit Equity</t>
  </si>
  <si>
    <t xml:space="preserve">Developer Note </t>
  </si>
  <si>
    <t>St. Petersburg, FL</t>
  </si>
  <si>
    <t>216-5091342</t>
  </si>
  <si>
    <t>Equity</t>
  </si>
  <si>
    <t>707-822-9000</t>
  </si>
  <si>
    <t xml:space="preserve">11 English Street/P.O. Box 61 </t>
  </si>
  <si>
    <t>Soft</t>
  </si>
  <si>
    <t>Developer Note</t>
  </si>
  <si>
    <t>Developer Capital</t>
  </si>
  <si>
    <t>CUAC</t>
  </si>
  <si>
    <t>California Utility Allowance Calculator</t>
  </si>
  <si>
    <t xml:space="preserve">City of Petaluma </t>
  </si>
  <si>
    <t>Tax Credit Equity</t>
  </si>
  <si>
    <t xml:space="preserve">Equity </t>
  </si>
  <si>
    <t>Inspection Fees</t>
  </si>
  <si>
    <t xml:space="preserve">Borrower's Attorney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</si>
</sst>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8"/>
      <color theme="3"/>
      <name val="Cambri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872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4" fontId="4" fillId="0" borderId="0" applyFont="0" applyFill="0" applyBorder="0" applyAlignment="0" applyProtection="0"/>
    <xf numFmtId="0" fontId="4"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4"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13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03"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4" fontId="4"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9" fillId="0" borderId="0" xfId="0" applyFont="1" applyBorder="1" applyProtection="1">
      <protection locked="0"/>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3"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Font="1" applyAlignment="1">
      <alignment horizontal="center"/>
    </xf>
    <xf numFmtId="169" fontId="13" fillId="0" borderId="0" xfId="273" applyNumberFormat="1" applyFont="1" applyAlignment="1">
      <alignment horizontal="center"/>
    </xf>
    <xf numFmtId="0" fontId="13" fillId="7" borderId="0" xfId="273" applyFont="1" applyFill="1"/>
    <xf numFmtId="169" fontId="13" fillId="7" borderId="0" xfId="273" applyNumberFormat="1" applyFont="1" applyFill="1"/>
    <xf numFmtId="3" fontId="13" fillId="7" borderId="0" xfId="273" applyNumberFormat="1" applyFont="1" applyFill="1"/>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0" fillId="0" borderId="5" xfId="273" applyNumberFormat="1" applyFont="1" applyBorder="1"/>
    <xf numFmtId="3" fontId="13" fillId="7" borderId="5" xfId="273" applyNumberFormat="1" applyFont="1" applyFill="1" applyBorder="1"/>
    <xf numFmtId="173" fontId="13" fillId="0" borderId="0" xfId="273" applyNumberFormat="1" applyFont="1" applyAlignment="1">
      <alignment horizontal="center"/>
    </xf>
    <xf numFmtId="10" fontId="71"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4"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4" fillId="0" borderId="0" xfId="546" applyFont="1" applyBorder="1" applyAlignment="1" applyProtection="1"/>
    <xf numFmtId="173" fontId="13" fillId="7" borderId="0" xfId="273" applyNumberFormat="1" applyFont="1" applyFill="1" applyAlignment="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7" fillId="0" borderId="0" xfId="273" applyFont="1" applyFill="1" applyProtection="1"/>
    <xf numFmtId="0" fontId="57"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7"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9" fillId="0" borderId="2" xfId="273" applyNumberFormat="1" applyFont="1" applyBorder="1" applyAlignment="1" applyProtection="1"/>
    <xf numFmtId="0" fontId="57" fillId="0" borderId="5" xfId="273" applyFont="1" applyBorder="1" applyAlignment="1" applyProtection="1">
      <alignment horizontal="right"/>
    </xf>
    <xf numFmtId="0" fontId="9"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7"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7"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0"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0" fillId="0" borderId="0" xfId="0" applyFont="1" applyProtection="1"/>
    <xf numFmtId="0" fontId="5" fillId="0" borderId="0" xfId="245" quotePrefix="1" applyAlignment="1" applyProtection="1">
      <alignment horizontal="left"/>
    </xf>
    <xf numFmtId="0" fontId="106"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5" fillId="0" borderId="12" xfId="545" applyFont="1" applyBorder="1" applyAlignment="1" applyProtection="1">
      <alignment horizontal="left"/>
    </xf>
    <xf numFmtId="0" fontId="51" fillId="0" borderId="13" xfId="0" applyFont="1" applyBorder="1" applyAlignment="1" applyProtection="1">
      <alignment vertical="top" wrapText="1"/>
    </xf>
    <xf numFmtId="0" fontId="84"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68"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7"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0" fillId="7" borderId="5" xfId="0" applyFill="1" applyBorder="1" applyAlignment="1" applyProtection="1">
      <protection locked="0"/>
    </xf>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6"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27" fillId="0" borderId="0" xfId="0" applyFont="1" applyBorder="1" applyAlignment="1" applyProtection="1">
      <alignment vertical="top" wrapText="1"/>
    </xf>
    <xf numFmtId="0" fontId="13" fillId="0" borderId="0" xfId="0" applyFont="1" applyFill="1" applyAlignment="1">
      <alignment horizontal="left" vertical="top" wrapText="1"/>
    </xf>
    <xf numFmtId="0" fontId="0" fillId="7" borderId="5" xfId="0" applyFill="1" applyBorder="1" applyAlignment="1" applyProtection="1">
      <protection locked="0"/>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111"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0" fontId="0" fillId="7" borderId="5" xfId="0" applyFill="1" applyBorder="1" applyAlignment="1" applyProtection="1">
      <protection locked="0"/>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5"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5"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7"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0" fillId="7" borderId="5" xfId="0" applyFill="1" applyBorder="1" applyAlignment="1" applyProtection="1">
      <protection locked="0"/>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3" fillId="0" borderId="0" xfId="573" applyNumberFormat="1" applyFont="1" applyFill="1"/>
    <xf numFmtId="169" fontId="9" fillId="7" borderId="5" xfId="273" applyNumberFormat="1" applyFont="1" applyFill="1" applyBorder="1" applyAlignment="1" applyProtection="1">
      <alignment horizontal="right"/>
      <protection locked="0"/>
    </xf>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9" fillId="0" borderId="0" xfId="273" applyFont="1" applyBorder="1" applyAlignment="1" applyProtection="1">
      <alignment wrapText="1"/>
    </xf>
    <xf numFmtId="0" fontId="57"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58" fillId="0" borderId="0" xfId="273" applyFont="1" applyAlignment="1" applyProtection="1">
      <alignment horizontal="center" vertical="top"/>
    </xf>
    <xf numFmtId="0" fontId="107"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6"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0" fillId="7" borderId="5" xfId="0" applyFill="1" applyBorder="1" applyAlignment="1" applyProtection="1">
      <protection locked="0"/>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0" fillId="7" borderId="5" xfId="0" applyFill="1" applyBorder="1" applyAlignment="1" applyProtection="1">
      <protection locked="0"/>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2" borderId="0" xfId="0" applyNumberFormat="1" applyFont="1" applyFill="1"/>
    <xf numFmtId="2" fontId="13" fillId="0" borderId="12" xfId="273" applyNumberFormat="1" applyFont="1" applyFill="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applyFill="1"/>
    <xf numFmtId="169" fontId="13" fillId="0" borderId="12" xfId="273" applyNumberFormat="1" applyFont="1" applyBorder="1" applyAlignment="1">
      <alignment horizontal="center"/>
    </xf>
    <xf numFmtId="10" fontId="13" fillId="0" borderId="12" xfId="273" applyNumberFormat="1" applyFont="1" applyBorder="1" applyAlignment="1">
      <alignment horizontal="center"/>
    </xf>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09"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09"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27" fillId="0" borderId="0" xfId="575" applyFont="1"/>
    <xf numFmtId="0" fontId="127" fillId="0" borderId="0" xfId="575" applyFont="1" applyAlignment="1">
      <alignment wrapText="1"/>
    </xf>
    <xf numFmtId="0" fontId="128" fillId="0" borderId="0" xfId="575" applyFont="1"/>
    <xf numFmtId="0" fontId="127" fillId="0" borderId="0" xfId="575" applyFont="1" applyBorder="1"/>
    <xf numFmtId="0" fontId="127" fillId="0" borderId="0" xfId="575" applyFont="1" applyFill="1" applyBorder="1"/>
    <xf numFmtId="180" fontId="129" fillId="0" borderId="0" xfId="576" applyNumberFormat="1" applyFont="1"/>
    <xf numFmtId="0" fontId="130" fillId="0" borderId="0" xfId="575" applyFont="1" applyAlignment="1">
      <alignment vertical="center" wrapText="1"/>
    </xf>
    <xf numFmtId="0" fontId="5" fillId="0" borderId="0" xfId="245" applyFont="1"/>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0" fontId="127" fillId="0" borderId="0" xfId="575" applyFont="1" applyFill="1" applyAlignment="1"/>
    <xf numFmtId="181" fontId="127" fillId="0" borderId="0" xfId="575" applyNumberFormat="1" applyFont="1"/>
    <xf numFmtId="181" fontId="127" fillId="0" borderId="0" xfId="575" applyNumberFormat="1" applyFont="1" applyFill="1" applyBorder="1"/>
    <xf numFmtId="0" fontId="127" fillId="0" borderId="0" xfId="575" applyFont="1" applyAlignment="1">
      <alignment horizontal="center"/>
    </xf>
    <xf numFmtId="0" fontId="127" fillId="0" borderId="0" xfId="575" applyFont="1" applyFill="1" applyBorder="1" applyAlignment="1">
      <alignment horizontal="center"/>
    </xf>
    <xf numFmtId="0" fontId="132" fillId="0" borderId="0" xfId="575" applyFont="1" applyFill="1"/>
    <xf numFmtId="0" fontId="133" fillId="0" borderId="0" xfId="575" applyFont="1" applyFill="1"/>
    <xf numFmtId="0" fontId="127" fillId="0" borderId="0" xfId="575" applyFont="1" applyFill="1"/>
    <xf numFmtId="0" fontId="127" fillId="0" borderId="0" xfId="575" applyFont="1" applyFill="1" applyAlignment="1">
      <alignment horizontal="left"/>
    </xf>
    <xf numFmtId="2" fontId="127" fillId="0" borderId="0" xfId="575" applyNumberFormat="1" applyFont="1" applyFill="1" applyBorder="1" applyAlignment="1">
      <alignment horizontal="center"/>
    </xf>
    <xf numFmtId="180" fontId="127" fillId="0" borderId="0" xfId="575" applyNumberFormat="1" applyFont="1"/>
    <xf numFmtId="0" fontId="128" fillId="0" borderId="0" xfId="575" applyFont="1" applyFill="1" applyBorder="1"/>
    <xf numFmtId="7" fontId="128" fillId="0" borderId="0" xfId="575" applyNumberFormat="1" applyFont="1" applyFill="1" applyBorder="1"/>
    <xf numFmtId="165" fontId="129" fillId="0" borderId="0" xfId="577" applyNumberFormat="1" applyFont="1"/>
    <xf numFmtId="165" fontId="129" fillId="0" borderId="0" xfId="577" applyNumberFormat="1" applyFont="1" applyFill="1" applyBorder="1"/>
    <xf numFmtId="0" fontId="127" fillId="0" borderId="0" xfId="575" applyFont="1" applyFill="1" applyAlignment="1">
      <alignment vertical="top" wrapText="1"/>
    </xf>
    <xf numFmtId="0" fontId="4" fillId="51" borderId="0" xfId="574" applyFill="1" applyBorder="1" applyProtection="1"/>
    <xf numFmtId="0" fontId="4" fillId="51" borderId="0" xfId="766" applyFill="1" applyBorder="1" applyProtection="1"/>
    <xf numFmtId="0" fontId="4" fillId="51" borderId="0" xfId="766" applyFill="1" applyBorder="1" applyProtection="1"/>
    <xf numFmtId="0" fontId="4" fillId="51" borderId="0" xfId="766" applyFont="1" applyFill="1" applyBorder="1" applyProtection="1"/>
    <xf numFmtId="169" fontId="127" fillId="0" borderId="0" xfId="577" applyNumberFormat="1" applyFont="1" applyFill="1" applyBorder="1" applyAlignment="1" applyProtection="1">
      <alignment vertical="center"/>
    </xf>
    <xf numFmtId="5" fontId="127" fillId="52" borderId="5" xfId="164" applyNumberFormat="1" applyFont="1" applyFill="1" applyBorder="1" applyAlignment="1" applyProtection="1">
      <protection locked="0"/>
    </xf>
    <xf numFmtId="0" fontId="128" fillId="0" borderId="0" xfId="575" applyFont="1" applyAlignment="1">
      <alignment wrapText="1"/>
    </xf>
    <xf numFmtId="0" fontId="11" fillId="0" borderId="0" xfId="546" applyFont="1" applyFill="1" applyProtection="1"/>
    <xf numFmtId="0" fontId="134" fillId="0" borderId="0" xfId="0" applyFont="1" applyProtection="1"/>
    <xf numFmtId="0" fontId="4" fillId="0" borderId="0" xfId="0" applyFont="1" applyAlignment="1">
      <alignment horizontal="left"/>
    </xf>
    <xf numFmtId="0" fontId="4" fillId="0" borderId="0" xfId="273" applyFont="1" applyFill="1" applyBorder="1" applyAlignment="1" applyProtection="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Border="1" applyAlignment="1" applyProtection="1">
      <alignment horizontal="left"/>
    </xf>
    <xf numFmtId="0" fontId="13" fillId="0" borderId="0" xfId="0" applyFont="1" applyAlignment="1">
      <alignment horizontal="left" vertical="top" wrapText="1"/>
    </xf>
    <xf numFmtId="0" fontId="13" fillId="0" borderId="0" xfId="0" applyFont="1" applyAlignment="1">
      <alignment horizontal="left" vertical="top"/>
    </xf>
    <xf numFmtId="0" fontId="11" fillId="0" borderId="0" xfId="0" applyFont="1" applyAlignment="1">
      <alignment horizontal="left" vertical="top"/>
    </xf>
    <xf numFmtId="0" fontId="4" fillId="0" borderId="0" xfId="0" applyFont="1" applyAlignment="1" applyProtection="1">
      <alignment vertical="top"/>
    </xf>
    <xf numFmtId="0" fontId="11" fillId="0" borderId="0" xfId="766" applyFont="1" applyAlignment="1">
      <alignment vertical="top"/>
    </xf>
    <xf numFmtId="0" fontId="11" fillId="0" borderId="0" xfId="273" applyFont="1" applyFill="1" applyAlignment="1" applyProtection="1"/>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Font="1" applyFill="1" applyAlignment="1">
      <alignment vertical="top" wrapText="1"/>
    </xf>
    <xf numFmtId="0" fontId="13" fillId="0" borderId="0" xfId="259" applyFont="1" applyAlignment="1">
      <alignment vertical="top" wrapText="1"/>
    </xf>
    <xf numFmtId="0" fontId="4" fillId="0" borderId="0" xfId="0" applyFont="1" applyAlignment="1">
      <alignment vertical="top"/>
    </xf>
    <xf numFmtId="0" fontId="115" fillId="0" borderId="0" xfId="0" applyFont="1"/>
    <xf numFmtId="0" fontId="0" fillId="7" borderId="4" xfId="0" applyFill="1" applyBorder="1" applyAlignment="1" applyProtection="1">
      <alignment horizontal="left"/>
      <protection locked="0"/>
    </xf>
    <xf numFmtId="0" fontId="4" fillId="7" borderId="5" xfId="0" applyFont="1" applyFill="1" applyBorder="1" applyAlignment="1" applyProtection="1">
      <protection locked="0"/>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0" applyFont="1" applyBorder="1" applyAlignment="1">
      <alignment horizontal="left" vertical="top"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4" fillId="0" borderId="0" xfId="0" applyFont="1" applyBorder="1" applyAlignment="1">
      <alignment horizontal="left" wrapText="1"/>
    </xf>
    <xf numFmtId="0" fontId="13" fillId="0" borderId="0" xfId="0" applyFont="1" applyBorder="1" applyAlignment="1">
      <alignment horizontal="left" wrapText="1"/>
    </xf>
    <xf numFmtId="0" fontId="112"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09"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13"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xf numFmtId="0" fontId="4" fillId="0" borderId="0" xfId="0" applyFont="1" applyAlignment="1" applyProtection="1">
      <alignment vertical="top" wrapText="1"/>
    </xf>
    <xf numFmtId="0" fontId="4" fillId="0" borderId="0" xfId="0" applyFont="1" applyAlignment="1" applyProtection="1">
      <alignment horizontal="left" wrapText="1"/>
    </xf>
    <xf numFmtId="0" fontId="4" fillId="0" borderId="0" xfId="259" applyFont="1" applyFill="1" applyAlignment="1">
      <alignment vertical="top" wrapText="1"/>
    </xf>
    <xf numFmtId="0" fontId="13" fillId="0" borderId="0" xfId="259" applyFont="1" applyFill="1" applyAlignment="1">
      <alignment vertical="top" wrapText="1"/>
    </xf>
    <xf numFmtId="0" fontId="4" fillId="0" borderId="0" xfId="259" applyFont="1" applyAlignment="1">
      <alignment vertical="top" wrapText="1"/>
    </xf>
    <xf numFmtId="0" fontId="4" fillId="0" borderId="0" xfId="0" applyFont="1" applyAlignment="1">
      <alignment vertical="top" wrapText="1"/>
    </xf>
    <xf numFmtId="0" fontId="11" fillId="0" borderId="0" xfId="0" applyFont="1" applyAlignment="1">
      <alignment vertical="top" wrapText="1"/>
    </xf>
    <xf numFmtId="0" fontId="13" fillId="0" borderId="0" xfId="0" applyFont="1" applyAlignment="1" applyProtection="1">
      <alignment horizontal="left" vertical="top" wrapText="1"/>
    </xf>
    <xf numFmtId="0" fontId="13" fillId="0" borderId="0" xfId="273" applyFont="1" applyFill="1" applyBorder="1" applyAlignment="1" applyProtection="1">
      <alignment horizontal="left" vertical="top" wrapText="1"/>
    </xf>
    <xf numFmtId="0" fontId="13" fillId="0" borderId="0" xfId="0" applyFont="1"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0" applyFont="1" applyAlignment="1" applyProtection="1">
      <alignment horizontal="left" vertical="top" wrapText="1"/>
    </xf>
    <xf numFmtId="0" fontId="4" fillId="0" borderId="0" xfId="278" applyFont="1" applyAlignment="1" applyProtection="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pplyProtection="1">
      <alignment horizontal="left"/>
    </xf>
    <xf numFmtId="0" fontId="23" fillId="0" borderId="0" xfId="0" applyFont="1" applyAlignment="1">
      <alignment horizontal="left"/>
    </xf>
    <xf numFmtId="0" fontId="4" fillId="0" borderId="0" xfId="0" applyFont="1" applyFill="1" applyAlignment="1">
      <alignment horizontal="left" vertical="top" wrapText="1"/>
    </xf>
    <xf numFmtId="0" fontId="23" fillId="0" borderId="0" xfId="0" applyFont="1" applyAlignment="1">
      <alignment horizontal="left" vertical="top" wrapText="1"/>
    </xf>
    <xf numFmtId="4" fontId="13" fillId="0" borderId="0" xfId="273" applyNumberFormat="1" applyFont="1" applyAlignment="1" applyProtection="1">
      <alignment horizontal="left" vertical="top" wrapText="1"/>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4" fontId="13" fillId="0" borderId="0" xfId="273" applyNumberFormat="1" applyFont="1" applyFill="1" applyAlignment="1" applyProtection="1">
      <alignment horizontal="left" vertical="top" wrapText="1"/>
    </xf>
    <xf numFmtId="0" fontId="11" fillId="0" borderId="0" xfId="0" applyFont="1" applyAlignment="1">
      <alignment horizontal="left" vertical="top"/>
    </xf>
    <xf numFmtId="4" fontId="4" fillId="0" borderId="0" xfId="0" applyNumberFormat="1" applyFont="1" applyFill="1" applyAlignment="1" applyProtection="1">
      <alignment horizontal="left" vertical="top" wrapText="1"/>
    </xf>
    <xf numFmtId="0" fontId="13" fillId="0" borderId="0" xfId="273" applyFont="1" applyBorder="1" applyAlignment="1" applyProtection="1">
      <alignment horizontal="left" vertical="top" wrapText="1"/>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4" fillId="0" borderId="0" xfId="259" applyFont="1" applyAlignment="1">
      <alignment horizontal="left" vertical="top" wrapText="1"/>
    </xf>
    <xf numFmtId="0" fontId="11" fillId="0" borderId="6" xfId="0" applyFont="1" applyFill="1" applyBorder="1" applyAlignment="1" applyProtection="1">
      <alignment horizontal="left"/>
    </xf>
    <xf numFmtId="0" fontId="11" fillId="0" borderId="0" xfId="0" applyFont="1" applyAlignment="1">
      <alignment horizontal="left"/>
    </xf>
    <xf numFmtId="0" fontId="13" fillId="0" borderId="42" xfId="0" applyFont="1" applyBorder="1" applyAlignment="1">
      <alignment horizontal="left"/>
    </xf>
    <xf numFmtId="0" fontId="4"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0" fontId="4" fillId="0" borderId="0" xfId="0" applyFont="1" applyFill="1" applyAlignment="1" applyProtection="1">
      <alignment horizontal="left" vertical="top" wrapText="1"/>
    </xf>
    <xf numFmtId="0" fontId="13" fillId="0" borderId="0" xfId="0" applyFont="1" applyFill="1" applyAlignment="1" applyProtection="1">
      <alignment horizontal="left" vertical="top" wrapText="1"/>
    </xf>
    <xf numFmtId="0" fontId="4" fillId="0" borderId="0" xfId="0" applyFont="1"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Fill="1" applyAlignment="1">
      <alignment horizontal="left" vertical="top" wrapText="1"/>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0" applyFont="1" applyFill="1" applyBorder="1" applyAlignment="1" applyProtection="1">
      <alignment horizontal="left" vertical="top" wrapText="1"/>
    </xf>
    <xf numFmtId="0" fontId="13" fillId="0" borderId="0" xfId="273" applyFont="1" applyAlignment="1">
      <alignment horizontal="left" wrapText="1"/>
    </xf>
    <xf numFmtId="0" fontId="11" fillId="0" borderId="4" xfId="0" applyFont="1" applyFill="1" applyBorder="1" applyAlignment="1" applyProtection="1">
      <alignment horizontal="left"/>
    </xf>
    <xf numFmtId="0" fontId="11" fillId="0" borderId="4" xfId="0" applyFont="1" applyBorder="1" applyAlignment="1" applyProtection="1">
      <alignment horizontal="left" vertical="top"/>
    </xf>
    <xf numFmtId="4" fontId="4" fillId="0" borderId="0" xfId="0" applyNumberFormat="1" applyFont="1" applyAlignment="1" applyProtection="1">
      <alignment horizontal="left" vertical="top" wrapText="1"/>
    </xf>
    <xf numFmtId="4" fontId="13" fillId="0" borderId="0" xfId="0" applyNumberFormat="1" applyFont="1" applyAlignment="1" applyProtection="1">
      <alignment horizontal="left" vertical="top" wrapText="1"/>
    </xf>
    <xf numFmtId="0" fontId="0" fillId="0" borderId="0" xfId="0" applyAlignment="1">
      <alignment horizontal="left" vertical="top" wrapText="1"/>
    </xf>
    <xf numFmtId="0" fontId="4" fillId="0" borderId="0" xfId="259" applyFont="1" applyFill="1" applyAlignment="1">
      <alignment horizontal="left" vertical="top" wrapText="1"/>
    </xf>
    <xf numFmtId="0" fontId="4" fillId="0" borderId="0" xfId="766" applyAlignment="1">
      <alignment horizontal="left"/>
    </xf>
    <xf numFmtId="0" fontId="13" fillId="0" borderId="0" xfId="0" applyFont="1" applyBorder="1" applyAlignment="1">
      <alignment horizontal="left" vertical="top"/>
    </xf>
    <xf numFmtId="0" fontId="13" fillId="0" borderId="0" xfId="0" applyFont="1" applyFill="1" applyAlignment="1">
      <alignment horizontal="left" vertical="top"/>
    </xf>
    <xf numFmtId="0" fontId="11" fillId="0" borderId="0" xfId="273" applyFont="1" applyFill="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0" fontId="13" fillId="0" borderId="0" xfId="0" applyFont="1" applyFill="1" applyAlignment="1">
      <alignment horizontal="left"/>
    </xf>
    <xf numFmtId="4" fontId="23" fillId="0" borderId="0" xfId="0" applyNumberFormat="1" applyFont="1" applyFill="1" applyAlignment="1" applyProtection="1">
      <alignment horizontal="left"/>
    </xf>
    <xf numFmtId="4" fontId="4" fillId="0" borderId="0" xfId="0" applyNumberFormat="1" applyFont="1" applyFill="1" applyAlignment="1" applyProtection="1">
      <alignment horizontal="left"/>
    </xf>
    <xf numFmtId="0" fontId="23" fillId="0" borderId="0" xfId="0" applyFont="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xf>
    <xf numFmtId="0" fontId="5" fillId="0" borderId="0" xfId="245" applyNumberFormat="1" applyFill="1" applyAlignment="1" applyProtection="1">
      <alignment horizontal="left"/>
      <protection locked="0"/>
    </xf>
    <xf numFmtId="0" fontId="39" fillId="0" borderId="0" xfId="0" applyFont="1" applyBorder="1" applyAlignment="1">
      <alignment horizontal="left" vertical="top"/>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5" fillId="0" borderId="0" xfId="245" quotePrefix="1" applyAlignment="1" applyProtection="1">
      <alignment horizontal="left"/>
    </xf>
    <xf numFmtId="4" fontId="13" fillId="0" borderId="0" xfId="0" applyNumberFormat="1" applyFont="1" applyFill="1" applyAlignment="1" applyProtection="1">
      <alignment horizontal="left" vertical="top" wrapText="1"/>
    </xf>
    <xf numFmtId="49" fontId="13" fillId="0" borderId="0" xfId="0" applyNumberFormat="1" applyFont="1" applyFill="1" applyAlignment="1">
      <alignment horizontal="left" vertical="top" wrapText="1"/>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23" fillId="0" borderId="0" xfId="0" applyFont="1" applyBorder="1" applyAlignment="1">
      <alignment horizontal="left"/>
    </xf>
    <xf numFmtId="4" fontId="5" fillId="0" borderId="0" xfId="245" applyNumberFormat="1" applyFill="1" applyAlignment="1" applyProtection="1">
      <alignment horizontal="left"/>
    </xf>
    <xf numFmtId="0" fontId="23" fillId="0" borderId="0" xfId="273" applyFont="1" applyFill="1" applyAlignment="1">
      <alignment horizontal="left" vertical="top" wrapText="1"/>
    </xf>
    <xf numFmtId="49" fontId="11" fillId="0" borderId="0" xfId="0" applyNumberFormat="1" applyFont="1" applyAlignment="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11" fillId="0" borderId="0" xfId="0" applyFont="1" applyAlignment="1">
      <alignment horizontal="left" vertical="top" wrapText="1"/>
    </xf>
    <xf numFmtId="0" fontId="11" fillId="0" borderId="0" xfId="0" applyFont="1" applyFill="1" applyAlignment="1">
      <alignment horizontal="left" vertical="top" wrapText="1"/>
    </xf>
    <xf numFmtId="49" fontId="4"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0" applyNumberFormat="1" applyFont="1" applyAlignment="1" applyProtection="1">
      <alignment horizontal="left"/>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0" fontId="4" fillId="7" borderId="5" xfId="766" applyFont="1" applyFill="1" applyBorder="1" applyAlignment="1" applyProtection="1">
      <alignment horizontal="left"/>
      <protection locked="0"/>
    </xf>
    <xf numFmtId="0" fontId="4" fillId="7" borderId="5" xfId="766" applyFill="1" applyBorder="1" applyAlignment="1" applyProtection="1">
      <alignment horizontal="left"/>
      <protection locked="0"/>
    </xf>
    <xf numFmtId="167" fontId="4" fillId="7" borderId="4" xfId="766" applyNumberFormat="1"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5" xfId="0"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24" fillId="7" borderId="5" xfId="0" applyFont="1" applyFill="1" applyBorder="1" applyAlignment="1" applyProtection="1">
      <alignment horizontal="left"/>
      <protection locked="0"/>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49" fontId="13" fillId="7" borderId="5" xfId="273" applyNumberFormat="1" applyFill="1" applyBorder="1" applyAlignment="1" applyProtection="1">
      <alignment horizontal="center"/>
      <protection locked="0"/>
    </xf>
    <xf numFmtId="0" fontId="13" fillId="7" borderId="5" xfId="0" applyFont="1" applyFill="1" applyBorder="1" applyAlignment="1" applyProtection="1">
      <alignment horizontal="left"/>
      <protection locked="0"/>
    </xf>
    <xf numFmtId="1" fontId="13" fillId="7" borderId="5" xfId="273" applyNumberForma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4" fillId="7" borderId="5" xfId="0" applyFont="1" applyFill="1" applyBorder="1" applyAlignment="1" applyProtection="1">
      <alignment horizontal="left" wrapText="1"/>
      <protection locked="0"/>
    </xf>
    <xf numFmtId="0" fontId="13" fillId="0" borderId="5" xfId="0" applyFont="1" applyBorder="1" applyAlignment="1" applyProtection="1">
      <alignment horizontal="left"/>
    </xf>
    <xf numFmtId="0" fontId="4" fillId="7" borderId="5" xfId="245" applyFont="1" applyFill="1" applyBorder="1" applyAlignment="1" applyProtection="1">
      <alignment horizontal="left"/>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Border="1" applyAlignment="1" applyProtection="1">
      <alignment horizontal="center" vertic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5" fontId="12" fillId="52" borderId="12" xfId="164" applyNumberFormat="1" applyFont="1" applyFill="1" applyBorder="1" applyAlignment="1" applyProtection="1">
      <alignment horizontal="center" vertical="center" wrapText="1"/>
      <protection locked="0"/>
    </xf>
    <xf numFmtId="0" fontId="31" fillId="0" borderId="9" xfId="546" applyFont="1" applyBorder="1" applyAlignment="1" applyProtection="1">
      <alignment horizontal="center" vertical="center"/>
    </xf>
    <xf numFmtId="0" fontId="31" fillId="0" borderId="5" xfId="546" applyFont="1" applyBorder="1" applyAlignment="1" applyProtection="1">
      <alignment horizontal="center" vertical="center"/>
    </xf>
    <xf numFmtId="0" fontId="31"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0" xfId="546" applyFont="1" applyFill="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4" fillId="0" borderId="0" xfId="546" applyNumberFormat="1" applyFont="1" applyAlignment="1" applyProtection="1">
      <alignment horizontal="center"/>
    </xf>
    <xf numFmtId="2" fontId="4" fillId="0" borderId="12" xfId="546" applyNumberFormat="1" applyFont="1" applyBorder="1" applyAlignment="1" applyProtection="1">
      <alignment horizontal="center"/>
    </xf>
    <xf numFmtId="0" fontId="4" fillId="0" borderId="12" xfId="0" applyFont="1" applyBorder="1" applyAlignment="1">
      <alignment horizontal="center"/>
    </xf>
    <xf numFmtId="0" fontId="4" fillId="52" borderId="12" xfId="0"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1" fillId="7" borderId="12" xfId="0" applyFont="1" applyFill="1" applyBorder="1" applyAlignment="1" applyProtection="1">
      <alignment horizontal="center"/>
      <protection locked="0"/>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10" xfId="0" applyFont="1" applyBorder="1" applyAlignment="1" applyProtection="1">
      <alignment horizontal="center"/>
    </xf>
    <xf numFmtId="0" fontId="1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8" xfId="0" applyFont="1" applyBorder="1" applyAlignment="1" applyProtection="1">
      <alignment horizontal="center"/>
    </xf>
    <xf numFmtId="179" fontId="4" fillId="7" borderId="4" xfId="0" applyNumberFormat="1" applyFont="1" applyFill="1" applyBorder="1" applyAlignment="1" applyProtection="1">
      <alignment horizontal="right"/>
      <protection locked="0"/>
    </xf>
    <xf numFmtId="0" fontId="4" fillId="0" borderId="12" xfId="0" applyFont="1" applyFill="1" applyBorder="1" applyAlignment="1" applyProtection="1">
      <alignment horizontal="center" vertical="top" wrapText="1"/>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164" fontId="12" fillId="7" borderId="3" xfId="0" applyNumberFormat="1" applyFont="1" applyFill="1" applyBorder="1" applyAlignment="1" applyProtection="1">
      <alignment horizontal="lef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1" fillId="0" borderId="13" xfId="0" applyFont="1" applyBorder="1" applyAlignment="1" applyProtection="1">
      <alignment horizontal="center" wrapText="1"/>
    </xf>
    <xf numFmtId="0" fontId="11" fillId="0" borderId="10" xfId="0" applyFont="1" applyBorder="1" applyAlignment="1" applyProtection="1">
      <alignment horizontal="center" wrapText="1"/>
    </xf>
    <xf numFmtId="0" fontId="5" fillId="0" borderId="0" xfId="245" applyFill="1" applyAlignment="1" applyProtection="1">
      <alignment horizontal="left"/>
      <protection locked="0"/>
    </xf>
    <xf numFmtId="0" fontId="12" fillId="52" borderId="5" xfId="0" applyFont="1" applyFill="1" applyBorder="1" applyAlignment="1" applyProtection="1">
      <alignment horizontal="left"/>
      <protection locked="0"/>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7" borderId="5" xfId="0" applyFont="1" applyFill="1" applyBorder="1" applyAlignment="1" applyProtection="1">
      <alignment horizontal="left" wrapText="1"/>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4" fillId="7" borderId="5" xfId="0" applyFont="1" applyFill="1" applyBorder="1" applyAlignment="1" applyProtection="1">
      <alignment horizontal="center"/>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11" fillId="0" borderId="12" xfId="0" applyFont="1" applyFill="1" applyBorder="1" applyAlignment="1" applyProtection="1">
      <alignment horizontal="center"/>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0" fontId="11" fillId="0" borderId="0" xfId="0" applyFont="1" applyBorder="1" applyAlignment="1" applyProtection="1">
      <alignment horizontal="center" vertical="center"/>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0" fontId="13" fillId="0" borderId="3" xfId="0" applyFont="1" applyBorder="1" applyAlignment="1" applyProtection="1">
      <alignment horizontal="left"/>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4" fillId="0" borderId="12" xfId="0" applyFont="1" applyFill="1" applyBorder="1" applyAlignment="1" applyProtection="1">
      <alignment horizontal="center"/>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4" fillId="7" borderId="4" xfId="766" applyFont="1" applyFill="1" applyBorder="1" applyAlignment="1" applyProtection="1">
      <alignment horizontal="left"/>
      <protection locked="0"/>
    </xf>
    <xf numFmtId="0" fontId="4" fillId="7" borderId="4" xfId="766" applyFill="1" applyBorder="1" applyAlignment="1" applyProtection="1">
      <alignment horizontal="left"/>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13" fillId="0" borderId="4" xfId="0" applyFont="1" applyBorder="1" applyAlignment="1" applyProtection="1">
      <alignment horizontal="left"/>
    </xf>
    <xf numFmtId="0" fontId="13" fillId="0" borderId="8" xfId="0" applyFont="1" applyBorder="1" applyAlignment="1" applyProtection="1">
      <alignment horizontal="lef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3" fillId="0" borderId="12" xfId="0" applyNumberFormat="1" applyFont="1" applyFill="1" applyBorder="1" applyAlignment="1" applyProtection="1">
      <alignment horizontal="center"/>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14" fontId="4"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0" borderId="0" xfId="0" applyFont="1" applyFill="1" applyAlignment="1" applyProtection="1">
      <alignment horizontal="center"/>
    </xf>
    <xf numFmtId="0" fontId="13" fillId="0" borderId="0" xfId="0" applyFont="1" applyFill="1" applyAlignment="1" applyProtection="1">
      <alignment horizontal="center"/>
    </xf>
    <xf numFmtId="14" fontId="0" fillId="7" borderId="5" xfId="0" applyNumberForma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0"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center"/>
      <protection locked="0"/>
    </xf>
    <xf numFmtId="169" fontId="4" fillId="7" borderId="5" xfId="0" applyNumberFormat="1" applyFont="1" applyFill="1" applyBorder="1" applyAlignment="1" applyProtection="1">
      <alignment horizontal="right"/>
      <protection locked="0"/>
    </xf>
    <xf numFmtId="0" fontId="12" fillId="0" borderId="0" xfId="0" applyFont="1" applyAlignment="1" applyProtection="1">
      <alignment horizontal="center"/>
    </xf>
    <xf numFmtId="0" fontId="4" fillId="7" borderId="5" xfId="0" applyFont="1" applyFill="1" applyBorder="1" applyAlignment="1" applyProtection="1">
      <alignment horizontal="left" vertical="top" wrapText="1"/>
      <protection locked="0"/>
    </xf>
    <xf numFmtId="0" fontId="4"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4" fillId="7" borderId="4" xfId="0"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0" fontId="0" fillId="52" borderId="5" xfId="0"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3" fontId="0" fillId="0" borderId="5" xfId="0" applyNumberFormat="1" applyFill="1" applyBorder="1" applyAlignment="1" applyProtection="1">
      <alignment horizontal="right"/>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14" fontId="4" fillId="7" borderId="4" xfId="0" applyNumberFormat="1" applyFont="1" applyFill="1" applyBorder="1" applyAlignment="1" applyProtection="1">
      <alignment horizontal="right"/>
      <protection locked="0"/>
    </xf>
    <xf numFmtId="0" fontId="4"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1" fillId="0" borderId="12" xfId="0" applyFont="1" applyBorder="1" applyAlignment="1" applyProtection="1">
      <alignment horizontal="center" vertical="top" wrapText="1"/>
    </xf>
    <xf numFmtId="3" fontId="13" fillId="0" borderId="0" xfId="0" applyNumberFormat="1"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69" fontId="13" fillId="0" borderId="3" xfId="0" applyNumberFormat="1" applyFont="1" applyFill="1" applyBorder="1" applyAlignment="1" applyProtection="1">
      <alignment horizontal="left" vertical="top"/>
    </xf>
    <xf numFmtId="0" fontId="13" fillId="7" borderId="12" xfId="0" applyFont="1" applyFill="1" applyBorder="1" applyAlignment="1" applyProtection="1">
      <alignment horizontal="center"/>
      <protection locked="0"/>
    </xf>
    <xf numFmtId="20" fontId="0" fillId="7" borderId="3" xfId="0" applyNumberFormat="1" applyFill="1" applyBorder="1" applyAlignment="1" applyProtection="1">
      <alignment horizontal="left"/>
      <protection locked="0"/>
    </xf>
    <xf numFmtId="3" fontId="13" fillId="0" borderId="12" xfId="0" applyNumberFormat="1" applyFont="1" applyFill="1" applyBorder="1" applyAlignment="1" applyProtection="1">
      <alignment horizontal="center"/>
    </xf>
    <xf numFmtId="173" fontId="0" fillId="7" borderId="5" xfId="0" applyNumberFormat="1" applyFill="1" applyBorder="1" applyAlignment="1" applyProtection="1">
      <alignment horizontal="center"/>
      <protection locked="0"/>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9" fontId="13" fillId="0" borderId="12" xfId="0" applyNumberFormat="1" applyFont="1" applyFill="1" applyBorder="1" applyAlignment="1" applyProtection="1">
      <alignment horizontal="center"/>
    </xf>
    <xf numFmtId="176" fontId="4" fillId="52" borderId="3" xfId="0" applyNumberFormat="1" applyFont="1" applyFill="1" applyBorder="1" applyAlignment="1" applyProtection="1">
      <alignment horizontal="center"/>
      <protection locked="0"/>
    </xf>
    <xf numFmtId="176" fontId="4" fillId="52" borderId="4" xfId="0" applyNumberFormat="1" applyFont="1" applyFill="1" applyBorder="1" applyAlignment="1" applyProtection="1">
      <alignment horizontal="center"/>
      <protection locked="0"/>
    </xf>
    <xf numFmtId="176" fontId="4" fillId="52" borderId="8" xfId="0" applyNumberFormat="1"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176" fontId="0" fillId="7" borderId="4" xfId="0" applyNumberFormat="1" applyFill="1" applyBorder="1" applyAlignment="1" applyProtection="1">
      <alignment horizontal="center"/>
      <protection locked="0"/>
    </xf>
    <xf numFmtId="1" fontId="12" fillId="52" borderId="3" xfId="0" applyNumberFormat="1" applyFont="1" applyFill="1" applyBorder="1" applyAlignment="1" applyProtection="1">
      <alignment horizontal="center"/>
      <protection locked="0"/>
    </xf>
    <xf numFmtId="1" fontId="12" fillId="52" borderId="4" xfId="0" applyNumberFormat="1" applyFont="1" applyFill="1" applyBorder="1" applyAlignment="1" applyProtection="1">
      <alignment horizontal="center"/>
      <protection locked="0"/>
    </xf>
    <xf numFmtId="1" fontId="12" fillId="52" borderId="8" xfId="0" applyNumberFormat="1" applyFont="1" applyFill="1" applyBorder="1" applyAlignment="1" applyProtection="1">
      <alignment horizontal="center"/>
      <protection locked="0"/>
    </xf>
    <xf numFmtId="169" fontId="4" fillId="52" borderId="3" xfId="0" applyNumberFormat="1" applyFont="1" applyFill="1" applyBorder="1" applyAlignment="1" applyProtection="1">
      <alignment horizontal="center"/>
      <protection locked="0"/>
    </xf>
    <xf numFmtId="169" fontId="4" fillId="52" borderId="4" xfId="0" applyNumberFormat="1" applyFont="1" applyFill="1" applyBorder="1" applyAlignment="1" applyProtection="1">
      <alignment horizontal="center"/>
      <protection locked="0"/>
    </xf>
    <xf numFmtId="169" fontId="4" fillId="52" borderId="8" xfId="0" applyNumberFormat="1" applyFont="1" applyFill="1" applyBorder="1" applyAlignment="1" applyProtection="1">
      <alignment horizontal="center"/>
      <protection locked="0"/>
    </xf>
    <xf numFmtId="0" fontId="11" fillId="0" borderId="12" xfId="0" applyFont="1" applyBorder="1" applyAlignment="1" applyProtection="1">
      <alignment horizontal="center" vertical="center" wrapText="1"/>
    </xf>
    <xf numFmtId="169" fontId="4" fillId="7" borderId="12" xfId="0" applyNumberFormat="1" applyFont="1" applyFill="1" applyBorder="1" applyAlignment="1" applyProtection="1">
      <alignment horizontal="right"/>
      <protection locked="0"/>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11" fillId="0" borderId="9" xfId="0" applyFont="1" applyBorder="1" applyAlignment="1" applyProtection="1">
      <alignment horizontal="right"/>
    </xf>
    <xf numFmtId="0" fontId="11" fillId="0" borderId="5"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4" fillId="0" borderId="0" xfId="273" applyFont="1" applyFill="1" applyBorder="1" applyAlignment="1" applyProtection="1">
      <alignment horizontal="left" vertical="top" wrapText="1"/>
    </xf>
    <xf numFmtId="0" fontId="4" fillId="0" borderId="0" xfId="273" applyFont="1" applyFill="1" applyBorder="1" applyAlignment="1" applyProtection="1">
      <alignment horizontal="left" wrapText="1"/>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3" fontId="4" fillId="7" borderId="3" xfId="0" applyNumberFormat="1" applyFont="1" applyFill="1" applyBorder="1" applyAlignment="1" applyProtection="1">
      <alignment horizontal="righ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4"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0" fontId="4" fillId="7" borderId="9" xfId="766" applyFont="1" applyFill="1" applyBorder="1" applyAlignment="1" applyProtection="1">
      <alignment horizontal="center"/>
      <protection locked="0"/>
    </xf>
    <xf numFmtId="0" fontId="4" fillId="7" borderId="5" xfId="766" applyFont="1" applyFill="1" applyBorder="1" applyAlignment="1" applyProtection="1">
      <alignment horizontal="center"/>
      <protection locked="0"/>
    </xf>
    <xf numFmtId="0" fontId="4" fillId="7" borderId="4" xfId="766" applyFill="1" applyBorder="1" applyAlignment="1" applyProtection="1">
      <alignment horizontal="center"/>
      <protection locked="0"/>
    </xf>
    <xf numFmtId="0" fontId="4" fillId="7" borderId="8" xfId="766"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4" fillId="0" borderId="3" xfId="0" applyFont="1" applyBorder="1" applyAlignment="1" applyProtection="1">
      <alignment horizontal="left"/>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12" fillId="0" borderId="0" xfId="0" applyNumberFormat="1" applyFont="1" applyFill="1" applyBorder="1" applyAlignment="1" applyProtection="1">
      <alignment horizontal="left" vertical="top" wrapText="1"/>
    </xf>
    <xf numFmtId="0" fontId="11" fillId="0" borderId="3" xfId="0" applyFont="1" applyFill="1" applyBorder="1" applyAlignment="1" applyProtection="1">
      <alignment horizontal="center"/>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4" fillId="0" borderId="4"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1" fontId="4" fillId="0" borderId="0" xfId="546" applyNumberFormat="1" applyFont="1" applyAlignment="1" applyProtection="1">
      <alignment horizontal="center"/>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13" fillId="7" borderId="5" xfId="273" applyFont="1" applyFill="1" applyBorder="1" applyAlignment="1" applyProtection="1">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7" borderId="12" xfId="0" applyNumberFormat="1" applyFill="1" applyBorder="1" applyAlignment="1" applyProtection="1">
      <protection locked="0"/>
    </xf>
    <xf numFmtId="0" fontId="4" fillId="7" borderId="3" xfId="0" applyFont="1" applyFill="1" applyBorder="1" applyAlignment="1" applyProtection="1">
      <protection locked="0"/>
    </xf>
    <xf numFmtId="0" fontId="13" fillId="0" borderId="4" xfId="0" applyFont="1" applyBorder="1" applyAlignment="1" applyProtection="1">
      <protection locked="0"/>
    </xf>
    <xf numFmtId="0" fontId="1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1" fillId="0" borderId="5" xfId="0" applyFont="1" applyBorder="1" applyAlignment="1" applyProtection="1">
      <alignment horizontal="center"/>
    </xf>
    <xf numFmtId="169" fontId="0" fillId="0" borderId="12" xfId="0" applyNumberFormat="1" applyFill="1" applyBorder="1" applyAlignment="1" applyProtection="1"/>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169" fontId="0" fillId="0" borderId="12" xfId="0" applyNumberFormat="1" applyFill="1" applyBorder="1" applyAlignment="1">
      <alignment horizontal="right"/>
    </xf>
    <xf numFmtId="0" fontId="11"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1"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4"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166" fontId="12" fillId="0" borderId="12" xfId="0" applyNumberFormat="1" applyFont="1" applyFill="1" applyBorder="1" applyAlignment="1" applyProtection="1">
      <alignment horizontal="center"/>
    </xf>
    <xf numFmtId="9" fontId="12" fillId="7" borderId="5" xfId="0" applyNumberFormat="1" applyFont="1" applyFill="1" applyBorder="1" applyAlignment="1" applyProtection="1">
      <alignment horizontal="left"/>
      <protection locked="0"/>
    </xf>
    <xf numFmtId="1" fontId="12" fillId="0" borderId="20"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166" fontId="12" fillId="47" borderId="12" xfId="0" applyNumberFormat="1" applyFont="1" applyFill="1" applyBorder="1" applyAlignment="1" applyProtection="1">
      <alignment horizontal="center"/>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166" fontId="12" fillId="0" borderId="15" xfId="0" applyNumberFormat="1" applyFont="1" applyFill="1" applyBorder="1" applyAlignment="1" applyProtection="1">
      <alignment horizontal="center"/>
    </xf>
    <xf numFmtId="0" fontId="12"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12" fillId="0" borderId="2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7" borderId="51" xfId="0" applyFill="1" applyBorder="1" applyAlignment="1" applyProtection="1">
      <alignment horizontal="center"/>
      <protection locked="0"/>
    </xf>
    <xf numFmtId="0" fontId="12" fillId="7" borderId="5" xfId="0" applyFont="1" applyFill="1" applyBorder="1" applyAlignment="1" applyProtection="1">
      <alignment horizontal="center" vertical="center" wrapText="1" shrinkToFit="1"/>
      <protection locked="0"/>
    </xf>
    <xf numFmtId="0" fontId="12" fillId="0" borderId="0" xfId="0"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0" fontId="11" fillId="0" borderId="0" xfId="0" applyFont="1" applyFill="1" applyBorder="1" applyAlignment="1" applyProtection="1">
      <alignment horizontal="center" vertical="top"/>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8" xfId="0" applyFont="1" applyFill="1" applyBorder="1" applyAlignment="1" applyProtection="1">
      <alignment horizontal="center"/>
    </xf>
    <xf numFmtId="0" fontId="54" fillId="0" borderId="0" xfId="0" applyFont="1" applyAlignment="1">
      <alignment horizontal="left" vertical="top" wrapText="1"/>
    </xf>
    <xf numFmtId="44" fontId="12" fillId="0" borderId="0" xfId="164" applyFont="1" applyFill="1" applyBorder="1" applyAlignment="1" applyProtection="1">
      <alignment horizontal="left" vertical="top" wrapText="1"/>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0" fontId="11" fillId="0" borderId="12" xfId="0" applyFont="1" applyFill="1" applyBorder="1" applyAlignment="1" applyProtection="1">
      <alignment horizontal="right"/>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2" fillId="7" borderId="53" xfId="0" applyFont="1" applyFill="1" applyBorder="1" applyAlignment="1" applyProtection="1">
      <alignment horizontal="left" vertical="top" wrapText="1"/>
      <protection locked="0"/>
    </xf>
    <xf numFmtId="0" fontId="11" fillId="0" borderId="0" xfId="0" applyFont="1" applyFill="1" applyBorder="1" applyAlignment="1" applyProtection="1">
      <alignment horizontal="right"/>
    </xf>
    <xf numFmtId="0" fontId="11" fillId="0" borderId="12" xfId="0" applyFont="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49" borderId="2" xfId="0" applyFont="1" applyFill="1" applyBorder="1" applyAlignment="1">
      <alignment horizontal="center"/>
    </xf>
    <xf numFmtId="0" fontId="21" fillId="49" borderId="5" xfId="0" applyFont="1" applyFill="1" applyBorder="1" applyAlignment="1">
      <alignment horizontal="center"/>
    </xf>
    <xf numFmtId="0" fontId="11" fillId="0" borderId="0"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3" fillId="0" borderId="12" xfId="0" applyNumberFormat="1" applyFont="1" applyFill="1" applyBorder="1" applyAlignment="1" applyProtection="1">
      <alignment horizontal="center"/>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1" fontId="11" fillId="0" borderId="12" xfId="0"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2" fillId="0" borderId="21" xfId="0" applyNumberFormat="1" applyFont="1" applyFill="1" applyBorder="1" applyAlignment="1" applyProtection="1">
      <alignment horizontal="center"/>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2" fillId="0" borderId="25" xfId="0" applyNumberFormat="1" applyFont="1" applyFill="1" applyBorder="1" applyAlignment="1" applyProtection="1">
      <alignment horizontal="center"/>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0" fontId="4"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12"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166" fontId="11" fillId="0" borderId="8"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 fontId="13" fillId="13" borderId="12" xfId="0" applyNumberFormat="1" applyFont="1" applyFill="1" applyBorder="1" applyAlignment="1" applyProtection="1">
      <alignment horizontal="center"/>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0" fontId="12" fillId="0" borderId="0" xfId="0" applyNumberFormat="1" applyFont="1" applyFill="1" applyBorder="1" applyAlignment="1" applyProtection="1">
      <alignment horizontal="left" vertical="top" wrapText="1"/>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164" fontId="12" fillId="0" borderId="0" xfId="0" applyNumberFormat="1" applyFont="1" applyFill="1" applyBorder="1" applyAlignment="1" applyProtection="1">
      <alignment horizontal="left" vertical="top" wrapText="1"/>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0" fontId="21" fillId="47" borderId="17" xfId="0" applyNumberFormat="1" applyFont="1" applyFill="1" applyBorder="1" applyAlignment="1" applyProtection="1">
      <alignment horizontal="center"/>
    </xf>
    <xf numFmtId="0" fontId="21" fillId="0" borderId="0" xfId="0" applyFont="1" applyFill="1" applyBorder="1" applyAlignment="1" applyProtection="1">
      <alignment horizontal="left" vertical="top" wrapText="1"/>
    </xf>
    <xf numFmtId="1" fontId="12" fillId="47" borderId="15" xfId="0" applyNumberFormat="1" applyFont="1" applyFill="1" applyBorder="1" applyAlignment="1" applyProtection="1">
      <alignment horizontal="center"/>
    </xf>
    <xf numFmtId="0" fontId="12" fillId="0" borderId="0" xfId="0" applyFont="1" applyFill="1" applyBorder="1" applyAlignment="1" applyProtection="1">
      <alignment horizontal="center"/>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11" fillId="11" borderId="4" xfId="0" applyFont="1" applyFill="1" applyBorder="1" applyAlignment="1" applyProtection="1">
      <alignment horizontal="center"/>
    </xf>
    <xf numFmtId="0" fontId="4" fillId="49" borderId="12" xfId="0" applyFont="1" applyFill="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4" fillId="7" borderId="4" xfId="0" applyFont="1" applyFill="1" applyBorder="1" applyAlignment="1" applyProtection="1">
      <alignment horizontal="left" wrapText="1"/>
      <protection locked="0"/>
    </xf>
    <xf numFmtId="0" fontId="13" fillId="0" borderId="13" xfId="0" applyFont="1" applyFill="1" applyBorder="1" applyAlignment="1" applyProtection="1">
      <alignment horizontal="left" vertical="top" wrapText="1"/>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1" fontId="127" fillId="0" borderId="0" xfId="575" applyNumberFormat="1" applyFont="1" applyFill="1" applyBorder="1" applyAlignment="1">
      <alignment horizontal="center"/>
    </xf>
    <xf numFmtId="1" fontId="127" fillId="0" borderId="5" xfId="575" applyNumberFormat="1" applyFont="1" applyFill="1" applyBorder="1" applyAlignment="1">
      <alignment horizontal="center"/>
    </xf>
    <xf numFmtId="182" fontId="128" fillId="0" borderId="3" xfId="575" applyNumberFormat="1" applyFont="1" applyFill="1" applyBorder="1" applyAlignment="1">
      <alignment horizontal="center"/>
    </xf>
    <xf numFmtId="182" fontId="128" fillId="0" borderId="4" xfId="575" applyNumberFormat="1" applyFont="1" applyFill="1" applyBorder="1" applyAlignment="1">
      <alignment horizontal="center"/>
    </xf>
    <xf numFmtId="182" fontId="128" fillId="0" borderId="8" xfId="575" applyNumberFormat="1" applyFont="1" applyFill="1" applyBorder="1" applyAlignment="1">
      <alignment horizontal="center"/>
    </xf>
    <xf numFmtId="2" fontId="127" fillId="0" borderId="0" xfId="575" applyNumberFormat="1" applyFont="1" applyFill="1" applyAlignment="1">
      <alignment horizontal="center"/>
    </xf>
    <xf numFmtId="2" fontId="127" fillId="0" borderId="0" xfId="575" applyNumberFormat="1" applyFont="1" applyFill="1" applyBorder="1" applyAlignment="1">
      <alignment horizontal="center"/>
    </xf>
    <xf numFmtId="2" fontId="127" fillId="0" borderId="5" xfId="575" applyNumberFormat="1" applyFont="1" applyFill="1" applyBorder="1" applyAlignment="1">
      <alignment horizontal="center"/>
    </xf>
    <xf numFmtId="0" fontId="127" fillId="0" borderId="0" xfId="575" applyFont="1" applyFill="1" applyAlignment="1">
      <alignment horizontal="center"/>
    </xf>
    <xf numFmtId="0" fontId="127" fillId="0" borderId="5" xfId="575" applyFont="1" applyBorder="1" applyAlignment="1">
      <alignment horizontal="center"/>
    </xf>
    <xf numFmtId="2" fontId="127" fillId="0" borderId="2" xfId="575" applyNumberFormat="1" applyFont="1" applyFill="1" applyBorder="1" applyAlignment="1">
      <alignment horizontal="center"/>
    </xf>
    <xf numFmtId="0" fontId="127" fillId="52" borderId="5" xfId="575" applyFont="1" applyFill="1" applyBorder="1" applyAlignment="1" applyProtection="1">
      <alignment horizontal="center"/>
      <protection locked="0"/>
    </xf>
    <xf numFmtId="0" fontId="131" fillId="53" borderId="0" xfId="575" applyFont="1" applyFill="1" applyAlignment="1">
      <alignment horizontal="center"/>
    </xf>
    <xf numFmtId="49" fontId="10" fillId="5" borderId="0" xfId="278" applyNumberFormat="1" applyFont="1" applyFill="1" applyBorder="1" applyAlignment="1" applyProtection="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2"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2"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Fill="1" applyAlignment="1">
      <alignment horizontal="center"/>
    </xf>
    <xf numFmtId="1" fontId="127" fillId="0" borderId="2" xfId="575" applyNumberFormat="1" applyFont="1" applyFill="1" applyBorder="1" applyAlignment="1">
      <alignment horizontal="center"/>
    </xf>
    <xf numFmtId="169" fontId="9" fillId="0" borderId="0" xfId="273" applyNumberFormat="1" applyFont="1" applyFill="1" applyBorder="1" applyAlignment="1" applyProtection="1">
      <alignment horizontal="right"/>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5" xfId="273" applyNumberFormat="1" applyFont="1" applyFill="1" applyBorder="1" applyAlignment="1" applyProtection="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9" fillId="0" borderId="0" xfId="273" applyFont="1" applyAlignment="1" applyProtection="1">
      <alignment horizontal="center" vertical="center"/>
    </xf>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0" fontId="57"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9" fillId="0" borderId="0" xfId="273" applyFont="1" applyAlignment="1" applyProtection="1">
      <alignment horizontal="left"/>
    </xf>
    <xf numFmtId="169" fontId="9"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right" vertic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0" borderId="31" xfId="273" applyNumberFormat="1" applyFont="1" applyFill="1" applyBorder="1" applyAlignment="1" applyProtection="1">
      <alignment horizontal="center" vertical="center"/>
    </xf>
    <xf numFmtId="2" fontId="57" fillId="50" borderId="32" xfId="273" applyNumberFormat="1" applyFont="1" applyFill="1" applyBorder="1" applyAlignment="1" applyProtection="1">
      <alignment horizontal="center" vertical="center"/>
    </xf>
    <xf numFmtId="3" fontId="13" fillId="0" borderId="0" xfId="273" applyNumberFormat="1" applyFont="1" applyAlignment="1">
      <alignment horizontal="left" vertical="top" wrapText="1"/>
    </xf>
    <xf numFmtId="0" fontId="9" fillId="0" borderId="5" xfId="0" applyFont="1" applyBorder="1" applyAlignment="1" applyProtection="1">
      <alignment horizontal="center"/>
    </xf>
    <xf numFmtId="0" fontId="27"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8725">
    <cellStyle name="20% - Accent1" xfId="1" builtinId="30" customBuiltin="1"/>
    <cellStyle name="20% - Accent1 10" xfId="4508" xr:uid="{777F5B70-C878-441E-AB76-99D91C80D218}"/>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9A24166B-3E28-424F-9E41-DA038D410AC4}"/>
    <cellStyle name="20% - Accent1 2 2 2 2 2 2" xfId="7070" xr:uid="{4385A028-1EC0-4F91-A3CF-909929201AF4}"/>
    <cellStyle name="20% - Accent1 2 2 2 2 3" xfId="4925" xr:uid="{5BAA64EA-3D67-4738-9584-07E40C8313E7}"/>
    <cellStyle name="20% - Accent1 2 2 2 3" xfId="1034" xr:uid="{CF785889-E8F0-4D87-BA8A-AF8A14F99064}"/>
    <cellStyle name="20% - Accent1 2 2 2 3 2" xfId="3268" xr:uid="{EFC32C72-3D9F-4A18-A084-FD44499CA1C0}"/>
    <cellStyle name="20% - Accent1 2 2 2 3 2 2" xfId="7483" xr:uid="{54A2C360-5E6E-46ED-B64F-E03DC408981E}"/>
    <cellStyle name="20% - Accent1 2 2 2 3 3" xfId="5338" xr:uid="{6887F67E-64E4-43BD-A54C-3B08777F106B}"/>
    <cellStyle name="20% - Accent1 2 2 2 4" xfId="1865" xr:uid="{870EB6AC-FA08-44DF-A08A-2C41C6FA32F3}"/>
    <cellStyle name="20% - Accent1 2 2 2 4 2" xfId="3681" xr:uid="{75FBF9CF-31CB-42E3-8B9B-E41F1CF6BD27}"/>
    <cellStyle name="20% - Accent1 2 2 2 4 2 2" xfId="7896" xr:uid="{16AAE1FC-6263-4645-A3E9-5AA19DFB48E0}"/>
    <cellStyle name="20% - Accent1 2 2 2 4 3" xfId="5751" xr:uid="{85BBEBEC-71FA-482E-9FA7-A6F5C21B8178}"/>
    <cellStyle name="20% - Accent1 2 2 2 5" xfId="2278" xr:uid="{346E3A94-A5E6-468E-8252-E999E7466C02}"/>
    <cellStyle name="20% - Accent1 2 2 2 5 2" xfId="4094" xr:uid="{F80674C9-B1C6-426D-A2EE-4A868E64D9A1}"/>
    <cellStyle name="20% - Accent1 2 2 2 5 2 2" xfId="8309" xr:uid="{4D0B7A56-1D07-4203-83DC-CBE685402ED5}"/>
    <cellStyle name="20% - Accent1 2 2 2 5 3" xfId="6164" xr:uid="{1E47FC28-2F87-4B16-A154-3F52D6F6CC69}"/>
    <cellStyle name="20% - Accent1 2 2 2 6" xfId="2691" xr:uid="{45762C87-B317-400E-8C23-08F612D8FA41}"/>
    <cellStyle name="20% - Accent1 2 2 2 6 2" xfId="6577" xr:uid="{C02B3EA8-58C7-41FE-89F1-BE3023F35E5E}"/>
    <cellStyle name="20% - Accent1 2 2 2 7" xfId="4511" xr:uid="{193741A3-FD3F-4E4F-A6E0-519D3D98FB55}"/>
    <cellStyle name="20% - Accent1 2 2 3" xfId="580" xr:uid="{00000000-0005-0000-0000-000005000000}"/>
    <cellStyle name="20% - Accent1 2 2 3 2" xfId="1449" xr:uid="{9A8FDBB4-39A9-4982-A596-FF593F99EDCC}"/>
    <cellStyle name="20% - Accent1 2 2 3 2 2" xfId="7069" xr:uid="{20925921-2FCA-4F20-96A2-9DB18487051F}"/>
    <cellStyle name="20% - Accent1 2 2 3 3" xfId="4924" xr:uid="{D0BA3F46-BCA7-40A4-BCDD-289CD210CFE8}"/>
    <cellStyle name="20% - Accent1 2 2 4" xfId="1033" xr:uid="{F2D79702-98C3-4581-982E-4C809B9F725E}"/>
    <cellStyle name="20% - Accent1 2 2 4 2" xfId="3267" xr:uid="{2078DE90-7211-42F2-BD57-C496EF1E3A6F}"/>
    <cellStyle name="20% - Accent1 2 2 4 2 2" xfId="7482" xr:uid="{0D4C6F1A-7621-4AB1-BE78-E080DE89F730}"/>
    <cellStyle name="20% - Accent1 2 2 4 3" xfId="5337" xr:uid="{60C34866-8554-43B6-B22D-7AE077F067B4}"/>
    <cellStyle name="20% - Accent1 2 2 5" xfId="1864" xr:uid="{C8112798-C4D6-411C-BB94-CD118A9B0902}"/>
    <cellStyle name="20% - Accent1 2 2 5 2" xfId="3680" xr:uid="{42EAAF29-66DC-4197-8739-C218CF2FC0E3}"/>
    <cellStyle name="20% - Accent1 2 2 5 2 2" xfId="7895" xr:uid="{A135E8A6-3A5A-4039-BFF1-86F828766423}"/>
    <cellStyle name="20% - Accent1 2 2 5 3" xfId="5750" xr:uid="{DF66E685-8428-40C4-989E-7021C17A29F0}"/>
    <cellStyle name="20% - Accent1 2 2 6" xfId="2277" xr:uid="{7F35A6B8-6162-4F05-ADF6-98FFCDC5933A}"/>
    <cellStyle name="20% - Accent1 2 2 6 2" xfId="4093" xr:uid="{9E9EED75-EB89-4E48-8860-2AF1DFC44A13}"/>
    <cellStyle name="20% - Accent1 2 2 6 2 2" xfId="8308" xr:uid="{1EA19FFB-4AD7-40BA-8DEE-40AF626BCC11}"/>
    <cellStyle name="20% - Accent1 2 2 6 3" xfId="6163" xr:uid="{EF540000-5C1D-493A-AB67-A032BF874720}"/>
    <cellStyle name="20% - Accent1 2 2 7" xfId="2690" xr:uid="{06425C1D-08AF-43C0-B3A8-87832180E7B6}"/>
    <cellStyle name="20% - Accent1 2 2 7 2" xfId="6576" xr:uid="{607E2BB7-A928-4437-A7D8-57C489361659}"/>
    <cellStyle name="20% - Accent1 2 2 8" xfId="4510" xr:uid="{167EB3B4-E212-47C8-839B-06D8986C0C4A}"/>
    <cellStyle name="20% - Accent1 2 3" xfId="5" xr:uid="{00000000-0005-0000-0000-000006000000}"/>
    <cellStyle name="20% - Accent1 2 3 2" xfId="582" xr:uid="{00000000-0005-0000-0000-000007000000}"/>
    <cellStyle name="20% - Accent1 2 3 2 2" xfId="1451" xr:uid="{3FFAFBA8-B7BA-4A82-AA6C-C3337F8475B8}"/>
    <cellStyle name="20% - Accent1 2 3 2 2 2" xfId="7071" xr:uid="{93828569-9D62-4319-A70D-AB2242107919}"/>
    <cellStyle name="20% - Accent1 2 3 2 3" xfId="4926" xr:uid="{E7B3E00B-DE9F-4CE2-A405-E5A1F3F5F918}"/>
    <cellStyle name="20% - Accent1 2 3 3" xfId="1035" xr:uid="{FDF317EA-084A-431D-8A0B-CCAA6EF664B3}"/>
    <cellStyle name="20% - Accent1 2 3 3 2" xfId="3269" xr:uid="{CB10DB91-2306-44C3-9BB8-9290F23EAFAE}"/>
    <cellStyle name="20% - Accent1 2 3 3 2 2" xfId="7484" xr:uid="{3B20C359-BB73-40A9-ABC9-0AB32FDD65DB}"/>
    <cellStyle name="20% - Accent1 2 3 3 3" xfId="5339" xr:uid="{0B15D089-E438-43A9-804F-993B4ADC73E1}"/>
    <cellStyle name="20% - Accent1 2 3 4" xfId="1866" xr:uid="{3B1D8FFA-5C12-408A-BF12-9C1165E54F2B}"/>
    <cellStyle name="20% - Accent1 2 3 4 2" xfId="3682" xr:uid="{00275766-E511-4768-A10E-3EB8598D3639}"/>
    <cellStyle name="20% - Accent1 2 3 4 2 2" xfId="7897" xr:uid="{4340FE40-5EEC-4A53-BBA2-13E32711D517}"/>
    <cellStyle name="20% - Accent1 2 3 4 3" xfId="5752" xr:uid="{65BA39CA-6CAE-44EE-ACF8-737BD256924C}"/>
    <cellStyle name="20% - Accent1 2 3 5" xfId="2279" xr:uid="{C117F29E-79A0-46EB-8A22-A2AFC0E2507A}"/>
    <cellStyle name="20% - Accent1 2 3 5 2" xfId="4095" xr:uid="{F6796E63-18AC-4729-8259-4EA03DF307E9}"/>
    <cellStyle name="20% - Accent1 2 3 5 2 2" xfId="8310" xr:uid="{0F1E670D-FD4D-4029-8588-659CB7F5DDDA}"/>
    <cellStyle name="20% - Accent1 2 3 5 3" xfId="6165" xr:uid="{5DD8E788-1D65-4B85-BFAD-BFBBACAC89A3}"/>
    <cellStyle name="20% - Accent1 2 3 6" xfId="2692" xr:uid="{0BE4183F-6F3E-46B2-B535-1808B35F700F}"/>
    <cellStyle name="20% - Accent1 2 3 6 2" xfId="6578" xr:uid="{1A983E64-D43D-411B-B2CB-B372D6F2E540}"/>
    <cellStyle name="20% - Accent1 2 3 7" xfId="4512" xr:uid="{BEB82F28-5F9A-4D96-88ED-83DDE9B8EA79}"/>
    <cellStyle name="20% - Accent1 2 4" xfId="579" xr:uid="{00000000-0005-0000-0000-000008000000}"/>
    <cellStyle name="20% - Accent1 2 4 2" xfId="1448" xr:uid="{8ED42554-517E-47FB-BB22-B54E0BD722F3}"/>
    <cellStyle name="20% - Accent1 2 4 2 2" xfId="7068" xr:uid="{137574B5-3599-4376-9ED7-89D4B70DC128}"/>
    <cellStyle name="20% - Accent1 2 4 3" xfId="4923" xr:uid="{672EE141-F80D-4343-853B-85412CA2D23F}"/>
    <cellStyle name="20% - Accent1 2 5" xfId="1032" xr:uid="{8F926E74-4557-463F-9097-EC8E791DF365}"/>
    <cellStyle name="20% - Accent1 2 5 2" xfId="3266" xr:uid="{762C246F-B5B1-4CF2-935A-D569315A6F88}"/>
    <cellStyle name="20% - Accent1 2 5 2 2" xfId="7481" xr:uid="{01F11DE6-7D9D-440B-8D5E-1667325E9F5F}"/>
    <cellStyle name="20% - Accent1 2 5 3" xfId="5336" xr:uid="{28A795B8-6E7F-47ED-B232-9408F5CBBE5D}"/>
    <cellStyle name="20% - Accent1 2 6" xfId="1863" xr:uid="{7D70C2E0-0B8A-4459-8439-072160C8D26A}"/>
    <cellStyle name="20% - Accent1 2 6 2" xfId="3679" xr:uid="{DE29B33D-2FED-4B32-8FAB-A0C77B653B94}"/>
    <cellStyle name="20% - Accent1 2 6 2 2" xfId="7894" xr:uid="{B9F5F53E-C9B4-4BBE-8430-ABE91949DB74}"/>
    <cellStyle name="20% - Accent1 2 6 3" xfId="5749" xr:uid="{07174978-B1AE-4387-A338-148D532F7EA5}"/>
    <cellStyle name="20% - Accent1 2 7" xfId="2276" xr:uid="{34147EBE-510C-4F66-8F1C-F988DB6E1668}"/>
    <cellStyle name="20% - Accent1 2 7 2" xfId="4092" xr:uid="{815729C7-2D73-4CEE-8003-EC5CFB277ED7}"/>
    <cellStyle name="20% - Accent1 2 7 2 2" xfId="8307" xr:uid="{D89F58D4-63DF-435D-932E-7A7DBB006B77}"/>
    <cellStyle name="20% - Accent1 2 7 3" xfId="6162" xr:uid="{A7FA49C4-178D-4F9F-A56D-5223CE33A8D5}"/>
    <cellStyle name="20% - Accent1 2 8" xfId="2689" xr:uid="{44083F48-FE4F-4DE3-A2DE-2CB5454E3D9D}"/>
    <cellStyle name="20% - Accent1 2 8 2" xfId="6575" xr:uid="{82C868F6-4F8B-4A1B-B493-0DDA36368EE8}"/>
    <cellStyle name="20% - Accent1 2 9" xfId="4509" xr:uid="{1ED59235-F60C-4F50-991D-DFED9FA1FDFE}"/>
    <cellStyle name="20% - Accent1 3" xfId="6" xr:uid="{00000000-0005-0000-0000-000009000000}"/>
    <cellStyle name="20% - Accent1 3 2" xfId="7" xr:uid="{00000000-0005-0000-0000-00000A000000}"/>
    <cellStyle name="20% - Accent1 3 2 2" xfId="584" xr:uid="{00000000-0005-0000-0000-00000B000000}"/>
    <cellStyle name="20% - Accent1 3 2 2 2" xfId="1453" xr:uid="{284D3536-7BC2-428E-B6EA-7A830156A6B7}"/>
    <cellStyle name="20% - Accent1 3 2 2 2 2" xfId="7073" xr:uid="{22417866-8800-44D7-A42D-314684C4B28A}"/>
    <cellStyle name="20% - Accent1 3 2 2 3" xfId="4928" xr:uid="{1C42EA77-B2FD-43CF-B681-0002D68315F8}"/>
    <cellStyle name="20% - Accent1 3 2 3" xfId="1037" xr:uid="{5B3396F2-2746-4891-AF89-D51B70BF3684}"/>
    <cellStyle name="20% - Accent1 3 2 3 2" xfId="3271" xr:uid="{309485D1-32A6-46AD-B32F-73E6460E9866}"/>
    <cellStyle name="20% - Accent1 3 2 3 2 2" xfId="7486" xr:uid="{621DC944-B1E5-4071-A249-D91430B9ADFD}"/>
    <cellStyle name="20% - Accent1 3 2 3 3" xfId="5341" xr:uid="{7EA1AA6E-D2B4-4075-9095-59FEAE1CD84A}"/>
    <cellStyle name="20% - Accent1 3 2 4" xfId="1868" xr:uid="{45D4B2AA-BB86-443E-ADFF-4D80A140FA9F}"/>
    <cellStyle name="20% - Accent1 3 2 4 2" xfId="3684" xr:uid="{2FB694C5-CBC8-42D5-8D89-24423C0C999F}"/>
    <cellStyle name="20% - Accent1 3 2 4 2 2" xfId="7899" xr:uid="{2744A49C-2E07-4D7D-A754-444CA7005250}"/>
    <cellStyle name="20% - Accent1 3 2 4 3" xfId="5754" xr:uid="{51CA3CE4-ADD9-48B9-BCBE-275623897ECC}"/>
    <cellStyle name="20% - Accent1 3 2 5" xfId="2281" xr:uid="{CBE3F941-CE1E-4D8A-B64A-3842E07E988E}"/>
    <cellStyle name="20% - Accent1 3 2 5 2" xfId="4097" xr:uid="{0644157C-495E-4086-85D5-CC50E8600FE5}"/>
    <cellStyle name="20% - Accent1 3 2 5 2 2" xfId="8312" xr:uid="{5B22A2BA-1E49-4324-B18F-112DA6F1AEE2}"/>
    <cellStyle name="20% - Accent1 3 2 5 3" xfId="6167" xr:uid="{42E8C960-BFCE-48B3-9847-4963C0F989FD}"/>
    <cellStyle name="20% - Accent1 3 2 6" xfId="2694" xr:uid="{A65384DE-1FCA-413C-B7AC-E1C9E88CF968}"/>
    <cellStyle name="20% - Accent1 3 2 6 2" xfId="6580" xr:uid="{5A8985F5-406E-49FD-8F94-724A16A5DAE7}"/>
    <cellStyle name="20% - Accent1 3 2 7" xfId="4514" xr:uid="{6E82A50D-36EA-4687-8FA9-3DBEE3B1A211}"/>
    <cellStyle name="20% - Accent1 3 3" xfId="583" xr:uid="{00000000-0005-0000-0000-00000C000000}"/>
    <cellStyle name="20% - Accent1 3 3 2" xfId="1452" xr:uid="{CB312873-6A1E-452A-A33E-7A8C1AC830E0}"/>
    <cellStyle name="20% - Accent1 3 3 2 2" xfId="7072" xr:uid="{42A76056-DC60-41F4-B3C4-FF4C617DC4F8}"/>
    <cellStyle name="20% - Accent1 3 3 3" xfId="4927" xr:uid="{3AC6EC0A-B3EB-4A81-A9E4-C3329CAD4141}"/>
    <cellStyle name="20% - Accent1 3 4" xfId="1036" xr:uid="{7DA1266A-2395-440F-B726-C08EC9715DCF}"/>
    <cellStyle name="20% - Accent1 3 4 2" xfId="3270" xr:uid="{53E13E79-DCA3-4F0F-9E05-446145294234}"/>
    <cellStyle name="20% - Accent1 3 4 2 2" xfId="7485" xr:uid="{72282E56-247B-4E96-B663-D31CF57E5E05}"/>
    <cellStyle name="20% - Accent1 3 4 3" xfId="5340" xr:uid="{D8FB8764-F5CC-45A6-A7C7-DE287DDF12C2}"/>
    <cellStyle name="20% - Accent1 3 5" xfId="1867" xr:uid="{00688910-8DC1-474A-9415-DBAAEBE61838}"/>
    <cellStyle name="20% - Accent1 3 5 2" xfId="3683" xr:uid="{38695492-958C-4431-844B-220A2A2BCDBD}"/>
    <cellStyle name="20% - Accent1 3 5 2 2" xfId="7898" xr:uid="{C4510867-889A-4609-9BA7-5B15740AB86B}"/>
    <cellStyle name="20% - Accent1 3 5 3" xfId="5753" xr:uid="{3258DAED-6B3C-4CFE-87CE-70E0A1C7D088}"/>
    <cellStyle name="20% - Accent1 3 6" xfId="2280" xr:uid="{3928B567-2FD4-4EBC-A617-0971586AD8AD}"/>
    <cellStyle name="20% - Accent1 3 6 2" xfId="4096" xr:uid="{914344F1-73AE-4650-8275-C7C7EBE1649C}"/>
    <cellStyle name="20% - Accent1 3 6 2 2" xfId="8311" xr:uid="{9CB928E0-C30B-4654-8CAF-ADF6D5DE7C52}"/>
    <cellStyle name="20% - Accent1 3 6 3" xfId="6166" xr:uid="{08FF854A-DFF4-4AEA-8E60-6B66FCDC34BA}"/>
    <cellStyle name="20% - Accent1 3 7" xfId="2693" xr:uid="{545C160D-C57F-4B68-8C17-B59FC3A273B1}"/>
    <cellStyle name="20% - Accent1 3 7 2" xfId="6579" xr:uid="{6253BA03-CD5C-4C4B-97A6-48302F18CB26}"/>
    <cellStyle name="20% - Accent1 3 8" xfId="4513" xr:uid="{778121FD-E37B-438D-BE75-AAA718CE8288}"/>
    <cellStyle name="20% - Accent1 4" xfId="8" xr:uid="{00000000-0005-0000-0000-00000D000000}"/>
    <cellStyle name="20% - Accent1 4 2" xfId="585" xr:uid="{00000000-0005-0000-0000-00000E000000}"/>
    <cellStyle name="20% - Accent1 4 2 2" xfId="1454" xr:uid="{7049B04E-C271-4FC1-8662-6EE934E8BC5E}"/>
    <cellStyle name="20% - Accent1 4 2 2 2" xfId="7074" xr:uid="{DD6DA143-C288-470D-A320-7330AF2B1D3F}"/>
    <cellStyle name="20% - Accent1 4 2 3" xfId="4929" xr:uid="{9E261062-B908-4C6C-9457-DE97B4F246D4}"/>
    <cellStyle name="20% - Accent1 4 3" xfId="1038" xr:uid="{038B0281-4905-4C6F-86E4-573B818E8E3A}"/>
    <cellStyle name="20% - Accent1 4 3 2" xfId="3272" xr:uid="{DA5F15D6-22FA-472C-B2A3-FFA65E14CC17}"/>
    <cellStyle name="20% - Accent1 4 3 2 2" xfId="7487" xr:uid="{C7F8D4E7-8446-4B86-8531-2705CED91478}"/>
    <cellStyle name="20% - Accent1 4 3 3" xfId="5342" xr:uid="{E8EB106C-F907-4E06-960A-CA974034B50C}"/>
    <cellStyle name="20% - Accent1 4 4" xfId="1869" xr:uid="{9749FBFE-9733-4840-8ED0-BD71C645C211}"/>
    <cellStyle name="20% - Accent1 4 4 2" xfId="3685" xr:uid="{6B5B23E6-40FF-41DD-9952-11C669D4FD7E}"/>
    <cellStyle name="20% - Accent1 4 4 2 2" xfId="7900" xr:uid="{8FD02C84-4F92-4343-9468-F3E56CBBC60F}"/>
    <cellStyle name="20% - Accent1 4 4 3" xfId="5755" xr:uid="{EAF5BBAE-E92F-4583-B850-EC7C87EE76E2}"/>
    <cellStyle name="20% - Accent1 4 5" xfId="2282" xr:uid="{B06463E2-3691-4F93-86DE-CF5A41C9F68C}"/>
    <cellStyle name="20% - Accent1 4 5 2" xfId="4098" xr:uid="{13EE6BF9-C273-427B-A09D-F929156A350E}"/>
    <cellStyle name="20% - Accent1 4 5 2 2" xfId="8313" xr:uid="{8E0BD865-CA53-49A9-904D-B45A80E958CC}"/>
    <cellStyle name="20% - Accent1 4 5 3" xfId="6168" xr:uid="{1FE3055C-D78E-4A09-91EE-67363B746C17}"/>
    <cellStyle name="20% - Accent1 4 6" xfId="2695" xr:uid="{092C8BF6-0549-468C-BBA3-8D70D8A98E47}"/>
    <cellStyle name="20% - Accent1 4 6 2" xfId="6581" xr:uid="{362899A1-27CF-4AE5-A15D-E69C718A99A0}"/>
    <cellStyle name="20% - Accent1 4 7" xfId="4515" xr:uid="{23228328-40C8-41B2-A364-5C0810E2CEFC}"/>
    <cellStyle name="20% - Accent1 5" xfId="578" xr:uid="{00000000-0005-0000-0000-00000F000000}"/>
    <cellStyle name="20% - Accent1 5 2" xfId="1447" xr:uid="{FFC8F771-4E4A-411E-BB25-9BA8B2059283}"/>
    <cellStyle name="20% - Accent1 5 2 2" xfId="7067" xr:uid="{BEABDA3F-349C-4D96-BF06-CD81C1E8A6F5}"/>
    <cellStyle name="20% - Accent1 5 3" xfId="4922" xr:uid="{BA34D852-23A5-4803-ABE6-2D4506E34044}"/>
    <cellStyle name="20% - Accent1 6" xfId="1031" xr:uid="{B3391503-6C95-40CB-8286-EB31AC874359}"/>
    <cellStyle name="20% - Accent1 6 2" xfId="3265" xr:uid="{1D8BF34C-E2ED-418A-8E09-F0161F76F3C4}"/>
    <cellStyle name="20% - Accent1 6 2 2" xfId="7480" xr:uid="{B59A2559-EF8B-41B6-8B32-962B24D2CD59}"/>
    <cellStyle name="20% - Accent1 6 3" xfId="5335" xr:uid="{AF6C7EDE-BB3E-461B-A8B1-D5AE3C717CE2}"/>
    <cellStyle name="20% - Accent1 7" xfId="1862" xr:uid="{E4994B66-668D-4508-9050-9055DB084F5F}"/>
    <cellStyle name="20% - Accent1 7 2" xfId="3678" xr:uid="{BA3E36F0-B18F-451B-A4E8-A215D307563D}"/>
    <cellStyle name="20% - Accent1 7 2 2" xfId="7893" xr:uid="{10AB48CE-D0DA-4453-91E0-AA8D381F406D}"/>
    <cellStyle name="20% - Accent1 7 3" xfId="5748" xr:uid="{0FDFE2D9-6C94-40EA-A6B1-2726AA2B95DE}"/>
    <cellStyle name="20% - Accent1 8" xfId="2275" xr:uid="{55494116-2258-42B0-9DA8-BCCBF1CF9B33}"/>
    <cellStyle name="20% - Accent1 8 2" xfId="4091" xr:uid="{BBCDD567-05CA-4BD7-92F4-7120FE8668E8}"/>
    <cellStyle name="20% - Accent1 8 2 2" xfId="8306" xr:uid="{380FDA90-D273-423B-B808-702DCBF90142}"/>
    <cellStyle name="20% - Accent1 8 3" xfId="6161" xr:uid="{8F5B5003-AEF6-435C-888F-C4A0B1078DE0}"/>
    <cellStyle name="20% - Accent1 9" xfId="2688" xr:uid="{87E962B9-869B-4C01-AC30-7647163F695F}"/>
    <cellStyle name="20% - Accent1 9 2" xfId="6574" xr:uid="{F85BF6AF-BFA2-4CB5-A227-A91DF8D196B7}"/>
    <cellStyle name="20% - Accent2" xfId="9" builtinId="34" customBuiltin="1"/>
    <cellStyle name="20% - Accent2 10" xfId="4516" xr:uid="{87BCE5F9-F8CC-42B4-8484-F8DC1D78B1DA}"/>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8" xr:uid="{50D886E3-42DF-40D7-94BE-1487ED1C7220}"/>
    <cellStyle name="20% - Accent2 2 2 2 2 2 2" xfId="7078" xr:uid="{6BC935C7-54B1-4D63-8720-868D3803AD5F}"/>
    <cellStyle name="20% - Accent2 2 2 2 2 3" xfId="4933" xr:uid="{29D85334-912D-4BFF-AF3B-9B63195DAC57}"/>
    <cellStyle name="20% - Accent2 2 2 2 3" xfId="1042" xr:uid="{B5C69F2D-DE0C-4356-B45D-2480B29E5B99}"/>
    <cellStyle name="20% - Accent2 2 2 2 3 2" xfId="3276" xr:uid="{F516E95D-A5F3-4180-AE70-D775F664AD35}"/>
    <cellStyle name="20% - Accent2 2 2 2 3 2 2" xfId="7491" xr:uid="{D9AFA3B4-6B7D-4FE0-AA4A-1B9D8743F207}"/>
    <cellStyle name="20% - Accent2 2 2 2 3 3" xfId="5346" xr:uid="{101949D5-69BC-46F0-8324-0052F62CAAAB}"/>
    <cellStyle name="20% - Accent2 2 2 2 4" xfId="1873" xr:uid="{BAED8BC9-9D67-4227-A14D-A5A0918EAFA0}"/>
    <cellStyle name="20% - Accent2 2 2 2 4 2" xfId="3689" xr:uid="{B506FF13-AF8F-421A-8C4C-F8D984695B1D}"/>
    <cellStyle name="20% - Accent2 2 2 2 4 2 2" xfId="7904" xr:uid="{AF7B5B6B-D278-48A3-A77E-2FEF1B5DFAA0}"/>
    <cellStyle name="20% - Accent2 2 2 2 4 3" xfId="5759" xr:uid="{9C17BD2F-E006-4BCB-98AF-62BF1C4945EB}"/>
    <cellStyle name="20% - Accent2 2 2 2 5" xfId="2286" xr:uid="{887045D8-7762-4EE7-ADBF-2AB7D77FAFBA}"/>
    <cellStyle name="20% - Accent2 2 2 2 5 2" xfId="4102" xr:uid="{B852BDA9-B2F1-44F3-81E7-217E3B15D1B2}"/>
    <cellStyle name="20% - Accent2 2 2 2 5 2 2" xfId="8317" xr:uid="{A98455D3-44F7-40C3-9055-6296429B746D}"/>
    <cellStyle name="20% - Accent2 2 2 2 5 3" xfId="6172" xr:uid="{4E57A61D-7C17-46EB-8B84-C61659938FBC}"/>
    <cellStyle name="20% - Accent2 2 2 2 6" xfId="2699" xr:uid="{8C17D9E7-B61A-4F75-B852-FA1AB9EAEAFD}"/>
    <cellStyle name="20% - Accent2 2 2 2 6 2" xfId="6585" xr:uid="{424CF073-49B5-441D-A550-E4093FFCC796}"/>
    <cellStyle name="20% - Accent2 2 2 2 7" xfId="4519" xr:uid="{3595BA7C-A8B2-43DA-8F5D-9CD14D9C315C}"/>
    <cellStyle name="20% - Accent2 2 2 3" xfId="588" xr:uid="{00000000-0005-0000-0000-000015000000}"/>
    <cellStyle name="20% - Accent2 2 2 3 2" xfId="1457" xr:uid="{6A056BFE-EFE0-4C58-8F87-F4857F10D6AA}"/>
    <cellStyle name="20% - Accent2 2 2 3 2 2" xfId="7077" xr:uid="{8B6AE796-061B-468A-85A4-C71BAA6B537B}"/>
    <cellStyle name="20% - Accent2 2 2 3 3" xfId="4932" xr:uid="{09247D60-69AB-4F1F-821E-C63941C29B24}"/>
    <cellStyle name="20% - Accent2 2 2 4" xfId="1041" xr:uid="{90FFB281-5BEB-475A-BAAA-656227652067}"/>
    <cellStyle name="20% - Accent2 2 2 4 2" xfId="3275" xr:uid="{BA1712F2-765B-4E60-B117-B1E5CE9E9EF8}"/>
    <cellStyle name="20% - Accent2 2 2 4 2 2" xfId="7490" xr:uid="{408087A8-2299-4345-8FC3-EA767DD5397C}"/>
    <cellStyle name="20% - Accent2 2 2 4 3" xfId="5345" xr:uid="{E55768FF-6CB0-427C-B51A-6EA3F9A59928}"/>
    <cellStyle name="20% - Accent2 2 2 5" xfId="1872" xr:uid="{89694487-A7F7-4796-9CB0-83356F1467B5}"/>
    <cellStyle name="20% - Accent2 2 2 5 2" xfId="3688" xr:uid="{7F002C12-1CFD-4076-8740-2B37008496CC}"/>
    <cellStyle name="20% - Accent2 2 2 5 2 2" xfId="7903" xr:uid="{CCE6FB6C-8CF0-4EC3-BCDF-D1DA28D54EBC}"/>
    <cellStyle name="20% - Accent2 2 2 5 3" xfId="5758" xr:uid="{3AEAFE5E-7E8A-4E82-9F0F-E35C203D9475}"/>
    <cellStyle name="20% - Accent2 2 2 6" xfId="2285" xr:uid="{66FB1473-2B2A-4D59-AE82-9D7F45A3CE0F}"/>
    <cellStyle name="20% - Accent2 2 2 6 2" xfId="4101" xr:uid="{9D7FBCE9-7CC2-4BE5-AC79-A4A3D493F4F7}"/>
    <cellStyle name="20% - Accent2 2 2 6 2 2" xfId="8316" xr:uid="{9B961B6E-4541-4573-ADCE-30CE255B0049}"/>
    <cellStyle name="20% - Accent2 2 2 6 3" xfId="6171" xr:uid="{F62F9AE3-CB58-4D2A-895D-8BF4A64A082F}"/>
    <cellStyle name="20% - Accent2 2 2 7" xfId="2698" xr:uid="{A06088E3-761B-4292-84C5-CA761EC1BB1E}"/>
    <cellStyle name="20% - Accent2 2 2 7 2" xfId="6584" xr:uid="{12B82D31-FEBC-4C6F-B859-D1CEBBE74167}"/>
    <cellStyle name="20% - Accent2 2 2 8" xfId="4518" xr:uid="{AEDC83F1-5917-44FB-A9DA-AA5E0B3D5A58}"/>
    <cellStyle name="20% - Accent2 2 3" xfId="13" xr:uid="{00000000-0005-0000-0000-000016000000}"/>
    <cellStyle name="20% - Accent2 2 3 2" xfId="590" xr:uid="{00000000-0005-0000-0000-000017000000}"/>
    <cellStyle name="20% - Accent2 2 3 2 2" xfId="1459" xr:uid="{ED77A308-ABC6-428D-9DDB-3CC54B94F400}"/>
    <cellStyle name="20% - Accent2 2 3 2 2 2" xfId="7079" xr:uid="{21A040DB-851A-4D4D-B2AD-6E2D0E49377E}"/>
    <cellStyle name="20% - Accent2 2 3 2 3" xfId="4934" xr:uid="{71349F1C-602C-4DB1-9069-5663018F4A11}"/>
    <cellStyle name="20% - Accent2 2 3 3" xfId="1043" xr:uid="{CA9015D3-67F4-4242-BD1A-EC80443442E5}"/>
    <cellStyle name="20% - Accent2 2 3 3 2" xfId="3277" xr:uid="{E652759A-99E9-431E-B01D-28F2A9D128BE}"/>
    <cellStyle name="20% - Accent2 2 3 3 2 2" xfId="7492" xr:uid="{110B0D52-D926-444E-B04B-F25464AA894F}"/>
    <cellStyle name="20% - Accent2 2 3 3 3" xfId="5347" xr:uid="{F10285E6-E553-4D85-B74A-C92F165AD587}"/>
    <cellStyle name="20% - Accent2 2 3 4" xfId="1874" xr:uid="{6EBE1216-76AE-42DE-9070-9BFF027CFB9B}"/>
    <cellStyle name="20% - Accent2 2 3 4 2" xfId="3690" xr:uid="{1D23D438-FEA2-4EE0-973D-FE920B6114B5}"/>
    <cellStyle name="20% - Accent2 2 3 4 2 2" xfId="7905" xr:uid="{F370A8ED-1FB1-4B82-98FE-CBA9F1BE1E61}"/>
    <cellStyle name="20% - Accent2 2 3 4 3" xfId="5760" xr:uid="{88849649-B57E-43F8-B0D9-F9E46ED14841}"/>
    <cellStyle name="20% - Accent2 2 3 5" xfId="2287" xr:uid="{1EED0B50-459C-43E8-8256-3F78DE0EFAAD}"/>
    <cellStyle name="20% - Accent2 2 3 5 2" xfId="4103" xr:uid="{FCFBA0EA-A9FF-48B2-A176-7586BA7EE382}"/>
    <cellStyle name="20% - Accent2 2 3 5 2 2" xfId="8318" xr:uid="{2650DB84-C5C5-4544-9E98-72922B4D9094}"/>
    <cellStyle name="20% - Accent2 2 3 5 3" xfId="6173" xr:uid="{307E04F4-2221-432F-8A4B-BFC419F77FA1}"/>
    <cellStyle name="20% - Accent2 2 3 6" xfId="2700" xr:uid="{F32022BB-5BA3-481E-9E1D-73F889EB5E14}"/>
    <cellStyle name="20% - Accent2 2 3 6 2" xfId="6586" xr:uid="{6ED0C037-0859-4305-A7C8-025972F4666F}"/>
    <cellStyle name="20% - Accent2 2 3 7" xfId="4520" xr:uid="{361C10B0-5946-4079-9120-927E9EDFEF7D}"/>
    <cellStyle name="20% - Accent2 2 4" xfId="587" xr:uid="{00000000-0005-0000-0000-000018000000}"/>
    <cellStyle name="20% - Accent2 2 4 2" xfId="1456" xr:uid="{BA6B63B2-E6AB-461B-A3DF-50B301A3EFBA}"/>
    <cellStyle name="20% - Accent2 2 4 2 2" xfId="7076" xr:uid="{61F3DC1E-E998-4876-8CB0-88D19C0D42EB}"/>
    <cellStyle name="20% - Accent2 2 4 3" xfId="4931" xr:uid="{9C59B7EF-5BF3-4A45-B8FC-324E16473717}"/>
    <cellStyle name="20% - Accent2 2 5" xfId="1040" xr:uid="{FA8FDD44-F831-4EAF-8AED-9EE072CF414E}"/>
    <cellStyle name="20% - Accent2 2 5 2" xfId="3274" xr:uid="{AA18AA85-2680-463A-AB56-5428A5EE36B5}"/>
    <cellStyle name="20% - Accent2 2 5 2 2" xfId="7489" xr:uid="{9F6D07AE-41E5-408E-BE73-891BD913845F}"/>
    <cellStyle name="20% - Accent2 2 5 3" xfId="5344" xr:uid="{8D70DA95-72AA-4A34-BCB6-1AA81481EB8A}"/>
    <cellStyle name="20% - Accent2 2 6" xfId="1871" xr:uid="{925EB8F5-E7F3-480A-BCE1-87CDBB29F1CD}"/>
    <cellStyle name="20% - Accent2 2 6 2" xfId="3687" xr:uid="{5C401B84-B362-4FCF-8F35-87AA74AAC722}"/>
    <cellStyle name="20% - Accent2 2 6 2 2" xfId="7902" xr:uid="{9785FF7F-98CF-4637-B59A-4CC04E361A7E}"/>
    <cellStyle name="20% - Accent2 2 6 3" xfId="5757" xr:uid="{A4A566D0-9663-412E-B41F-3EF49D104FBB}"/>
    <cellStyle name="20% - Accent2 2 7" xfId="2284" xr:uid="{C5EC9F77-C76A-41B5-912B-D235BC3A2125}"/>
    <cellStyle name="20% - Accent2 2 7 2" xfId="4100" xr:uid="{8FE8C31B-0CC4-4817-9895-62AC7B5C73D5}"/>
    <cellStyle name="20% - Accent2 2 7 2 2" xfId="8315" xr:uid="{1A825648-B56E-4DCE-A0C9-E7FC1E8C92AE}"/>
    <cellStyle name="20% - Accent2 2 7 3" xfId="6170" xr:uid="{7983291E-91A7-4B91-AF46-11EC4EF034AC}"/>
    <cellStyle name="20% - Accent2 2 8" xfId="2697" xr:uid="{2B8D36FE-8121-40D1-98AC-9E5CD37E260B}"/>
    <cellStyle name="20% - Accent2 2 8 2" xfId="6583" xr:uid="{D27DD583-D843-4896-9B31-DD411BDA6442}"/>
    <cellStyle name="20% - Accent2 2 9" xfId="4517" xr:uid="{1E131F3A-B66F-419D-8EC9-861BF994DDB0}"/>
    <cellStyle name="20% - Accent2 3" xfId="14" xr:uid="{00000000-0005-0000-0000-000019000000}"/>
    <cellStyle name="20% - Accent2 3 2" xfId="15" xr:uid="{00000000-0005-0000-0000-00001A000000}"/>
    <cellStyle name="20% - Accent2 3 2 2" xfId="592" xr:uid="{00000000-0005-0000-0000-00001B000000}"/>
    <cellStyle name="20% - Accent2 3 2 2 2" xfId="1461" xr:uid="{74FA2ACF-4DA7-4952-A8C0-526230C61B9D}"/>
    <cellStyle name="20% - Accent2 3 2 2 2 2" xfId="7081" xr:uid="{1F65357F-BB5C-4AA3-9746-6636BCD46BAC}"/>
    <cellStyle name="20% - Accent2 3 2 2 3" xfId="4936" xr:uid="{8445E805-7EB1-4EE2-B536-0DA5AE320A11}"/>
    <cellStyle name="20% - Accent2 3 2 3" xfId="1045" xr:uid="{57FB1769-4BE5-426A-BD44-06007A7ABA5C}"/>
    <cellStyle name="20% - Accent2 3 2 3 2" xfId="3279" xr:uid="{4B6A586D-E4EC-484A-829A-1678CCB3BE50}"/>
    <cellStyle name="20% - Accent2 3 2 3 2 2" xfId="7494" xr:uid="{4B4E7BFE-F11E-4DB6-911B-9F12836A2B01}"/>
    <cellStyle name="20% - Accent2 3 2 3 3" xfId="5349" xr:uid="{4F780BC5-8BE0-434C-9AFE-A6B87DCC7017}"/>
    <cellStyle name="20% - Accent2 3 2 4" xfId="1876" xr:uid="{FA80F0AD-0BFA-4FFB-A852-39BEBB1183AE}"/>
    <cellStyle name="20% - Accent2 3 2 4 2" xfId="3692" xr:uid="{53C232BA-23D6-4187-9D00-5838B952BA1F}"/>
    <cellStyle name="20% - Accent2 3 2 4 2 2" xfId="7907" xr:uid="{15D48881-82A4-4282-AE19-C77252F326B0}"/>
    <cellStyle name="20% - Accent2 3 2 4 3" xfId="5762" xr:uid="{6E18C3A3-F874-4DD1-8EEC-7607E859F7B0}"/>
    <cellStyle name="20% - Accent2 3 2 5" xfId="2289" xr:uid="{13B01244-AFC9-4FFB-8586-6FCBC30D8E3E}"/>
    <cellStyle name="20% - Accent2 3 2 5 2" xfId="4105" xr:uid="{AC564A05-B58D-4475-8081-92344D0A6F32}"/>
    <cellStyle name="20% - Accent2 3 2 5 2 2" xfId="8320" xr:uid="{7A6856DC-FC86-41BD-A047-BF54BCCC629F}"/>
    <cellStyle name="20% - Accent2 3 2 5 3" xfId="6175" xr:uid="{A3799855-850D-4D3F-AF58-DAA49018F532}"/>
    <cellStyle name="20% - Accent2 3 2 6" xfId="2702" xr:uid="{07E680E7-4BC4-4CB1-A6F5-63CB2738CC15}"/>
    <cellStyle name="20% - Accent2 3 2 6 2" xfId="6588" xr:uid="{DFB508BB-75DC-4606-AA61-F12F4B19511B}"/>
    <cellStyle name="20% - Accent2 3 2 7" xfId="4522" xr:uid="{A3961EC9-7747-40A3-8A11-DBA63EE83925}"/>
    <cellStyle name="20% - Accent2 3 3" xfId="591" xr:uid="{00000000-0005-0000-0000-00001C000000}"/>
    <cellStyle name="20% - Accent2 3 3 2" xfId="1460" xr:uid="{8CE219BD-3ACE-46D3-AEDF-0430484331BD}"/>
    <cellStyle name="20% - Accent2 3 3 2 2" xfId="7080" xr:uid="{71352142-AE0F-4A79-8EDA-E352CBCAD30D}"/>
    <cellStyle name="20% - Accent2 3 3 3" xfId="4935" xr:uid="{603A8AC8-CC41-44C1-8565-696545189904}"/>
    <cellStyle name="20% - Accent2 3 4" xfId="1044" xr:uid="{F8402036-D2B1-4BD8-9C4C-83E7B2D5911D}"/>
    <cellStyle name="20% - Accent2 3 4 2" xfId="3278" xr:uid="{BC61CFCE-248F-4F23-9F2B-3B0A4DEC6ED2}"/>
    <cellStyle name="20% - Accent2 3 4 2 2" xfId="7493" xr:uid="{189800E0-74B0-4E15-AA73-12E99201D583}"/>
    <cellStyle name="20% - Accent2 3 4 3" xfId="5348" xr:uid="{4162D1CD-6442-4427-B980-B5FA31DC9D4A}"/>
    <cellStyle name="20% - Accent2 3 5" xfId="1875" xr:uid="{F68341CA-579B-4C8F-BC05-E54E1E328367}"/>
    <cellStyle name="20% - Accent2 3 5 2" xfId="3691" xr:uid="{AD721E4B-0850-450E-8082-C807D453CE0A}"/>
    <cellStyle name="20% - Accent2 3 5 2 2" xfId="7906" xr:uid="{4BCF2CDE-D33F-4129-923A-5EB9FAEC0521}"/>
    <cellStyle name="20% - Accent2 3 5 3" xfId="5761" xr:uid="{C6FF498E-557E-4A2B-9B78-0CE784849A4D}"/>
    <cellStyle name="20% - Accent2 3 6" xfId="2288" xr:uid="{1D418DDC-8DDA-4645-B963-B9161C42734B}"/>
    <cellStyle name="20% - Accent2 3 6 2" xfId="4104" xr:uid="{DC361689-91A4-44AC-B518-7824DF31F675}"/>
    <cellStyle name="20% - Accent2 3 6 2 2" xfId="8319" xr:uid="{A94457F8-38A2-406C-8AA8-820E6750FA96}"/>
    <cellStyle name="20% - Accent2 3 6 3" xfId="6174" xr:uid="{45FBCDFB-9D3D-4ACD-9A36-CEA9DB44942C}"/>
    <cellStyle name="20% - Accent2 3 7" xfId="2701" xr:uid="{80FEEF7E-2421-474F-AEE0-B73E9D52EE1A}"/>
    <cellStyle name="20% - Accent2 3 7 2" xfId="6587" xr:uid="{9EBA9903-BBDD-4605-AE97-31B42223A50E}"/>
    <cellStyle name="20% - Accent2 3 8" xfId="4521" xr:uid="{73929769-2C8B-4BFC-B44A-88DA1B92E9D8}"/>
    <cellStyle name="20% - Accent2 4" xfId="16" xr:uid="{00000000-0005-0000-0000-00001D000000}"/>
    <cellStyle name="20% - Accent2 4 2" xfId="593" xr:uid="{00000000-0005-0000-0000-00001E000000}"/>
    <cellStyle name="20% - Accent2 4 2 2" xfId="1462" xr:uid="{1C945191-B3C6-479C-B5C7-749856E2B2C5}"/>
    <cellStyle name="20% - Accent2 4 2 2 2" xfId="7082" xr:uid="{68EE5807-8A4E-4095-A46E-C3AC04A808F4}"/>
    <cellStyle name="20% - Accent2 4 2 3" xfId="4937" xr:uid="{F7169FAD-CA9A-4547-BAE9-81B29C27CF52}"/>
    <cellStyle name="20% - Accent2 4 3" xfId="1046" xr:uid="{2FFDE618-EB94-4880-8833-30541632E40B}"/>
    <cellStyle name="20% - Accent2 4 3 2" xfId="3280" xr:uid="{1E8E6E18-FE29-4121-8D8A-1B508AD934AB}"/>
    <cellStyle name="20% - Accent2 4 3 2 2" xfId="7495" xr:uid="{1BAAFCF8-D5E3-4A90-8D98-DCCE185EB627}"/>
    <cellStyle name="20% - Accent2 4 3 3" xfId="5350" xr:uid="{D9B2AEA0-4979-45F0-BB20-9C9E1FE85E98}"/>
    <cellStyle name="20% - Accent2 4 4" xfId="1877" xr:uid="{9D97C999-5C5F-4542-ABA7-7222828D2F20}"/>
    <cellStyle name="20% - Accent2 4 4 2" xfId="3693" xr:uid="{EB0A8BA7-9A26-4E64-B229-6893E3071854}"/>
    <cellStyle name="20% - Accent2 4 4 2 2" xfId="7908" xr:uid="{C0C0219E-AAB2-44C5-9A4E-632E20EE733A}"/>
    <cellStyle name="20% - Accent2 4 4 3" xfId="5763" xr:uid="{8D97684C-5BA6-4E4E-A3E2-523B6CECB7A4}"/>
    <cellStyle name="20% - Accent2 4 5" xfId="2290" xr:uid="{59E4196E-D8C2-49FA-B720-74F20AFF77C4}"/>
    <cellStyle name="20% - Accent2 4 5 2" xfId="4106" xr:uid="{C0865415-1815-42EB-9F8A-3224D2A52C92}"/>
    <cellStyle name="20% - Accent2 4 5 2 2" xfId="8321" xr:uid="{C4C8EBF9-6D74-447D-BF62-ECF3FB261E65}"/>
    <cellStyle name="20% - Accent2 4 5 3" xfId="6176" xr:uid="{B6FE86FC-F537-4585-B702-AB86C6820F2D}"/>
    <cellStyle name="20% - Accent2 4 6" xfId="2703" xr:uid="{6524C623-E4D2-4A90-B05E-358BF90D47BD}"/>
    <cellStyle name="20% - Accent2 4 6 2" xfId="6589" xr:uid="{9440B9CC-8EC0-4403-88DF-FAEEE0248871}"/>
    <cellStyle name="20% - Accent2 4 7" xfId="4523" xr:uid="{BCF32976-00AA-4CEF-9978-1C72147C24C1}"/>
    <cellStyle name="20% - Accent2 5" xfId="586" xr:uid="{00000000-0005-0000-0000-00001F000000}"/>
    <cellStyle name="20% - Accent2 5 2" xfId="1455" xr:uid="{0E6FB6C4-3C31-47A0-8050-9960CCCE40D8}"/>
    <cellStyle name="20% - Accent2 5 2 2" xfId="7075" xr:uid="{E38B5491-F84B-44B1-AAF7-A21B9006D164}"/>
    <cellStyle name="20% - Accent2 5 3" xfId="4930" xr:uid="{45B23A58-CA83-45D7-B6E2-79925F510BD5}"/>
    <cellStyle name="20% - Accent2 6" xfId="1039" xr:uid="{60B38FB0-3B5D-4860-91F4-4F1E84F6E2D7}"/>
    <cellStyle name="20% - Accent2 6 2" xfId="3273" xr:uid="{B7D039BF-A62D-4F01-8A53-64EBEA8FF27E}"/>
    <cellStyle name="20% - Accent2 6 2 2" xfId="7488" xr:uid="{318A0660-5AC2-4C0F-99FB-FB721478CF9E}"/>
    <cellStyle name="20% - Accent2 6 3" xfId="5343" xr:uid="{F8AA8D29-9D27-4280-B2C6-C9759B92A261}"/>
    <cellStyle name="20% - Accent2 7" xfId="1870" xr:uid="{D83CFEA4-F48C-4340-A708-C5DDDB05765F}"/>
    <cellStyle name="20% - Accent2 7 2" xfId="3686" xr:uid="{297E6083-3F72-489B-AD06-203D0C79F2D5}"/>
    <cellStyle name="20% - Accent2 7 2 2" xfId="7901" xr:uid="{7BEC7BC7-EC6E-46BF-8EF4-F453B550BEB3}"/>
    <cellStyle name="20% - Accent2 7 3" xfId="5756" xr:uid="{90BBEBBD-D92B-4FB8-9184-E923FE102BE6}"/>
    <cellStyle name="20% - Accent2 8" xfId="2283" xr:uid="{DAD7D445-18F5-4D82-9B24-FBF91DDC1726}"/>
    <cellStyle name="20% - Accent2 8 2" xfId="4099" xr:uid="{42C126F7-9190-4C19-B2AE-104F66EC84BB}"/>
    <cellStyle name="20% - Accent2 8 2 2" xfId="8314" xr:uid="{5C367BA1-854C-4CE2-818E-80ED3D7AAFD3}"/>
    <cellStyle name="20% - Accent2 8 3" xfId="6169" xr:uid="{0646A9B8-ADAD-4921-B094-3B42D15BE5EC}"/>
    <cellStyle name="20% - Accent2 9" xfId="2696" xr:uid="{89AA9797-490B-4ED4-8C2F-5E484BFBDBEB}"/>
    <cellStyle name="20% - Accent2 9 2" xfId="6582" xr:uid="{54FCB10E-3305-4371-A4ED-46F1A02E75D1}"/>
    <cellStyle name="20% - Accent3" xfId="17" builtinId="38" customBuiltin="1"/>
    <cellStyle name="20% - Accent3 10" xfId="4524" xr:uid="{F61B8C82-D654-43D5-A053-22D4268A2F2B}"/>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6" xr:uid="{DD896ACB-CA47-4266-9513-C33C41860058}"/>
    <cellStyle name="20% - Accent3 2 2 2 2 2 2" xfId="7086" xr:uid="{DE61F4B7-ECE7-488E-A0AA-0B60F33E82B2}"/>
    <cellStyle name="20% - Accent3 2 2 2 2 3" xfId="4941" xr:uid="{141EA8EC-BDE4-41B7-A9ED-AC51BD6FBDC3}"/>
    <cellStyle name="20% - Accent3 2 2 2 3" xfId="1050" xr:uid="{5E462111-B2E9-4CB7-8EFC-80F6D7D7CBA6}"/>
    <cellStyle name="20% - Accent3 2 2 2 3 2" xfId="3284" xr:uid="{FEB43C00-0DC7-47EC-9B68-93C49F9AA7FD}"/>
    <cellStyle name="20% - Accent3 2 2 2 3 2 2" xfId="7499" xr:uid="{26D1D181-17C2-4F6C-9AF7-8870C13404EC}"/>
    <cellStyle name="20% - Accent3 2 2 2 3 3" xfId="5354" xr:uid="{039186C9-76B6-4493-97D1-A62B7C9B9DE0}"/>
    <cellStyle name="20% - Accent3 2 2 2 4" xfId="1881" xr:uid="{0B3AE43F-2592-423B-BFA2-58BBF1ADEFEA}"/>
    <cellStyle name="20% - Accent3 2 2 2 4 2" xfId="3697" xr:uid="{B9B53132-0BAD-4BE6-BFA3-450D18DA7E7F}"/>
    <cellStyle name="20% - Accent3 2 2 2 4 2 2" xfId="7912" xr:uid="{CD324B32-37D9-4300-9741-D01DFE958D63}"/>
    <cellStyle name="20% - Accent3 2 2 2 4 3" xfId="5767" xr:uid="{BCA3C71B-D38B-474E-B7AA-8398A5ED703D}"/>
    <cellStyle name="20% - Accent3 2 2 2 5" xfId="2294" xr:uid="{E4AED608-C0D8-4CA8-A3C3-831F7DC94434}"/>
    <cellStyle name="20% - Accent3 2 2 2 5 2" xfId="4110" xr:uid="{6C371850-4CF0-4A0C-A94A-04A12F0FAF43}"/>
    <cellStyle name="20% - Accent3 2 2 2 5 2 2" xfId="8325" xr:uid="{B4E07835-A157-49C6-800B-65D21B55D427}"/>
    <cellStyle name="20% - Accent3 2 2 2 5 3" xfId="6180" xr:uid="{1B214789-0C8D-4E39-B7F8-BB9DEBB5F512}"/>
    <cellStyle name="20% - Accent3 2 2 2 6" xfId="2707" xr:uid="{1DD26019-C34B-4C7E-8F01-1740C8BC804A}"/>
    <cellStyle name="20% - Accent3 2 2 2 6 2" xfId="6593" xr:uid="{1F87F937-5318-44EF-9BB3-5D5D8BBFA46E}"/>
    <cellStyle name="20% - Accent3 2 2 2 7" xfId="4527" xr:uid="{3A7DC7AE-2CFC-4F91-AD9F-E0840D84FD69}"/>
    <cellStyle name="20% - Accent3 2 2 3" xfId="596" xr:uid="{00000000-0005-0000-0000-000025000000}"/>
    <cellStyle name="20% - Accent3 2 2 3 2" xfId="1465" xr:uid="{D5FFFF28-A60C-4583-B2E3-7EFAD4F91F15}"/>
    <cellStyle name="20% - Accent3 2 2 3 2 2" xfId="7085" xr:uid="{94EC1270-78FA-4455-B16A-DCD7B8C8F89E}"/>
    <cellStyle name="20% - Accent3 2 2 3 3" xfId="4940" xr:uid="{C2E115A5-8DD9-43B3-8614-66C53669F740}"/>
    <cellStyle name="20% - Accent3 2 2 4" xfId="1049" xr:uid="{CDD3A102-A675-4C52-BF28-9E6E7924835C}"/>
    <cellStyle name="20% - Accent3 2 2 4 2" xfId="3283" xr:uid="{F1E88953-12C0-4E12-AE39-392FDEB7D127}"/>
    <cellStyle name="20% - Accent3 2 2 4 2 2" xfId="7498" xr:uid="{73A6BF04-DAB0-4CA4-AA93-3E40B01CFB3C}"/>
    <cellStyle name="20% - Accent3 2 2 4 3" xfId="5353" xr:uid="{63BB9203-7DD1-44DF-A9BF-AA119E4474B9}"/>
    <cellStyle name="20% - Accent3 2 2 5" xfId="1880" xr:uid="{3EAFECA9-2B5B-4D55-A93A-F94E2D69FD36}"/>
    <cellStyle name="20% - Accent3 2 2 5 2" xfId="3696" xr:uid="{72BDC0B6-8DCB-49C1-98A3-C8FC36E5ECF3}"/>
    <cellStyle name="20% - Accent3 2 2 5 2 2" xfId="7911" xr:uid="{DD98B34F-1DAD-42A4-A43D-2F3DEBD7B238}"/>
    <cellStyle name="20% - Accent3 2 2 5 3" xfId="5766" xr:uid="{8F48E3B4-2E06-4468-A056-C81948C6D84C}"/>
    <cellStyle name="20% - Accent3 2 2 6" xfId="2293" xr:uid="{A5369632-72E1-43EC-A727-F2789D71358B}"/>
    <cellStyle name="20% - Accent3 2 2 6 2" xfId="4109" xr:uid="{BB81F509-34D1-4710-8F03-7E132DD7428A}"/>
    <cellStyle name="20% - Accent3 2 2 6 2 2" xfId="8324" xr:uid="{350FFAA1-94CC-4336-952A-77FF7DB25FBB}"/>
    <cellStyle name="20% - Accent3 2 2 6 3" xfId="6179" xr:uid="{A6AD63E4-895C-401B-BFC4-D865C9F41BA6}"/>
    <cellStyle name="20% - Accent3 2 2 7" xfId="2706" xr:uid="{FB8A1D2D-BC6A-4A66-BED2-EB293B9B54DF}"/>
    <cellStyle name="20% - Accent3 2 2 7 2" xfId="6592" xr:uid="{68BD97C5-A1AC-4597-99D6-93E411665496}"/>
    <cellStyle name="20% - Accent3 2 2 8" xfId="4526" xr:uid="{B4887A95-EA77-4D4F-9CBF-FCB42285E0AB}"/>
    <cellStyle name="20% - Accent3 2 3" xfId="21" xr:uid="{00000000-0005-0000-0000-000026000000}"/>
    <cellStyle name="20% - Accent3 2 3 2" xfId="598" xr:uid="{00000000-0005-0000-0000-000027000000}"/>
    <cellStyle name="20% - Accent3 2 3 2 2" xfId="1467" xr:uid="{A64F8E8C-315E-44CE-93C2-1C9316EB6DB6}"/>
    <cellStyle name="20% - Accent3 2 3 2 2 2" xfId="7087" xr:uid="{5D861AA1-D958-491E-8C09-D434B67D8B89}"/>
    <cellStyle name="20% - Accent3 2 3 2 3" xfId="4942" xr:uid="{1FBBC8FE-8340-49BE-96A4-2972690CBAA3}"/>
    <cellStyle name="20% - Accent3 2 3 3" xfId="1051" xr:uid="{C1AB6BED-7850-42B9-A6A6-C78AE9536B17}"/>
    <cellStyle name="20% - Accent3 2 3 3 2" xfId="3285" xr:uid="{D36FA84D-5435-4D58-9870-4A48E741C007}"/>
    <cellStyle name="20% - Accent3 2 3 3 2 2" xfId="7500" xr:uid="{6DBD214B-4C84-4DD4-9521-061B72AF7A0E}"/>
    <cellStyle name="20% - Accent3 2 3 3 3" xfId="5355" xr:uid="{8F848E6A-7B45-4620-90DE-62602960452E}"/>
    <cellStyle name="20% - Accent3 2 3 4" xfId="1882" xr:uid="{D1A5F823-74FA-4C3B-9EA1-72D0ED14450F}"/>
    <cellStyle name="20% - Accent3 2 3 4 2" xfId="3698" xr:uid="{FF5FE630-E480-4FF8-8325-A066F816E64E}"/>
    <cellStyle name="20% - Accent3 2 3 4 2 2" xfId="7913" xr:uid="{DDDC1416-E705-4F12-8925-F6D753880121}"/>
    <cellStyle name="20% - Accent3 2 3 4 3" xfId="5768" xr:uid="{CEF51027-33B4-429D-8D61-CE2FF3E46E49}"/>
    <cellStyle name="20% - Accent3 2 3 5" xfId="2295" xr:uid="{8C10BA3F-022B-453D-B39D-9A67AE6E5B6C}"/>
    <cellStyle name="20% - Accent3 2 3 5 2" xfId="4111" xr:uid="{C04BFFC2-FF7F-4D06-BA6D-DB78B8C14233}"/>
    <cellStyle name="20% - Accent3 2 3 5 2 2" xfId="8326" xr:uid="{2E075ADE-4A26-48C4-BA57-F1ADF1F76611}"/>
    <cellStyle name="20% - Accent3 2 3 5 3" xfId="6181" xr:uid="{CA15A6DA-7501-4C75-AAD9-13FD5C45BEE2}"/>
    <cellStyle name="20% - Accent3 2 3 6" xfId="2708" xr:uid="{75A0CB6C-E750-45E7-890F-FDDDB37A472D}"/>
    <cellStyle name="20% - Accent3 2 3 6 2" xfId="6594" xr:uid="{14C77A45-4D6B-41EB-982F-5CBCD07E1FF2}"/>
    <cellStyle name="20% - Accent3 2 3 7" xfId="4528" xr:uid="{944A48E7-5EED-42CA-997C-3DD513CBCCD8}"/>
    <cellStyle name="20% - Accent3 2 4" xfId="595" xr:uid="{00000000-0005-0000-0000-000028000000}"/>
    <cellStyle name="20% - Accent3 2 4 2" xfId="1464" xr:uid="{18CAB968-5D31-4E76-96B3-4C0041FD76B8}"/>
    <cellStyle name="20% - Accent3 2 4 2 2" xfId="7084" xr:uid="{5119A484-A983-401B-83ED-4BA142F90112}"/>
    <cellStyle name="20% - Accent3 2 4 3" xfId="4939" xr:uid="{86D87D28-D5CB-4225-BE33-F7162F8B9AF9}"/>
    <cellStyle name="20% - Accent3 2 5" xfId="1048" xr:uid="{216B5E18-8743-4A2A-A2E4-A42CE4E1D13F}"/>
    <cellStyle name="20% - Accent3 2 5 2" xfId="3282" xr:uid="{C22DAE1B-08C4-4050-85E2-DF81700095CD}"/>
    <cellStyle name="20% - Accent3 2 5 2 2" xfId="7497" xr:uid="{11CC29BF-3A28-4F5B-8725-9D78D8515528}"/>
    <cellStyle name="20% - Accent3 2 5 3" xfId="5352" xr:uid="{5C15FF6C-DF3B-4F2C-983E-97CD4272A800}"/>
    <cellStyle name="20% - Accent3 2 6" xfId="1879" xr:uid="{1E7EA034-F3F2-4A70-8C3F-47B1FF976F27}"/>
    <cellStyle name="20% - Accent3 2 6 2" xfId="3695" xr:uid="{BAF97F2B-0AD6-44AD-AA2D-29A4C98B7C64}"/>
    <cellStyle name="20% - Accent3 2 6 2 2" xfId="7910" xr:uid="{94A35CB7-4A1B-49DD-B2A7-25EFF5AED402}"/>
    <cellStyle name="20% - Accent3 2 6 3" xfId="5765" xr:uid="{27ED1482-0CFF-4839-93B6-8B7BD86C8FB1}"/>
    <cellStyle name="20% - Accent3 2 7" xfId="2292" xr:uid="{FA5A2BBC-4F95-41BF-8196-DCF8F5C4FDA9}"/>
    <cellStyle name="20% - Accent3 2 7 2" xfId="4108" xr:uid="{426CBD39-CEA9-421D-A750-668ED277C1A7}"/>
    <cellStyle name="20% - Accent3 2 7 2 2" xfId="8323" xr:uid="{EB93C00C-7C08-4F2D-B8BD-AFCDD6A54973}"/>
    <cellStyle name="20% - Accent3 2 7 3" xfId="6178" xr:uid="{2D9D4138-9420-4459-A928-784A8A6CA104}"/>
    <cellStyle name="20% - Accent3 2 8" xfId="2705" xr:uid="{2C0ED08B-922F-496F-A970-BDD0054DE32D}"/>
    <cellStyle name="20% - Accent3 2 8 2" xfId="6591" xr:uid="{076F5CCE-7615-4A7B-A5DE-3696B84FBA93}"/>
    <cellStyle name="20% - Accent3 2 9" xfId="4525" xr:uid="{CEC27FCE-EA5A-43FC-8038-9753395B3408}"/>
    <cellStyle name="20% - Accent3 3" xfId="22" xr:uid="{00000000-0005-0000-0000-000029000000}"/>
    <cellStyle name="20% - Accent3 3 2" xfId="23" xr:uid="{00000000-0005-0000-0000-00002A000000}"/>
    <cellStyle name="20% - Accent3 3 2 2" xfId="600" xr:uid="{00000000-0005-0000-0000-00002B000000}"/>
    <cellStyle name="20% - Accent3 3 2 2 2" xfId="1469" xr:uid="{012E562D-C676-4422-B049-C6F1A4741403}"/>
    <cellStyle name="20% - Accent3 3 2 2 2 2" xfId="7089" xr:uid="{A1F5626A-B0A7-4B3C-9AAD-CDDB0C377853}"/>
    <cellStyle name="20% - Accent3 3 2 2 3" xfId="4944" xr:uid="{7AB33C13-167C-489A-81B9-F76A15492730}"/>
    <cellStyle name="20% - Accent3 3 2 3" xfId="1053" xr:uid="{31C50358-B445-41CC-9089-8DB396AA138E}"/>
    <cellStyle name="20% - Accent3 3 2 3 2" xfId="3287" xr:uid="{9F0D734D-817A-4FA0-AF23-E1274AF4E365}"/>
    <cellStyle name="20% - Accent3 3 2 3 2 2" xfId="7502" xr:uid="{4EB5CF6E-E0B0-4AD4-B304-22F52B610D66}"/>
    <cellStyle name="20% - Accent3 3 2 3 3" xfId="5357" xr:uid="{3F3D4BAD-62E6-44B2-90CA-D32A36052668}"/>
    <cellStyle name="20% - Accent3 3 2 4" xfId="1884" xr:uid="{E4202111-3642-47D6-AA39-2D3ED67CCC92}"/>
    <cellStyle name="20% - Accent3 3 2 4 2" xfId="3700" xr:uid="{A55E522E-25AE-453B-8481-07E1BA6FC261}"/>
    <cellStyle name="20% - Accent3 3 2 4 2 2" xfId="7915" xr:uid="{6A9FBADC-168C-40FA-9089-5C9536B222D8}"/>
    <cellStyle name="20% - Accent3 3 2 4 3" xfId="5770" xr:uid="{6F52BE18-36A8-4B42-906E-F4B9DFA02C5B}"/>
    <cellStyle name="20% - Accent3 3 2 5" xfId="2297" xr:uid="{AC83C7FC-4D9F-4A2A-AC22-8FBED0FA411C}"/>
    <cellStyle name="20% - Accent3 3 2 5 2" xfId="4113" xr:uid="{CD1492FD-F318-4E77-86D5-144A6C2B0AC7}"/>
    <cellStyle name="20% - Accent3 3 2 5 2 2" xfId="8328" xr:uid="{DF41D07E-0D30-4DDF-9EB1-E68134E1FC2D}"/>
    <cellStyle name="20% - Accent3 3 2 5 3" xfId="6183" xr:uid="{956CB1BB-65AF-4FF5-9A87-CFE8267B3DA0}"/>
    <cellStyle name="20% - Accent3 3 2 6" xfId="2710" xr:uid="{BDEDE4C9-AE3B-409D-9AB6-8DB943F25250}"/>
    <cellStyle name="20% - Accent3 3 2 6 2" xfId="6596" xr:uid="{4DE7AE4A-B9BB-4D38-8CD0-B8B99D0F27EF}"/>
    <cellStyle name="20% - Accent3 3 2 7" xfId="4530" xr:uid="{5C8C832B-7839-4968-B3F0-A9D8CDB5532E}"/>
    <cellStyle name="20% - Accent3 3 3" xfId="599" xr:uid="{00000000-0005-0000-0000-00002C000000}"/>
    <cellStyle name="20% - Accent3 3 3 2" xfId="1468" xr:uid="{74E20C8D-9AB8-41B2-841B-9763EC877487}"/>
    <cellStyle name="20% - Accent3 3 3 2 2" xfId="7088" xr:uid="{18F08FEB-E382-40D0-A83D-17B2CAF543DA}"/>
    <cellStyle name="20% - Accent3 3 3 3" xfId="4943" xr:uid="{35C97366-3A5B-4017-9792-350D0A950088}"/>
    <cellStyle name="20% - Accent3 3 4" xfId="1052" xr:uid="{463B2691-3CFA-4993-8168-4A0FA1F7E88F}"/>
    <cellStyle name="20% - Accent3 3 4 2" xfId="3286" xr:uid="{B001BBE7-D4CE-40F2-B3D7-5B7747F42C0F}"/>
    <cellStyle name="20% - Accent3 3 4 2 2" xfId="7501" xr:uid="{A828D402-F025-4977-A422-9042AF4C5387}"/>
    <cellStyle name="20% - Accent3 3 4 3" xfId="5356" xr:uid="{AAC71567-CA2D-42EA-AA62-DA84CA042E12}"/>
    <cellStyle name="20% - Accent3 3 5" xfId="1883" xr:uid="{C4AB9859-1430-4D03-8499-0A1BCAB57062}"/>
    <cellStyle name="20% - Accent3 3 5 2" xfId="3699" xr:uid="{0EA02306-CEB8-4EC7-9DD4-07FDF990DC7E}"/>
    <cellStyle name="20% - Accent3 3 5 2 2" xfId="7914" xr:uid="{F855D9E1-585D-42D3-8A72-D5559769DE9A}"/>
    <cellStyle name="20% - Accent3 3 5 3" xfId="5769" xr:uid="{5EED0708-9CEE-4A2E-BFA7-F26223072814}"/>
    <cellStyle name="20% - Accent3 3 6" xfId="2296" xr:uid="{3E0D566B-47E0-40C4-9EE9-8BC0347623F7}"/>
    <cellStyle name="20% - Accent3 3 6 2" xfId="4112" xr:uid="{C32E52B2-3DAF-41E8-B521-0071B74B2312}"/>
    <cellStyle name="20% - Accent3 3 6 2 2" xfId="8327" xr:uid="{2FB2A898-B6E9-4D9D-9774-C73E0D5BB69D}"/>
    <cellStyle name="20% - Accent3 3 6 3" xfId="6182" xr:uid="{699FE498-DBD4-4179-A70B-3CB016AED846}"/>
    <cellStyle name="20% - Accent3 3 7" xfId="2709" xr:uid="{622CAD2E-FAB5-4A35-B9DE-F35A43D830C2}"/>
    <cellStyle name="20% - Accent3 3 7 2" xfId="6595" xr:uid="{6F8F9AA7-D0A5-485D-8259-283F7DF69E5C}"/>
    <cellStyle name="20% - Accent3 3 8" xfId="4529" xr:uid="{FDBBC10B-4F9A-45DF-BEBD-5A33DF1E20ED}"/>
    <cellStyle name="20% - Accent3 4" xfId="24" xr:uid="{00000000-0005-0000-0000-00002D000000}"/>
    <cellStyle name="20% - Accent3 4 2" xfId="601" xr:uid="{00000000-0005-0000-0000-00002E000000}"/>
    <cellStyle name="20% - Accent3 4 2 2" xfId="1470" xr:uid="{E0B66D60-C99F-42C3-B998-EB1C8C55FAB4}"/>
    <cellStyle name="20% - Accent3 4 2 2 2" xfId="7090" xr:uid="{CEC71317-0F2E-4F91-BC4D-8D35CEA2DF51}"/>
    <cellStyle name="20% - Accent3 4 2 3" xfId="4945" xr:uid="{7C822D65-7056-4D17-8F77-61AE8318B615}"/>
    <cellStyle name="20% - Accent3 4 3" xfId="1054" xr:uid="{AA39950D-38B2-499F-B3C9-28F9E0365014}"/>
    <cellStyle name="20% - Accent3 4 3 2" xfId="3288" xr:uid="{125518FC-2658-4843-9334-B894F51FFBAE}"/>
    <cellStyle name="20% - Accent3 4 3 2 2" xfId="7503" xr:uid="{7C8610E3-8AA1-4612-AAE9-887E9641A4EE}"/>
    <cellStyle name="20% - Accent3 4 3 3" xfId="5358" xr:uid="{9A12BE40-6852-4859-863D-CDC4BA96AA36}"/>
    <cellStyle name="20% - Accent3 4 4" xfId="1885" xr:uid="{75DF1E2F-FF33-45AA-9619-5251286EB79B}"/>
    <cellStyle name="20% - Accent3 4 4 2" xfId="3701" xr:uid="{20ABFB18-815D-42FA-92C3-B34C358AD52B}"/>
    <cellStyle name="20% - Accent3 4 4 2 2" xfId="7916" xr:uid="{DEA9EDB8-B92A-4EBA-A222-83C1CE8B1EFA}"/>
    <cellStyle name="20% - Accent3 4 4 3" xfId="5771" xr:uid="{D473AAE8-DFAA-4D54-9A5E-EF58B8ED09E2}"/>
    <cellStyle name="20% - Accent3 4 5" xfId="2298" xr:uid="{4F2044FF-373D-4284-94CB-D319E6B2F386}"/>
    <cellStyle name="20% - Accent3 4 5 2" xfId="4114" xr:uid="{2E28562B-8B14-4A84-88A6-B06CCC247940}"/>
    <cellStyle name="20% - Accent3 4 5 2 2" xfId="8329" xr:uid="{9490E50F-847D-4A88-843D-47E0C9F4088F}"/>
    <cellStyle name="20% - Accent3 4 5 3" xfId="6184" xr:uid="{38B9F668-2776-4AFD-B68F-1A42BB8C868C}"/>
    <cellStyle name="20% - Accent3 4 6" xfId="2711" xr:uid="{C00E56B3-F8F9-4D1E-ACEA-86DF32C0AEBB}"/>
    <cellStyle name="20% - Accent3 4 6 2" xfId="6597" xr:uid="{257C32BE-B5B1-437F-9952-31CE1B174FB9}"/>
    <cellStyle name="20% - Accent3 4 7" xfId="4531" xr:uid="{3E577809-117F-4EED-A62D-9AE32DCAB61C}"/>
    <cellStyle name="20% - Accent3 5" xfId="594" xr:uid="{00000000-0005-0000-0000-00002F000000}"/>
    <cellStyle name="20% - Accent3 5 2" xfId="1463" xr:uid="{9074685D-D13F-45CA-A560-056433695528}"/>
    <cellStyle name="20% - Accent3 5 2 2" xfId="7083" xr:uid="{32480AC1-318F-40F7-AA2D-84A092D77CF9}"/>
    <cellStyle name="20% - Accent3 5 3" xfId="4938" xr:uid="{C1BAC691-3D45-4852-9C97-F4D5CCE8A3E9}"/>
    <cellStyle name="20% - Accent3 6" xfId="1047" xr:uid="{753924F1-76CC-4A18-A7DB-BB8951C66823}"/>
    <cellStyle name="20% - Accent3 6 2" xfId="3281" xr:uid="{BC0B2B16-7F67-4A5D-9017-C9342F2944E9}"/>
    <cellStyle name="20% - Accent3 6 2 2" xfId="7496" xr:uid="{A3EB920A-C51A-4ABA-A827-C9EB4B25EBBB}"/>
    <cellStyle name="20% - Accent3 6 3" xfId="5351" xr:uid="{222FBB7C-B15B-44D2-8E1C-CA755D305596}"/>
    <cellStyle name="20% - Accent3 7" xfId="1878" xr:uid="{DA04D66C-BA31-4C3B-BFF7-828E330D306E}"/>
    <cellStyle name="20% - Accent3 7 2" xfId="3694" xr:uid="{D9924D34-CF91-415E-BD2E-2A9D67D30D82}"/>
    <cellStyle name="20% - Accent3 7 2 2" xfId="7909" xr:uid="{F11EBA1B-52CC-4F55-ADBC-EDA9625BDEBC}"/>
    <cellStyle name="20% - Accent3 7 3" xfId="5764" xr:uid="{00538F90-C563-4ABC-A1FB-0E1ED90787B8}"/>
    <cellStyle name="20% - Accent3 8" xfId="2291" xr:uid="{BCC6C4D2-F494-4BFB-8574-0426CB8CAEC7}"/>
    <cellStyle name="20% - Accent3 8 2" xfId="4107" xr:uid="{B2705B5D-8D2A-4A63-94A5-F819BE54BFDF}"/>
    <cellStyle name="20% - Accent3 8 2 2" xfId="8322" xr:uid="{0503C611-33B5-4AC6-A022-7629A8AF5170}"/>
    <cellStyle name="20% - Accent3 8 3" xfId="6177" xr:uid="{392728BE-ECEF-477B-B135-FF4FC25F589E}"/>
    <cellStyle name="20% - Accent3 9" xfId="2704" xr:uid="{311767AF-9D92-48C8-9E97-82DDF9D754B4}"/>
    <cellStyle name="20% - Accent3 9 2" xfId="6590" xr:uid="{6692738E-18AB-4E80-9F48-0FDB865A463B}"/>
    <cellStyle name="20% - Accent4" xfId="25" builtinId="42" customBuiltin="1"/>
    <cellStyle name="20% - Accent4 10" xfId="4532" xr:uid="{B5890367-B8F0-4B3D-8140-8EDE5B25C977}"/>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4" xr:uid="{FDC63CE7-14B8-4285-9D22-262612C71B30}"/>
    <cellStyle name="20% - Accent4 2 2 2 2 2 2" xfId="7094" xr:uid="{9A42C93B-8133-422F-8021-ED6DD30AAF5F}"/>
    <cellStyle name="20% - Accent4 2 2 2 2 3" xfId="4949" xr:uid="{3E9C1438-BC9A-4F9F-A0D2-383488D30F0C}"/>
    <cellStyle name="20% - Accent4 2 2 2 3" xfId="1058" xr:uid="{02EFC9B2-D982-491A-AAB2-F6C3FE320E1A}"/>
    <cellStyle name="20% - Accent4 2 2 2 3 2" xfId="3292" xr:uid="{11CE7F13-5557-4B40-ACBD-ABAEEC8E70AD}"/>
    <cellStyle name="20% - Accent4 2 2 2 3 2 2" xfId="7507" xr:uid="{BE1B307C-895E-4801-94D3-6737307C229D}"/>
    <cellStyle name="20% - Accent4 2 2 2 3 3" xfId="5362" xr:uid="{9954B09A-1222-477C-BC5E-04ACC401587D}"/>
    <cellStyle name="20% - Accent4 2 2 2 4" xfId="1889" xr:uid="{797937DE-FFB7-4426-A0A7-113C672F82E8}"/>
    <cellStyle name="20% - Accent4 2 2 2 4 2" xfId="3705" xr:uid="{513C38FF-6FA8-4BBB-A3E6-C63AA36AD922}"/>
    <cellStyle name="20% - Accent4 2 2 2 4 2 2" xfId="7920" xr:uid="{509AB0B9-7AC0-49F2-9C4D-A26A1E01E80C}"/>
    <cellStyle name="20% - Accent4 2 2 2 4 3" xfId="5775" xr:uid="{B68A3023-4D0C-488B-8BFE-1595A066FE44}"/>
    <cellStyle name="20% - Accent4 2 2 2 5" xfId="2302" xr:uid="{ACF83AE9-A583-4ACA-A36C-33B541C6AE1C}"/>
    <cellStyle name="20% - Accent4 2 2 2 5 2" xfId="4118" xr:uid="{CFF8BC84-ADCE-47EA-9E47-548A643317A2}"/>
    <cellStyle name="20% - Accent4 2 2 2 5 2 2" xfId="8333" xr:uid="{7FD23825-FCB2-47EF-94FF-A36B0B2AE430}"/>
    <cellStyle name="20% - Accent4 2 2 2 5 3" xfId="6188" xr:uid="{51D6460F-50E5-436B-AC5A-7BD71968D7CE}"/>
    <cellStyle name="20% - Accent4 2 2 2 6" xfId="2715" xr:uid="{2B08C8E1-6107-49AF-944F-4DD79E2C06EF}"/>
    <cellStyle name="20% - Accent4 2 2 2 6 2" xfId="6601" xr:uid="{48C816D9-318C-4928-AD23-98CA535E6D75}"/>
    <cellStyle name="20% - Accent4 2 2 2 7" xfId="4535" xr:uid="{49A50991-9729-44FC-8D7C-EC52439FCF1E}"/>
    <cellStyle name="20% - Accent4 2 2 3" xfId="604" xr:uid="{00000000-0005-0000-0000-000035000000}"/>
    <cellStyle name="20% - Accent4 2 2 3 2" xfId="1473" xr:uid="{B81FBC4F-482B-49D7-AAA2-560BB02175CB}"/>
    <cellStyle name="20% - Accent4 2 2 3 2 2" xfId="7093" xr:uid="{80DCED94-102C-447C-8D4B-89CC2EEF0853}"/>
    <cellStyle name="20% - Accent4 2 2 3 3" xfId="4948" xr:uid="{F5464F4E-39BD-421A-A922-711523C51CC7}"/>
    <cellStyle name="20% - Accent4 2 2 4" xfId="1057" xr:uid="{2F1EC994-8C1B-42FE-8494-24BCA25B7A94}"/>
    <cellStyle name="20% - Accent4 2 2 4 2" xfId="3291" xr:uid="{04045824-EFE2-4932-99DA-4F66827DB624}"/>
    <cellStyle name="20% - Accent4 2 2 4 2 2" xfId="7506" xr:uid="{39532A52-B323-4B1C-AC44-6F8D8F4ADE43}"/>
    <cellStyle name="20% - Accent4 2 2 4 3" xfId="5361" xr:uid="{4C15B5EA-3DE2-42C7-B86C-33471AFCAA31}"/>
    <cellStyle name="20% - Accent4 2 2 5" xfId="1888" xr:uid="{B9861680-B8A2-4037-BF3A-8ABE6E47AD81}"/>
    <cellStyle name="20% - Accent4 2 2 5 2" xfId="3704" xr:uid="{5923D60D-D4D4-4970-A1D7-6AEBE7FF7D1B}"/>
    <cellStyle name="20% - Accent4 2 2 5 2 2" xfId="7919" xr:uid="{662C8A05-1BA7-4FB3-8542-9181EEB46870}"/>
    <cellStyle name="20% - Accent4 2 2 5 3" xfId="5774" xr:uid="{EECC4E03-B02E-467E-B5F6-570A71B85747}"/>
    <cellStyle name="20% - Accent4 2 2 6" xfId="2301" xr:uid="{D5054F19-C3F6-4554-92B0-FA662E0D8279}"/>
    <cellStyle name="20% - Accent4 2 2 6 2" xfId="4117" xr:uid="{2EE8E119-FF5E-4421-A202-F7EB440CDEC8}"/>
    <cellStyle name="20% - Accent4 2 2 6 2 2" xfId="8332" xr:uid="{8DDFFDB8-583C-418F-8509-EB662B1F8080}"/>
    <cellStyle name="20% - Accent4 2 2 6 3" xfId="6187" xr:uid="{E4262511-DB4A-4BB7-B60A-A5830BF5C9E0}"/>
    <cellStyle name="20% - Accent4 2 2 7" xfId="2714" xr:uid="{19CDF0C9-B8FD-4727-AE11-930F9FD066A9}"/>
    <cellStyle name="20% - Accent4 2 2 7 2" xfId="6600" xr:uid="{B7879741-FD1A-45B6-8C6A-380990CDBFC2}"/>
    <cellStyle name="20% - Accent4 2 2 8" xfId="4534" xr:uid="{A5CF577F-9EFD-4867-AA2E-3C461FC57473}"/>
    <cellStyle name="20% - Accent4 2 3" xfId="29" xr:uid="{00000000-0005-0000-0000-000036000000}"/>
    <cellStyle name="20% - Accent4 2 3 2" xfId="606" xr:uid="{00000000-0005-0000-0000-000037000000}"/>
    <cellStyle name="20% - Accent4 2 3 2 2" xfId="1475" xr:uid="{B7BA0B7E-9C49-4B21-BBA7-E1A455CF0910}"/>
    <cellStyle name="20% - Accent4 2 3 2 2 2" xfId="7095" xr:uid="{4B2D052D-82ED-46B9-999D-0E2B579CD32D}"/>
    <cellStyle name="20% - Accent4 2 3 2 3" xfId="4950" xr:uid="{4AB07238-5259-4CCC-AA2A-5C5189E74037}"/>
    <cellStyle name="20% - Accent4 2 3 3" xfId="1059" xr:uid="{D806D45D-E6C3-400A-BD21-BDADA69C5A04}"/>
    <cellStyle name="20% - Accent4 2 3 3 2" xfId="3293" xr:uid="{0580B119-F103-48A8-AE6E-06D12931927C}"/>
    <cellStyle name="20% - Accent4 2 3 3 2 2" xfId="7508" xr:uid="{3FBFC512-3EBA-4008-B4DB-93FF4B5B71FA}"/>
    <cellStyle name="20% - Accent4 2 3 3 3" xfId="5363" xr:uid="{5AA46E65-03F8-4394-BD6D-8D1D049EBECB}"/>
    <cellStyle name="20% - Accent4 2 3 4" xfId="1890" xr:uid="{485DC982-0666-4B97-BFE9-2796929A8FF0}"/>
    <cellStyle name="20% - Accent4 2 3 4 2" xfId="3706" xr:uid="{799525BC-0CD2-4B58-AA1F-BC96AD5B2AE3}"/>
    <cellStyle name="20% - Accent4 2 3 4 2 2" xfId="7921" xr:uid="{66C089F2-ACBE-427E-AB05-F99C2BA6CAA1}"/>
    <cellStyle name="20% - Accent4 2 3 4 3" xfId="5776" xr:uid="{F1305D08-9B83-40BA-94DA-2D6EBBAB0787}"/>
    <cellStyle name="20% - Accent4 2 3 5" xfId="2303" xr:uid="{A3CBF6AE-0BD8-4471-A7A4-D98DB8E439FE}"/>
    <cellStyle name="20% - Accent4 2 3 5 2" xfId="4119" xr:uid="{D5E609F4-97ED-42C7-865E-239A69B39A6C}"/>
    <cellStyle name="20% - Accent4 2 3 5 2 2" xfId="8334" xr:uid="{FBC1A4C4-6E0F-4EDC-AE1F-3ADCDCD24C24}"/>
    <cellStyle name="20% - Accent4 2 3 5 3" xfId="6189" xr:uid="{71C5E6BD-D7E0-454D-BBF4-F768025C3F8C}"/>
    <cellStyle name="20% - Accent4 2 3 6" xfId="2716" xr:uid="{3AB90C2E-DCE8-496B-AC2A-E96F80BB207E}"/>
    <cellStyle name="20% - Accent4 2 3 6 2" xfId="6602" xr:uid="{DA77C877-09A8-42F4-8643-C74C6DD397DF}"/>
    <cellStyle name="20% - Accent4 2 3 7" xfId="4536" xr:uid="{4711D2EC-D8D7-42E5-8672-321F0F77B4DA}"/>
    <cellStyle name="20% - Accent4 2 4" xfId="603" xr:uid="{00000000-0005-0000-0000-000038000000}"/>
    <cellStyle name="20% - Accent4 2 4 2" xfId="1472" xr:uid="{E071C9E4-69DB-47BB-A4D5-AD4347F8C723}"/>
    <cellStyle name="20% - Accent4 2 4 2 2" xfId="7092" xr:uid="{51B9556E-4039-49F4-9517-E0C4BAC65389}"/>
    <cellStyle name="20% - Accent4 2 4 3" xfId="4947" xr:uid="{2C11346D-463C-4106-9AD7-022EC150F5D1}"/>
    <cellStyle name="20% - Accent4 2 5" xfId="1056" xr:uid="{25C50DB3-7F6E-4AC1-8E3A-96EE083BA1A3}"/>
    <cellStyle name="20% - Accent4 2 5 2" xfId="3290" xr:uid="{C9205C61-A0CE-4E58-ABB4-81FB0A208563}"/>
    <cellStyle name="20% - Accent4 2 5 2 2" xfId="7505" xr:uid="{9F6C10C5-95FC-4B09-8E28-E65F1DAD8F2F}"/>
    <cellStyle name="20% - Accent4 2 5 3" xfId="5360" xr:uid="{4FA2C293-C856-46C3-AFAD-84DE3532610C}"/>
    <cellStyle name="20% - Accent4 2 6" xfId="1887" xr:uid="{C2F2EA61-599B-400A-BB35-515CD600F3E1}"/>
    <cellStyle name="20% - Accent4 2 6 2" xfId="3703" xr:uid="{5421B71C-02C1-4645-8481-866E750C88F3}"/>
    <cellStyle name="20% - Accent4 2 6 2 2" xfId="7918" xr:uid="{1D03B148-47C8-48DE-96E3-648B220A1C96}"/>
    <cellStyle name="20% - Accent4 2 6 3" xfId="5773" xr:uid="{AE61EB0A-749C-41A2-A980-0939EB143747}"/>
    <cellStyle name="20% - Accent4 2 7" xfId="2300" xr:uid="{CB2F6C64-0A2F-4B75-9AFA-9C741AE986B8}"/>
    <cellStyle name="20% - Accent4 2 7 2" xfId="4116" xr:uid="{4254B8FD-DA08-467A-AF4C-BEC2F6986CF8}"/>
    <cellStyle name="20% - Accent4 2 7 2 2" xfId="8331" xr:uid="{DC51B6CE-0864-42C7-A898-F0A0A83E02B1}"/>
    <cellStyle name="20% - Accent4 2 7 3" xfId="6186" xr:uid="{D3997D74-C3BF-4385-8B3C-5AA0995654B8}"/>
    <cellStyle name="20% - Accent4 2 8" xfId="2713" xr:uid="{0AF100D6-C686-450F-ABFC-375B81B55BC9}"/>
    <cellStyle name="20% - Accent4 2 8 2" xfId="6599" xr:uid="{BEEAAA8C-EAD4-4A0B-B9D5-965D1A0BE21A}"/>
    <cellStyle name="20% - Accent4 2 9" xfId="4533" xr:uid="{041D7F6A-C807-48E8-B3F0-C586C2BAE9A1}"/>
    <cellStyle name="20% - Accent4 3" xfId="30" xr:uid="{00000000-0005-0000-0000-000039000000}"/>
    <cellStyle name="20% - Accent4 3 2" xfId="31" xr:uid="{00000000-0005-0000-0000-00003A000000}"/>
    <cellStyle name="20% - Accent4 3 2 2" xfId="608" xr:uid="{00000000-0005-0000-0000-00003B000000}"/>
    <cellStyle name="20% - Accent4 3 2 2 2" xfId="1477" xr:uid="{72F8B82B-BAC9-4C0C-8312-60F1D2912ECC}"/>
    <cellStyle name="20% - Accent4 3 2 2 2 2" xfId="7097" xr:uid="{87D1E591-51CF-4FDD-9361-310A0B2E6DC8}"/>
    <cellStyle name="20% - Accent4 3 2 2 3" xfId="4952" xr:uid="{A007FB3C-618F-471B-B00C-3A7F9DE02A79}"/>
    <cellStyle name="20% - Accent4 3 2 3" xfId="1061" xr:uid="{66D3D4A6-A4EF-4737-9A9A-DE39C0A76D95}"/>
    <cellStyle name="20% - Accent4 3 2 3 2" xfId="3295" xr:uid="{E134D341-AA14-4BC7-8F36-811DD5EC951E}"/>
    <cellStyle name="20% - Accent4 3 2 3 2 2" xfId="7510" xr:uid="{61111FCE-5B03-43E9-A9D3-EC5C544BCB57}"/>
    <cellStyle name="20% - Accent4 3 2 3 3" xfId="5365" xr:uid="{44133986-F035-4EEB-B443-C06622E9379E}"/>
    <cellStyle name="20% - Accent4 3 2 4" xfId="1892" xr:uid="{6B8B3384-BC44-499B-B237-8DEFF626A962}"/>
    <cellStyle name="20% - Accent4 3 2 4 2" xfId="3708" xr:uid="{05FFD02F-D5A9-41A6-9BD7-ED596C6B6CC3}"/>
    <cellStyle name="20% - Accent4 3 2 4 2 2" xfId="7923" xr:uid="{1059AC7F-A78C-4449-9A40-CFE7C4F4C212}"/>
    <cellStyle name="20% - Accent4 3 2 4 3" xfId="5778" xr:uid="{E5563846-A297-4913-9BFE-940D7B4A0ACA}"/>
    <cellStyle name="20% - Accent4 3 2 5" xfId="2305" xr:uid="{2AF21603-997F-4AA1-9CEA-602372BFF9A7}"/>
    <cellStyle name="20% - Accent4 3 2 5 2" xfId="4121" xr:uid="{0A9C3296-71E7-4CCB-9F50-554B7CBF7FBE}"/>
    <cellStyle name="20% - Accent4 3 2 5 2 2" xfId="8336" xr:uid="{DDBB4833-D3C4-4673-B755-2667172413AF}"/>
    <cellStyle name="20% - Accent4 3 2 5 3" xfId="6191" xr:uid="{53DD4B02-CB6D-459D-99F3-BD895A6387DE}"/>
    <cellStyle name="20% - Accent4 3 2 6" xfId="2718" xr:uid="{01929519-5940-41EB-A185-AF1A1BE7525B}"/>
    <cellStyle name="20% - Accent4 3 2 6 2" xfId="6604" xr:uid="{F0F5AC26-BF82-4063-B66E-0BD9706185EF}"/>
    <cellStyle name="20% - Accent4 3 2 7" xfId="4538" xr:uid="{5022DAE5-7FAE-47D5-B750-1E2BB5DEF589}"/>
    <cellStyle name="20% - Accent4 3 3" xfId="607" xr:uid="{00000000-0005-0000-0000-00003C000000}"/>
    <cellStyle name="20% - Accent4 3 3 2" xfId="1476" xr:uid="{F55D8E16-FE6C-41AD-9F77-C2FB57DD6432}"/>
    <cellStyle name="20% - Accent4 3 3 2 2" xfId="7096" xr:uid="{FED6508B-317A-4A22-9EBC-C956C96F3A0F}"/>
    <cellStyle name="20% - Accent4 3 3 3" xfId="4951" xr:uid="{DE06E279-C1FB-44F3-966E-61942A436D13}"/>
    <cellStyle name="20% - Accent4 3 4" xfId="1060" xr:uid="{35ABDE72-1FB1-42EC-8E2F-A7EEE28E6001}"/>
    <cellStyle name="20% - Accent4 3 4 2" xfId="3294" xr:uid="{EB8E5981-AF47-4817-92ED-CC5A3A38B004}"/>
    <cellStyle name="20% - Accent4 3 4 2 2" xfId="7509" xr:uid="{34669338-A120-42A3-B53B-83B29167EF0D}"/>
    <cellStyle name="20% - Accent4 3 4 3" xfId="5364" xr:uid="{23AAD604-8ECA-4993-A4D7-68660BF3E6D6}"/>
    <cellStyle name="20% - Accent4 3 5" xfId="1891" xr:uid="{F1E4AA9C-1CF3-4482-BCFA-90A96B1F89C1}"/>
    <cellStyle name="20% - Accent4 3 5 2" xfId="3707" xr:uid="{9BDF1318-CCC4-4A07-ACAF-EF3E49CD8254}"/>
    <cellStyle name="20% - Accent4 3 5 2 2" xfId="7922" xr:uid="{012C981F-EB00-4FE6-8965-62AFCE29A704}"/>
    <cellStyle name="20% - Accent4 3 5 3" xfId="5777" xr:uid="{587E36C6-6BBF-4C6E-A24C-9E492934A86D}"/>
    <cellStyle name="20% - Accent4 3 6" xfId="2304" xr:uid="{8C3CA87A-57A1-404A-8789-1713DE2C79ED}"/>
    <cellStyle name="20% - Accent4 3 6 2" xfId="4120" xr:uid="{E8EC5B16-DFF0-4E04-A50A-BD5349D0026F}"/>
    <cellStyle name="20% - Accent4 3 6 2 2" xfId="8335" xr:uid="{BB5DB543-E47D-4CBF-9133-2ABA822BE16A}"/>
    <cellStyle name="20% - Accent4 3 6 3" xfId="6190" xr:uid="{EEF879CF-FFAA-4D65-9670-040F99E8B727}"/>
    <cellStyle name="20% - Accent4 3 7" xfId="2717" xr:uid="{2D51379E-1B76-4AB6-A7CE-73093C7CCF1E}"/>
    <cellStyle name="20% - Accent4 3 7 2" xfId="6603" xr:uid="{F0B3BAE1-9993-4355-A0B5-97AF764CEA7F}"/>
    <cellStyle name="20% - Accent4 3 8" xfId="4537" xr:uid="{A22DF566-3821-4BB5-ACCB-B95DAC65B6E9}"/>
    <cellStyle name="20% - Accent4 4" xfId="32" xr:uid="{00000000-0005-0000-0000-00003D000000}"/>
    <cellStyle name="20% - Accent4 4 2" xfId="609" xr:uid="{00000000-0005-0000-0000-00003E000000}"/>
    <cellStyle name="20% - Accent4 4 2 2" xfId="1478" xr:uid="{B554E1B2-3D79-47AB-BEA2-85ABCF62C601}"/>
    <cellStyle name="20% - Accent4 4 2 2 2" xfId="7098" xr:uid="{BEC41D55-4B2B-468F-AFF4-E33EA1DE193D}"/>
    <cellStyle name="20% - Accent4 4 2 3" xfId="4953" xr:uid="{AA8A14A3-406F-43AE-A82A-5B5DEC117D83}"/>
    <cellStyle name="20% - Accent4 4 3" xfId="1062" xr:uid="{E419F5F0-7679-4963-8CB5-3AA2DEAF618A}"/>
    <cellStyle name="20% - Accent4 4 3 2" xfId="3296" xr:uid="{8018D95D-B16C-4120-994A-8EABDB940F1E}"/>
    <cellStyle name="20% - Accent4 4 3 2 2" xfId="7511" xr:uid="{55D96FD1-A5C0-4B1D-B94A-7A71CBCC5089}"/>
    <cellStyle name="20% - Accent4 4 3 3" xfId="5366" xr:uid="{34037BAE-23FF-46BD-95E0-4515DA5E8326}"/>
    <cellStyle name="20% - Accent4 4 4" xfId="1893" xr:uid="{100CA47A-4122-4FE2-AFC0-AB5CB400B7ED}"/>
    <cellStyle name="20% - Accent4 4 4 2" xfId="3709" xr:uid="{955C5480-2C46-40EA-B178-112AFB3BEC9B}"/>
    <cellStyle name="20% - Accent4 4 4 2 2" xfId="7924" xr:uid="{F4003A32-1304-4E2E-9A01-8CE14F35E629}"/>
    <cellStyle name="20% - Accent4 4 4 3" xfId="5779" xr:uid="{49ACA192-E897-4D05-B879-F0CA732E6D44}"/>
    <cellStyle name="20% - Accent4 4 5" xfId="2306" xr:uid="{C1AB43B3-3CCB-49B2-98DE-F4B87CC8F646}"/>
    <cellStyle name="20% - Accent4 4 5 2" xfId="4122" xr:uid="{94EFE5B7-9A9E-44CF-8E37-E24E386DB3A2}"/>
    <cellStyle name="20% - Accent4 4 5 2 2" xfId="8337" xr:uid="{5F0F96A2-B706-4453-B62D-EAD92EC9C7C8}"/>
    <cellStyle name="20% - Accent4 4 5 3" xfId="6192" xr:uid="{04C65993-9AC8-4360-A94F-1FB7F16BD4EE}"/>
    <cellStyle name="20% - Accent4 4 6" xfId="2719" xr:uid="{815FACFA-644D-4C62-88DD-285D4C0FFA92}"/>
    <cellStyle name="20% - Accent4 4 6 2" xfId="6605" xr:uid="{113576E5-FFF2-4A45-B6B0-4ABC08113291}"/>
    <cellStyle name="20% - Accent4 4 7" xfId="4539" xr:uid="{99BD22B3-C3C4-4FA4-B1AE-2E483C9C826D}"/>
    <cellStyle name="20% - Accent4 5" xfId="602" xr:uid="{00000000-0005-0000-0000-00003F000000}"/>
    <cellStyle name="20% - Accent4 5 2" xfId="1471" xr:uid="{E17FC177-2F3A-4B52-824E-ED078B560C7A}"/>
    <cellStyle name="20% - Accent4 5 2 2" xfId="7091" xr:uid="{80692119-6DFC-4861-9969-99E0FF80A4D3}"/>
    <cellStyle name="20% - Accent4 5 3" xfId="4946" xr:uid="{C034B3EF-67BD-4F17-991E-6616D1868743}"/>
    <cellStyle name="20% - Accent4 6" xfId="1055" xr:uid="{C5BFB4A8-8F2C-47FB-A236-D7633CB915D3}"/>
    <cellStyle name="20% - Accent4 6 2" xfId="3289" xr:uid="{75EDB7D6-66F0-4620-A57B-B7C64EA9905D}"/>
    <cellStyle name="20% - Accent4 6 2 2" xfId="7504" xr:uid="{5A25E722-A0C9-4DE1-9476-E196CB734C8C}"/>
    <cellStyle name="20% - Accent4 6 3" xfId="5359" xr:uid="{324BD2CF-D087-4395-A361-AD54D5E21F8D}"/>
    <cellStyle name="20% - Accent4 7" xfId="1886" xr:uid="{E2FE5A16-CC7D-4D58-B887-9783A94E7FC2}"/>
    <cellStyle name="20% - Accent4 7 2" xfId="3702" xr:uid="{6EBA3715-1376-4029-8A80-72308C39804A}"/>
    <cellStyle name="20% - Accent4 7 2 2" xfId="7917" xr:uid="{D20E6F6C-66D1-45BF-833F-3E87EC065FBD}"/>
    <cellStyle name="20% - Accent4 7 3" xfId="5772" xr:uid="{A372E949-0FE5-4648-89C9-99AD09925597}"/>
    <cellStyle name="20% - Accent4 8" xfId="2299" xr:uid="{162620E6-CC8B-410A-8940-F93EBDF5D45C}"/>
    <cellStyle name="20% - Accent4 8 2" xfId="4115" xr:uid="{C32C2FD9-01E4-4553-BB5B-9D079B720BEC}"/>
    <cellStyle name="20% - Accent4 8 2 2" xfId="8330" xr:uid="{7B664ED4-A909-4C0A-A700-96748AA01283}"/>
    <cellStyle name="20% - Accent4 8 3" xfId="6185" xr:uid="{B19EAB07-2946-4244-A4A3-46A8B431ECF5}"/>
    <cellStyle name="20% - Accent4 9" xfId="2712" xr:uid="{65465E9B-4807-45B6-BB3A-A0AF9D42C613}"/>
    <cellStyle name="20% - Accent4 9 2" xfId="6598" xr:uid="{CD4AEBBC-D2C3-499E-97AE-CB4FB9618767}"/>
    <cellStyle name="20% - Accent5" xfId="33" builtinId="46" customBuiltin="1"/>
    <cellStyle name="20% - Accent5 10" xfId="4540" xr:uid="{D10F008C-7BE2-42AA-8830-B38763D317E0}"/>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2" xr:uid="{E96C19BC-13EF-4C17-80BC-FAF74CAFB73F}"/>
    <cellStyle name="20% - Accent5 2 2 2 2 2 2" xfId="7102" xr:uid="{90E0B823-87FE-4956-90B3-A9F6027EC83E}"/>
    <cellStyle name="20% - Accent5 2 2 2 2 3" xfId="4957" xr:uid="{148F6D09-28B7-457C-A02E-E04EA329FE97}"/>
    <cellStyle name="20% - Accent5 2 2 2 3" xfId="1066" xr:uid="{5EDEF132-86BE-462E-BA5C-F489955C1BF0}"/>
    <cellStyle name="20% - Accent5 2 2 2 3 2" xfId="3300" xr:uid="{47F13CB8-E63C-411E-AEC2-699A5CE2B70E}"/>
    <cellStyle name="20% - Accent5 2 2 2 3 2 2" xfId="7515" xr:uid="{D9BF6A29-90F7-4517-A086-DB10BA1A52FC}"/>
    <cellStyle name="20% - Accent5 2 2 2 3 3" xfId="5370" xr:uid="{94FE24EA-3FF5-41BE-9BE6-AA7B5A3F3AE2}"/>
    <cellStyle name="20% - Accent5 2 2 2 4" xfId="1897" xr:uid="{D7B2E0F2-C1F3-4CB5-BF78-2F38835D3EBC}"/>
    <cellStyle name="20% - Accent5 2 2 2 4 2" xfId="3713" xr:uid="{A7222BE7-8C75-418B-A8A1-1040EECEBD59}"/>
    <cellStyle name="20% - Accent5 2 2 2 4 2 2" xfId="7928" xr:uid="{5A81D869-2E1A-41DB-A4E3-DBF1F23AACD4}"/>
    <cellStyle name="20% - Accent5 2 2 2 4 3" xfId="5783" xr:uid="{21FE05CE-D87B-47F1-A4C5-6AD68B38BB72}"/>
    <cellStyle name="20% - Accent5 2 2 2 5" xfId="2310" xr:uid="{732FC384-87D1-4133-909A-12568346EB14}"/>
    <cellStyle name="20% - Accent5 2 2 2 5 2" xfId="4126" xr:uid="{2A8C9690-AC04-4C4C-972B-78E92005F9F3}"/>
    <cellStyle name="20% - Accent5 2 2 2 5 2 2" xfId="8341" xr:uid="{F8A9855E-1838-4E76-A349-4C302079398D}"/>
    <cellStyle name="20% - Accent5 2 2 2 5 3" xfId="6196" xr:uid="{A6B91EF2-9EBA-4065-884B-4F0B5C1BE815}"/>
    <cellStyle name="20% - Accent5 2 2 2 6" xfId="2723" xr:uid="{518AD145-E928-45C8-A880-29DACF769198}"/>
    <cellStyle name="20% - Accent5 2 2 2 6 2" xfId="6609" xr:uid="{EA95D5DA-59CC-4D30-B1AF-8CD0E89EA66F}"/>
    <cellStyle name="20% - Accent5 2 2 2 7" xfId="4543" xr:uid="{CF27DD6B-5B0E-4768-9213-3B8E25B7711A}"/>
    <cellStyle name="20% - Accent5 2 2 3" xfId="612" xr:uid="{00000000-0005-0000-0000-000045000000}"/>
    <cellStyle name="20% - Accent5 2 2 3 2" xfId="1481" xr:uid="{99E3D825-C6D6-4F57-968A-D1ECC181073B}"/>
    <cellStyle name="20% - Accent5 2 2 3 2 2" xfId="7101" xr:uid="{38754950-78D0-4DE4-B6BC-17AE41C3035E}"/>
    <cellStyle name="20% - Accent5 2 2 3 3" xfId="4956" xr:uid="{5AB6AE5B-2495-4A5C-959D-FD5BA0D16446}"/>
    <cellStyle name="20% - Accent5 2 2 4" xfId="1065" xr:uid="{5C3BF9CD-255D-48E0-8BB0-DC67B6EB8B1F}"/>
    <cellStyle name="20% - Accent5 2 2 4 2" xfId="3299" xr:uid="{8EA7D92A-5820-455D-8EC7-E0D03912ED02}"/>
    <cellStyle name="20% - Accent5 2 2 4 2 2" xfId="7514" xr:uid="{8492F1FA-74D8-4266-B1B9-32FA5827DE28}"/>
    <cellStyle name="20% - Accent5 2 2 4 3" xfId="5369" xr:uid="{0FEF630E-C232-4EA3-BE19-7252ED6BC086}"/>
    <cellStyle name="20% - Accent5 2 2 5" xfId="1896" xr:uid="{160EA3F4-076F-4DA7-97EA-D26C65FD938B}"/>
    <cellStyle name="20% - Accent5 2 2 5 2" xfId="3712" xr:uid="{82019F08-EA51-4632-B168-F5B6792D0D1D}"/>
    <cellStyle name="20% - Accent5 2 2 5 2 2" xfId="7927" xr:uid="{5E0C86DE-9CB9-4A18-8BC7-0F9A0F1DF37A}"/>
    <cellStyle name="20% - Accent5 2 2 5 3" xfId="5782" xr:uid="{904B6EC8-09AB-48E2-A753-B1B751078A17}"/>
    <cellStyle name="20% - Accent5 2 2 6" xfId="2309" xr:uid="{C7EE95A9-98C1-4FF6-A3ED-6D58CCE56752}"/>
    <cellStyle name="20% - Accent5 2 2 6 2" xfId="4125" xr:uid="{A91F789B-25BF-44D7-BF68-32014C5035C2}"/>
    <cellStyle name="20% - Accent5 2 2 6 2 2" xfId="8340" xr:uid="{BFCB7AF1-84C1-4800-9714-FAF69B68BD84}"/>
    <cellStyle name="20% - Accent5 2 2 6 3" xfId="6195" xr:uid="{E6BD4A81-0A72-4B5E-9F66-C1F60DC67B18}"/>
    <cellStyle name="20% - Accent5 2 2 7" xfId="2722" xr:uid="{8F0131B2-AFFD-4305-A155-D2819614CCB7}"/>
    <cellStyle name="20% - Accent5 2 2 7 2" xfId="6608" xr:uid="{545003F1-109A-43C2-B951-FB1584D22A5F}"/>
    <cellStyle name="20% - Accent5 2 2 8" xfId="4542" xr:uid="{77667728-B2EE-41F6-88BD-5CFD4E5CBCFB}"/>
    <cellStyle name="20% - Accent5 2 3" xfId="37" xr:uid="{00000000-0005-0000-0000-000046000000}"/>
    <cellStyle name="20% - Accent5 2 3 2" xfId="614" xr:uid="{00000000-0005-0000-0000-000047000000}"/>
    <cellStyle name="20% - Accent5 2 3 2 2" xfId="1483" xr:uid="{88F510B3-96CC-4BEF-A6DE-6699818184A0}"/>
    <cellStyle name="20% - Accent5 2 3 2 2 2" xfId="7103" xr:uid="{97EFADE0-DCC7-40DB-9C5E-1ADE43747BEE}"/>
    <cellStyle name="20% - Accent5 2 3 2 3" xfId="4958" xr:uid="{917BB725-251F-4C2E-B14E-6AC8D7127D9D}"/>
    <cellStyle name="20% - Accent5 2 3 3" xfId="1067" xr:uid="{0FCE9FF8-7E2D-48FA-B3D0-849FBB93F2E1}"/>
    <cellStyle name="20% - Accent5 2 3 3 2" xfId="3301" xr:uid="{17D392EB-1A76-48B3-9EE5-A5EB961D5CBD}"/>
    <cellStyle name="20% - Accent5 2 3 3 2 2" xfId="7516" xr:uid="{99F4B926-F13B-44F0-A92D-4AA4D0D72139}"/>
    <cellStyle name="20% - Accent5 2 3 3 3" xfId="5371" xr:uid="{D1B593FD-249F-44F0-99A8-9E13FB1F89A1}"/>
    <cellStyle name="20% - Accent5 2 3 4" xfId="1898" xr:uid="{D7964E67-085D-408F-A85D-A95595A5C1F2}"/>
    <cellStyle name="20% - Accent5 2 3 4 2" xfId="3714" xr:uid="{40CECD78-0A4C-4A1A-903F-70A507061023}"/>
    <cellStyle name="20% - Accent5 2 3 4 2 2" xfId="7929" xr:uid="{F15A6BB7-2600-4D22-B971-B023DEB52D3E}"/>
    <cellStyle name="20% - Accent5 2 3 4 3" xfId="5784" xr:uid="{1907EAE2-3293-49A3-8B18-674E0D8C6DDE}"/>
    <cellStyle name="20% - Accent5 2 3 5" xfId="2311" xr:uid="{E0601BD6-A92C-4121-A00F-D33AF792CD4B}"/>
    <cellStyle name="20% - Accent5 2 3 5 2" xfId="4127" xr:uid="{556CEF92-39F8-4494-80D1-D4F5A8385651}"/>
    <cellStyle name="20% - Accent5 2 3 5 2 2" xfId="8342" xr:uid="{1BABC8A2-EC55-4DF6-A582-0F10C5A79A14}"/>
    <cellStyle name="20% - Accent5 2 3 5 3" xfId="6197" xr:uid="{840329D9-6940-4B3C-9967-D32BAA9A1F8E}"/>
    <cellStyle name="20% - Accent5 2 3 6" xfId="2724" xr:uid="{EF4B4ED1-99F2-4A86-A20C-94121D61CB16}"/>
    <cellStyle name="20% - Accent5 2 3 6 2" xfId="6610" xr:uid="{92029199-3CB7-443D-B7C0-242D6A723325}"/>
    <cellStyle name="20% - Accent5 2 3 7" xfId="4544" xr:uid="{584A144B-005B-498B-895A-ED99C186ED22}"/>
    <cellStyle name="20% - Accent5 2 4" xfId="611" xr:uid="{00000000-0005-0000-0000-000048000000}"/>
    <cellStyle name="20% - Accent5 2 4 2" xfId="1480" xr:uid="{27750E6F-C835-44D2-8278-5B090A85FDCC}"/>
    <cellStyle name="20% - Accent5 2 4 2 2" xfId="7100" xr:uid="{2F7EF9EC-94F8-4DBB-A00D-3BA23DABE4DB}"/>
    <cellStyle name="20% - Accent5 2 4 3" xfId="4955" xr:uid="{2FD84D21-AC02-4206-8EB1-DE005FB8DDE4}"/>
    <cellStyle name="20% - Accent5 2 5" xfId="1064" xr:uid="{C0CCD161-C726-43D6-9D5A-E73DDD61C632}"/>
    <cellStyle name="20% - Accent5 2 5 2" xfId="3298" xr:uid="{47DA9360-E0CA-4667-B60B-1F049721D5B9}"/>
    <cellStyle name="20% - Accent5 2 5 2 2" xfId="7513" xr:uid="{A539E933-2535-4DD2-8B52-4B4B284A8FCF}"/>
    <cellStyle name="20% - Accent5 2 5 3" xfId="5368" xr:uid="{BA1E4ED0-49DC-49BA-9A21-855EC332378A}"/>
    <cellStyle name="20% - Accent5 2 6" xfId="1895" xr:uid="{03EA317F-7A13-43BC-B2A3-1515FA33C9C0}"/>
    <cellStyle name="20% - Accent5 2 6 2" xfId="3711" xr:uid="{8862B21F-76B5-4A41-A630-F6BB9B9000B1}"/>
    <cellStyle name="20% - Accent5 2 6 2 2" xfId="7926" xr:uid="{8A59A3A8-0DAA-42B0-9B8D-0091CA7A095C}"/>
    <cellStyle name="20% - Accent5 2 6 3" xfId="5781" xr:uid="{D0015207-BD42-4B54-B15D-ACC155095814}"/>
    <cellStyle name="20% - Accent5 2 7" xfId="2308" xr:uid="{CDA54569-3462-4333-B694-0F14A8EA78A3}"/>
    <cellStyle name="20% - Accent5 2 7 2" xfId="4124" xr:uid="{3B6D191C-28F9-48CD-80ED-F8DC9B750227}"/>
    <cellStyle name="20% - Accent5 2 7 2 2" xfId="8339" xr:uid="{54F8A5CC-B79D-4779-BD44-7B2F012723A2}"/>
    <cellStyle name="20% - Accent5 2 7 3" xfId="6194" xr:uid="{AED080B0-1E58-4316-97ED-C003A3BF9803}"/>
    <cellStyle name="20% - Accent5 2 8" xfId="2721" xr:uid="{95BF2FAC-164C-4C22-8B84-9D999BBB9D9D}"/>
    <cellStyle name="20% - Accent5 2 8 2" xfId="6607" xr:uid="{25D70198-4819-4638-A833-09F2C0807E5D}"/>
    <cellStyle name="20% - Accent5 2 9" xfId="4541" xr:uid="{E3937438-759E-49CD-BA42-0C7DD849F01E}"/>
    <cellStyle name="20% - Accent5 3" xfId="38" xr:uid="{00000000-0005-0000-0000-000049000000}"/>
    <cellStyle name="20% - Accent5 3 2" xfId="39" xr:uid="{00000000-0005-0000-0000-00004A000000}"/>
    <cellStyle name="20% - Accent5 3 2 2" xfId="616" xr:uid="{00000000-0005-0000-0000-00004B000000}"/>
    <cellStyle name="20% - Accent5 3 2 2 2" xfId="1485" xr:uid="{737BA252-62E5-44BD-A404-1D5E26A7EBCF}"/>
    <cellStyle name="20% - Accent5 3 2 2 2 2" xfId="7105" xr:uid="{1148D1DB-DF43-485F-B8ED-511FFC2B9C80}"/>
    <cellStyle name="20% - Accent5 3 2 2 3" xfId="4960" xr:uid="{2EAE98FD-8CD5-4482-8158-505B517881F5}"/>
    <cellStyle name="20% - Accent5 3 2 3" xfId="1069" xr:uid="{B0FE87FB-E989-41A6-8171-D1FC6165E746}"/>
    <cellStyle name="20% - Accent5 3 2 3 2" xfId="3303" xr:uid="{77E07A31-12E2-4923-9563-3B4158D970BA}"/>
    <cellStyle name="20% - Accent5 3 2 3 2 2" xfId="7518" xr:uid="{BD920B59-7665-4407-8225-98F91EB82E48}"/>
    <cellStyle name="20% - Accent5 3 2 3 3" xfId="5373" xr:uid="{8E9E9793-FDCE-41E1-A9AB-A1F4245791AE}"/>
    <cellStyle name="20% - Accent5 3 2 4" xfId="1900" xr:uid="{4A24D3F5-F0DD-48C0-9817-AAC9F5512562}"/>
    <cellStyle name="20% - Accent5 3 2 4 2" xfId="3716" xr:uid="{D02D804E-B354-48E1-8FE5-9920DF17AEF9}"/>
    <cellStyle name="20% - Accent5 3 2 4 2 2" xfId="7931" xr:uid="{D73607DF-EE64-4D58-80D0-2AC64AAD4948}"/>
    <cellStyle name="20% - Accent5 3 2 4 3" xfId="5786" xr:uid="{95BCCDCF-F1E5-42C3-A002-1560B4662BFF}"/>
    <cellStyle name="20% - Accent5 3 2 5" xfId="2313" xr:uid="{0C84F951-298A-4F00-AEFC-57AE047762B9}"/>
    <cellStyle name="20% - Accent5 3 2 5 2" xfId="4129" xr:uid="{1FDBA641-C3DC-4E0B-B926-9F236B6CADF5}"/>
    <cellStyle name="20% - Accent5 3 2 5 2 2" xfId="8344" xr:uid="{0F00CEF9-611E-43AD-A45D-82EC9D677E2F}"/>
    <cellStyle name="20% - Accent5 3 2 5 3" xfId="6199" xr:uid="{B284C759-C448-4B61-8DA6-65782B782D43}"/>
    <cellStyle name="20% - Accent5 3 2 6" xfId="2726" xr:uid="{2409098F-D118-4EF7-89AF-3E4946B1DBE8}"/>
    <cellStyle name="20% - Accent5 3 2 6 2" xfId="6612" xr:uid="{239B154E-669D-4C25-9064-2EA8E04CF636}"/>
    <cellStyle name="20% - Accent5 3 2 7" xfId="4546" xr:uid="{C0FA99EF-52E9-404A-867E-D05CAAC88553}"/>
    <cellStyle name="20% - Accent5 3 3" xfId="615" xr:uid="{00000000-0005-0000-0000-00004C000000}"/>
    <cellStyle name="20% - Accent5 3 3 2" xfId="1484" xr:uid="{6F1195FE-881D-4946-80F3-D13A57CE0787}"/>
    <cellStyle name="20% - Accent5 3 3 2 2" xfId="7104" xr:uid="{DF352949-5C6C-4CAB-91E9-CD3F8B0285EE}"/>
    <cellStyle name="20% - Accent5 3 3 3" xfId="4959" xr:uid="{0CC2C93B-8727-4A98-AC3C-4E77F0BABC87}"/>
    <cellStyle name="20% - Accent5 3 4" xfId="1068" xr:uid="{1B424972-34AA-4219-8082-09D0E0253A91}"/>
    <cellStyle name="20% - Accent5 3 4 2" xfId="3302" xr:uid="{F90FFA9B-9524-4060-B0B8-87F20B3CF60B}"/>
    <cellStyle name="20% - Accent5 3 4 2 2" xfId="7517" xr:uid="{0D8FAA4F-00EF-493A-B343-2F95BC32BBA8}"/>
    <cellStyle name="20% - Accent5 3 4 3" xfId="5372" xr:uid="{495B62CB-C53B-40FE-B230-DFE9FD55AE53}"/>
    <cellStyle name="20% - Accent5 3 5" xfId="1899" xr:uid="{64EE75CC-8E52-4C77-A0F9-9FF4C47EB0F5}"/>
    <cellStyle name="20% - Accent5 3 5 2" xfId="3715" xr:uid="{E670C892-7428-47CD-8E3F-0297B5B975CE}"/>
    <cellStyle name="20% - Accent5 3 5 2 2" xfId="7930" xr:uid="{5A22367F-E67E-40A2-B5AB-C85FE8FFDCB0}"/>
    <cellStyle name="20% - Accent5 3 5 3" xfId="5785" xr:uid="{7135324C-15FB-4DBA-8DD2-20205456CE66}"/>
    <cellStyle name="20% - Accent5 3 6" xfId="2312" xr:uid="{5059E8ED-CC9E-4647-B89E-FE854AB3FF83}"/>
    <cellStyle name="20% - Accent5 3 6 2" xfId="4128" xr:uid="{EA853CBD-957C-4AB0-92DA-2BE0AB1EC39B}"/>
    <cellStyle name="20% - Accent5 3 6 2 2" xfId="8343" xr:uid="{7B44E0C8-9F92-445F-960F-09E7EDAB7A22}"/>
    <cellStyle name="20% - Accent5 3 6 3" xfId="6198" xr:uid="{C778C001-3DB8-460F-80F1-AF2FA73D04FC}"/>
    <cellStyle name="20% - Accent5 3 7" xfId="2725" xr:uid="{F50946F2-3E1D-4E0D-9EFF-A57F43302504}"/>
    <cellStyle name="20% - Accent5 3 7 2" xfId="6611" xr:uid="{740EBE76-580A-43BE-92D9-A497FFF53AF3}"/>
    <cellStyle name="20% - Accent5 3 8" xfId="4545" xr:uid="{DA9D1D39-C50F-4CAE-B8AC-4F1396D00529}"/>
    <cellStyle name="20% - Accent5 4" xfId="40" xr:uid="{00000000-0005-0000-0000-00004D000000}"/>
    <cellStyle name="20% - Accent5 4 2" xfId="617" xr:uid="{00000000-0005-0000-0000-00004E000000}"/>
    <cellStyle name="20% - Accent5 4 2 2" xfId="1486" xr:uid="{DB0AB90F-9078-4A36-9AE7-D8D31EEA40F2}"/>
    <cellStyle name="20% - Accent5 4 2 2 2" xfId="7106" xr:uid="{E939378F-DE34-4568-8F18-95DF1D5AC57D}"/>
    <cellStyle name="20% - Accent5 4 2 3" xfId="4961" xr:uid="{5F1EAF30-79D4-464D-BBB1-AC53D90DBAE3}"/>
    <cellStyle name="20% - Accent5 4 3" xfId="1070" xr:uid="{59585243-846C-4AD6-81B3-F61234C35E13}"/>
    <cellStyle name="20% - Accent5 4 3 2" xfId="3304" xr:uid="{4A86E9B5-84CE-4015-93C3-68E566E7657A}"/>
    <cellStyle name="20% - Accent5 4 3 2 2" xfId="7519" xr:uid="{14B2EE62-B3FE-4CAE-B1DA-CF587FA5F2CA}"/>
    <cellStyle name="20% - Accent5 4 3 3" xfId="5374" xr:uid="{64DCFE43-1ED2-4D50-A2F5-F1975FBF4115}"/>
    <cellStyle name="20% - Accent5 4 4" xfId="1901" xr:uid="{409799F2-2F36-453A-BC93-9419C1699AAF}"/>
    <cellStyle name="20% - Accent5 4 4 2" xfId="3717" xr:uid="{86E5E44D-D0BE-4C1A-8043-BA17A9DEE798}"/>
    <cellStyle name="20% - Accent5 4 4 2 2" xfId="7932" xr:uid="{A04BA319-536F-4CAC-A505-C37C20011BF5}"/>
    <cellStyle name="20% - Accent5 4 4 3" xfId="5787" xr:uid="{8CAA6DAF-27DB-4C8D-967D-81513C2B2BDC}"/>
    <cellStyle name="20% - Accent5 4 5" xfId="2314" xr:uid="{F8058738-B1A8-4656-A7AE-F3A5BF25126C}"/>
    <cellStyle name="20% - Accent5 4 5 2" xfId="4130" xr:uid="{ADA9AD79-B2E5-43A6-9359-4A7A6957B4AE}"/>
    <cellStyle name="20% - Accent5 4 5 2 2" xfId="8345" xr:uid="{5DE4EBA8-FAD3-4C77-A178-FB278F7E0E04}"/>
    <cellStyle name="20% - Accent5 4 5 3" xfId="6200" xr:uid="{E7A32A73-828E-44F4-BEFC-51EC94E15306}"/>
    <cellStyle name="20% - Accent5 4 6" xfId="2727" xr:uid="{BD5771DE-D0C0-4288-B752-3C6233E50EEA}"/>
    <cellStyle name="20% - Accent5 4 6 2" xfId="6613" xr:uid="{15CAE215-23A6-4F3A-B75C-FCFE4247DB70}"/>
    <cellStyle name="20% - Accent5 4 7" xfId="4547" xr:uid="{30B6BC7F-B5FA-49DC-AF55-18BA8DD1C1A5}"/>
    <cellStyle name="20% - Accent5 5" xfId="610" xr:uid="{00000000-0005-0000-0000-00004F000000}"/>
    <cellStyle name="20% - Accent5 5 2" xfId="1479" xr:uid="{D5D83CBB-7849-40A9-BAD1-925EC68F7FCE}"/>
    <cellStyle name="20% - Accent5 5 2 2" xfId="7099" xr:uid="{B9494D39-68D2-4985-92C0-9F01A8B1B799}"/>
    <cellStyle name="20% - Accent5 5 3" xfId="4954" xr:uid="{C9C6EB64-3FE3-449F-982B-34B7F1A31F23}"/>
    <cellStyle name="20% - Accent5 6" xfId="1063" xr:uid="{A19D76E7-A793-4424-990B-FEBAC3CD0AF2}"/>
    <cellStyle name="20% - Accent5 6 2" xfId="3297" xr:uid="{931436BC-96B8-4263-9FED-AF0812C4EBFC}"/>
    <cellStyle name="20% - Accent5 6 2 2" xfId="7512" xr:uid="{ACECF70C-05A5-4E78-B1B9-2826996F9870}"/>
    <cellStyle name="20% - Accent5 6 3" xfId="5367" xr:uid="{3BB1C5BC-0033-4CB6-85A1-6398DA5B0E9F}"/>
    <cellStyle name="20% - Accent5 7" xfId="1894" xr:uid="{D07ACD48-E833-4819-BFD4-0B5A8E37F09D}"/>
    <cellStyle name="20% - Accent5 7 2" xfId="3710" xr:uid="{FABBD354-9A47-4892-A45B-BCA1B5022AA1}"/>
    <cellStyle name="20% - Accent5 7 2 2" xfId="7925" xr:uid="{0F0F05F7-907B-43A6-AC81-060FD9785FBC}"/>
    <cellStyle name="20% - Accent5 7 3" xfId="5780" xr:uid="{D89EF61F-14D9-4B6D-BB57-DEEC4F565953}"/>
    <cellStyle name="20% - Accent5 8" xfId="2307" xr:uid="{74B4C55E-63DA-4CE0-8CBC-253F3047246C}"/>
    <cellStyle name="20% - Accent5 8 2" xfId="4123" xr:uid="{12619710-4B44-4D90-A2F7-9A2F747E75C3}"/>
    <cellStyle name="20% - Accent5 8 2 2" xfId="8338" xr:uid="{09B9D9C6-6E84-4CCC-9210-D9647AFA7756}"/>
    <cellStyle name="20% - Accent5 8 3" xfId="6193" xr:uid="{07DFBDE7-E3B9-4E10-9071-A7D7AEEF94C5}"/>
    <cellStyle name="20% - Accent5 9" xfId="2720" xr:uid="{C3B7BA9B-2683-4E8D-8E22-F7C834B7C510}"/>
    <cellStyle name="20% - Accent5 9 2" xfId="6606" xr:uid="{9561970F-77F8-43B3-87CA-F038A4BCF5F8}"/>
    <cellStyle name="20% - Accent6" xfId="41" builtinId="50" customBuiltin="1"/>
    <cellStyle name="20% - Accent6 10" xfId="4548" xr:uid="{F769D059-F308-400A-A24C-7375BA9B77D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0" xr:uid="{FF310733-0DCF-4A50-8222-345FD82C0983}"/>
    <cellStyle name="20% - Accent6 2 2 2 2 2 2" xfId="7110" xr:uid="{E83833B3-450C-4D22-AFA9-96061588F647}"/>
    <cellStyle name="20% - Accent6 2 2 2 2 3" xfId="4965" xr:uid="{F5204942-F73C-4B95-988F-9C739D7D490D}"/>
    <cellStyle name="20% - Accent6 2 2 2 3" xfId="1074" xr:uid="{8BF17364-4BCB-428B-B500-CFDA3EDE0C63}"/>
    <cellStyle name="20% - Accent6 2 2 2 3 2" xfId="3308" xr:uid="{97ACC687-7BC6-4DF3-8835-EFA123AD9451}"/>
    <cellStyle name="20% - Accent6 2 2 2 3 2 2" xfId="7523" xr:uid="{CC9A4F72-D670-41C6-B73E-E044F1A57682}"/>
    <cellStyle name="20% - Accent6 2 2 2 3 3" xfId="5378" xr:uid="{1AFD86F7-F4DB-4F76-A5F8-F675207072E0}"/>
    <cellStyle name="20% - Accent6 2 2 2 4" xfId="1905" xr:uid="{57CFA566-B2E1-4B90-B50A-51BD083B6C5D}"/>
    <cellStyle name="20% - Accent6 2 2 2 4 2" xfId="3721" xr:uid="{A5CF4E29-37C2-4843-81ED-C9BE5D8166A1}"/>
    <cellStyle name="20% - Accent6 2 2 2 4 2 2" xfId="7936" xr:uid="{010E96A6-22A5-4295-8404-3B4904ECD0A7}"/>
    <cellStyle name="20% - Accent6 2 2 2 4 3" xfId="5791" xr:uid="{AE8FAF2C-94E3-4A49-B137-335C00602A4A}"/>
    <cellStyle name="20% - Accent6 2 2 2 5" xfId="2318" xr:uid="{C66D0CDA-8CC8-4122-A16E-49195B6128DA}"/>
    <cellStyle name="20% - Accent6 2 2 2 5 2" xfId="4134" xr:uid="{06BC99F2-7E8E-40FE-AFAB-5867099CEC28}"/>
    <cellStyle name="20% - Accent6 2 2 2 5 2 2" xfId="8349" xr:uid="{F50BBC47-13D5-4992-896E-BC7F94ABFB5B}"/>
    <cellStyle name="20% - Accent6 2 2 2 5 3" xfId="6204" xr:uid="{70417D02-91C7-4F0B-A830-D72A7C8B6FD6}"/>
    <cellStyle name="20% - Accent6 2 2 2 6" xfId="2731" xr:uid="{D5C42528-D4C0-40E5-9F57-FA6635FC5CDE}"/>
    <cellStyle name="20% - Accent6 2 2 2 6 2" xfId="6617" xr:uid="{1F29B9C2-8C7E-420E-ACD3-954CA54D1A44}"/>
    <cellStyle name="20% - Accent6 2 2 2 7" xfId="4551" xr:uid="{59BEA645-2503-44A4-8B10-4525F6A033A4}"/>
    <cellStyle name="20% - Accent6 2 2 3" xfId="620" xr:uid="{00000000-0005-0000-0000-000055000000}"/>
    <cellStyle name="20% - Accent6 2 2 3 2" xfId="1489" xr:uid="{A7DCF14A-3F3C-4012-88B6-7D43E2CA0167}"/>
    <cellStyle name="20% - Accent6 2 2 3 2 2" xfId="7109" xr:uid="{7CD61BBE-1331-4AD7-9189-8F757A5BC820}"/>
    <cellStyle name="20% - Accent6 2 2 3 3" xfId="4964" xr:uid="{C3359C3D-4C08-4130-83FC-9383AD824C37}"/>
    <cellStyle name="20% - Accent6 2 2 4" xfId="1073" xr:uid="{A7C96776-76AA-4D9F-BAFF-C22A755B4D9D}"/>
    <cellStyle name="20% - Accent6 2 2 4 2" xfId="3307" xr:uid="{B90A7A9D-8C6D-449C-844A-C8E3558328B4}"/>
    <cellStyle name="20% - Accent6 2 2 4 2 2" xfId="7522" xr:uid="{D2AF9A0C-0206-4161-9254-ABCB998B7B6B}"/>
    <cellStyle name="20% - Accent6 2 2 4 3" xfId="5377" xr:uid="{F82DFF53-E8D7-4FA9-BD46-F6FFD015AC0A}"/>
    <cellStyle name="20% - Accent6 2 2 5" xfId="1904" xr:uid="{3C65480D-C456-4CBC-9611-C7F27B94F158}"/>
    <cellStyle name="20% - Accent6 2 2 5 2" xfId="3720" xr:uid="{85F79483-6EDD-41D5-8AAF-04855E99A287}"/>
    <cellStyle name="20% - Accent6 2 2 5 2 2" xfId="7935" xr:uid="{9AA9C888-12FE-469B-BA30-15EA1CAF7FA6}"/>
    <cellStyle name="20% - Accent6 2 2 5 3" xfId="5790" xr:uid="{337860BF-41ED-464F-AFA1-C9079504F038}"/>
    <cellStyle name="20% - Accent6 2 2 6" xfId="2317" xr:uid="{9D2F746F-1BC1-4234-90DF-20457CF99C60}"/>
    <cellStyle name="20% - Accent6 2 2 6 2" xfId="4133" xr:uid="{ECE2F8F0-4614-43F2-B2F0-CB12DCAF24E2}"/>
    <cellStyle name="20% - Accent6 2 2 6 2 2" xfId="8348" xr:uid="{621E1064-3C1B-4E10-970E-107DEF5DC02C}"/>
    <cellStyle name="20% - Accent6 2 2 6 3" xfId="6203" xr:uid="{6BD5641F-00B4-44D0-B576-83AB9B26D2CD}"/>
    <cellStyle name="20% - Accent6 2 2 7" xfId="2730" xr:uid="{29FE3A00-1326-42C6-BF93-BCCCF65EFA3F}"/>
    <cellStyle name="20% - Accent6 2 2 7 2" xfId="6616" xr:uid="{21ED8F2D-8610-40A2-AF4F-3849F0E336E2}"/>
    <cellStyle name="20% - Accent6 2 2 8" xfId="4550" xr:uid="{9F9CBDB7-B08E-45AF-9CD5-376648D390A4}"/>
    <cellStyle name="20% - Accent6 2 3" xfId="45" xr:uid="{00000000-0005-0000-0000-000056000000}"/>
    <cellStyle name="20% - Accent6 2 3 2" xfId="622" xr:uid="{00000000-0005-0000-0000-000057000000}"/>
    <cellStyle name="20% - Accent6 2 3 2 2" xfId="1491" xr:uid="{64F91C9D-B706-4519-8361-21E69C2458B6}"/>
    <cellStyle name="20% - Accent6 2 3 2 2 2" xfId="7111" xr:uid="{E564D22C-7C8D-400D-BD92-6C5316328AF0}"/>
    <cellStyle name="20% - Accent6 2 3 2 3" xfId="4966" xr:uid="{5418999E-FAD7-42F3-8AF5-2EE3147822AC}"/>
    <cellStyle name="20% - Accent6 2 3 3" xfId="1075" xr:uid="{C986C407-5580-49F6-8918-BC65566B67F2}"/>
    <cellStyle name="20% - Accent6 2 3 3 2" xfId="3309" xr:uid="{34A74F52-220D-4522-B1EC-AAE0E16B5DEA}"/>
    <cellStyle name="20% - Accent6 2 3 3 2 2" xfId="7524" xr:uid="{AB59A8ED-FF73-494F-A8E7-48824F833F0E}"/>
    <cellStyle name="20% - Accent6 2 3 3 3" xfId="5379" xr:uid="{23E58E0B-D076-4EC6-BC81-ED759B142A4B}"/>
    <cellStyle name="20% - Accent6 2 3 4" xfId="1906" xr:uid="{5E9F136A-66CF-4372-B573-C643387EF47B}"/>
    <cellStyle name="20% - Accent6 2 3 4 2" xfId="3722" xr:uid="{4D70F739-202E-426F-9A69-ED2AEBD44421}"/>
    <cellStyle name="20% - Accent6 2 3 4 2 2" xfId="7937" xr:uid="{841573CD-6057-443E-9514-10BD1A7595D9}"/>
    <cellStyle name="20% - Accent6 2 3 4 3" xfId="5792" xr:uid="{26F20CF6-89BB-4046-B97B-77A97435500D}"/>
    <cellStyle name="20% - Accent6 2 3 5" xfId="2319" xr:uid="{F489B302-8195-4721-89EB-2DEED01628C4}"/>
    <cellStyle name="20% - Accent6 2 3 5 2" xfId="4135" xr:uid="{4FDFFEB8-5DD8-4DB9-A890-19F550B5BC20}"/>
    <cellStyle name="20% - Accent6 2 3 5 2 2" xfId="8350" xr:uid="{E453AEAF-599D-47EB-8969-513A3184A377}"/>
    <cellStyle name="20% - Accent6 2 3 5 3" xfId="6205" xr:uid="{632AB873-6965-4D73-B7D9-5471F72E7133}"/>
    <cellStyle name="20% - Accent6 2 3 6" xfId="2732" xr:uid="{64FF5430-87D4-4327-9CA1-01D5EDABC09A}"/>
    <cellStyle name="20% - Accent6 2 3 6 2" xfId="6618" xr:uid="{530D39F3-C170-4456-AE00-805352E93C7E}"/>
    <cellStyle name="20% - Accent6 2 3 7" xfId="4552" xr:uid="{FDBBB7CE-D8E5-4D0E-B888-AD0E0C4F91D9}"/>
    <cellStyle name="20% - Accent6 2 4" xfId="619" xr:uid="{00000000-0005-0000-0000-000058000000}"/>
    <cellStyle name="20% - Accent6 2 4 2" xfId="1488" xr:uid="{4D9AA4FC-DF57-497A-9F74-DE353D07DD46}"/>
    <cellStyle name="20% - Accent6 2 4 2 2" xfId="7108" xr:uid="{85667498-1E23-4E08-9422-38BDC50EE153}"/>
    <cellStyle name="20% - Accent6 2 4 3" xfId="4963" xr:uid="{FA47006D-596D-4F10-9825-0E51DED20AA1}"/>
    <cellStyle name="20% - Accent6 2 5" xfId="1072" xr:uid="{4E533331-578D-4969-84AE-89F75A6304AC}"/>
    <cellStyle name="20% - Accent6 2 5 2" xfId="3306" xr:uid="{ED1B06DF-AA66-45F3-88C6-7F64E9BDA154}"/>
    <cellStyle name="20% - Accent6 2 5 2 2" xfId="7521" xr:uid="{9C5E7D96-3FB6-4C4D-B92D-B8FDFD27D765}"/>
    <cellStyle name="20% - Accent6 2 5 3" xfId="5376" xr:uid="{0C1CE513-904F-46F8-9850-B5C62E2D0704}"/>
    <cellStyle name="20% - Accent6 2 6" xfId="1903" xr:uid="{53BE7F70-8EE9-426A-8967-072011E082D6}"/>
    <cellStyle name="20% - Accent6 2 6 2" xfId="3719" xr:uid="{DDD25118-D4F2-490E-A415-721D674A3F59}"/>
    <cellStyle name="20% - Accent6 2 6 2 2" xfId="7934" xr:uid="{5CA2AC71-D973-41F0-840A-49E0F4FB2684}"/>
    <cellStyle name="20% - Accent6 2 6 3" xfId="5789" xr:uid="{54CDF3E5-DC65-457C-B2EC-B029687CB770}"/>
    <cellStyle name="20% - Accent6 2 7" xfId="2316" xr:uid="{CFF34AC5-A33D-45A8-A159-E623CCAF3605}"/>
    <cellStyle name="20% - Accent6 2 7 2" xfId="4132" xr:uid="{CCE77472-D7D6-4899-B82E-461BAACAD4C7}"/>
    <cellStyle name="20% - Accent6 2 7 2 2" xfId="8347" xr:uid="{B6B23A05-60BF-4F24-A559-142ECF351CA6}"/>
    <cellStyle name="20% - Accent6 2 7 3" xfId="6202" xr:uid="{A254C690-373E-44CD-A68D-3F828DF0677C}"/>
    <cellStyle name="20% - Accent6 2 8" xfId="2729" xr:uid="{3726A110-A1B9-49E9-8989-FA5742E6E2E7}"/>
    <cellStyle name="20% - Accent6 2 8 2" xfId="6615" xr:uid="{4E636429-1765-4B3E-83B2-3B9E4565B11D}"/>
    <cellStyle name="20% - Accent6 2 9" xfId="4549" xr:uid="{CB3FB6AB-5097-4C43-9A8C-92C4DF1E572B}"/>
    <cellStyle name="20% - Accent6 3" xfId="46" xr:uid="{00000000-0005-0000-0000-000059000000}"/>
    <cellStyle name="20% - Accent6 3 2" xfId="47" xr:uid="{00000000-0005-0000-0000-00005A000000}"/>
    <cellStyle name="20% - Accent6 3 2 2" xfId="624" xr:uid="{00000000-0005-0000-0000-00005B000000}"/>
    <cellStyle name="20% - Accent6 3 2 2 2" xfId="1493" xr:uid="{498EECBC-5D23-4E4E-BE6A-1C3597B807FC}"/>
    <cellStyle name="20% - Accent6 3 2 2 2 2" xfId="7113" xr:uid="{0581C70A-21FB-4B64-A111-C1EAFD5A2FD3}"/>
    <cellStyle name="20% - Accent6 3 2 2 3" xfId="4968" xr:uid="{5F5E7BFE-D0A7-4703-AE74-82F2D8957BD5}"/>
    <cellStyle name="20% - Accent6 3 2 3" xfId="1077" xr:uid="{BD523A39-A834-42CC-B6F5-1BB873845232}"/>
    <cellStyle name="20% - Accent6 3 2 3 2" xfId="3311" xr:uid="{E35C3EE1-840C-449F-8243-DEBA3351DFE1}"/>
    <cellStyle name="20% - Accent6 3 2 3 2 2" xfId="7526" xr:uid="{5975324F-7CF1-454C-80EF-5DB601D0CE74}"/>
    <cellStyle name="20% - Accent6 3 2 3 3" xfId="5381" xr:uid="{C1B3563C-0156-4E8B-AE4C-2840EC4FCB74}"/>
    <cellStyle name="20% - Accent6 3 2 4" xfId="1908" xr:uid="{4B5D71D2-A642-4F96-B430-72C699E54FDE}"/>
    <cellStyle name="20% - Accent6 3 2 4 2" xfId="3724" xr:uid="{EE0FD2F6-1E3F-41CD-8E35-2AD643A2A0CD}"/>
    <cellStyle name="20% - Accent6 3 2 4 2 2" xfId="7939" xr:uid="{D7C276DA-B113-4922-9F4F-212EA8E0F293}"/>
    <cellStyle name="20% - Accent6 3 2 4 3" xfId="5794" xr:uid="{F3CF26F8-049A-4FDA-9167-968E2DB016C8}"/>
    <cellStyle name="20% - Accent6 3 2 5" xfId="2321" xr:uid="{F4E6CD4C-2186-4F74-A434-13B5A6A96003}"/>
    <cellStyle name="20% - Accent6 3 2 5 2" xfId="4137" xr:uid="{B22A6C1E-CDFB-4865-8DF8-0E175F541D10}"/>
    <cellStyle name="20% - Accent6 3 2 5 2 2" xfId="8352" xr:uid="{EF850E0F-EE1A-4F8D-A445-8F18D82A6E69}"/>
    <cellStyle name="20% - Accent6 3 2 5 3" xfId="6207" xr:uid="{0077CEE2-6FBD-4554-B405-66EB962BC0AD}"/>
    <cellStyle name="20% - Accent6 3 2 6" xfId="2734" xr:uid="{865E2153-3307-45DD-B021-E2C517A9FA1C}"/>
    <cellStyle name="20% - Accent6 3 2 6 2" xfId="6620" xr:uid="{EAF05F4F-6126-44C0-B13C-A4D42B5BF1E2}"/>
    <cellStyle name="20% - Accent6 3 2 7" xfId="4554" xr:uid="{C30DBFC1-9F61-4E50-B83D-A15F02E1A76F}"/>
    <cellStyle name="20% - Accent6 3 3" xfId="623" xr:uid="{00000000-0005-0000-0000-00005C000000}"/>
    <cellStyle name="20% - Accent6 3 3 2" xfId="1492" xr:uid="{50CAA7ED-3879-4140-AFBF-50842C475B42}"/>
    <cellStyle name="20% - Accent6 3 3 2 2" xfId="7112" xr:uid="{8C5C6C72-B1DE-4C33-A53F-DE6F40CD532F}"/>
    <cellStyle name="20% - Accent6 3 3 3" xfId="4967" xr:uid="{1C0BF831-91BF-4930-90BC-DFD2724F1319}"/>
    <cellStyle name="20% - Accent6 3 4" xfId="1076" xr:uid="{14DAEC82-F686-4F45-8A46-BB1799DD2632}"/>
    <cellStyle name="20% - Accent6 3 4 2" xfId="3310" xr:uid="{F3E4DCFF-0248-411E-AAD1-EDC585378956}"/>
    <cellStyle name="20% - Accent6 3 4 2 2" xfId="7525" xr:uid="{0DA8B667-03B2-4309-BCF3-F3672FA7AE24}"/>
    <cellStyle name="20% - Accent6 3 4 3" xfId="5380" xr:uid="{230CBA81-5997-42BF-AF3F-4F9163781940}"/>
    <cellStyle name="20% - Accent6 3 5" xfId="1907" xr:uid="{8F7FA109-0318-4822-9F11-4224B1AAB1D1}"/>
    <cellStyle name="20% - Accent6 3 5 2" xfId="3723" xr:uid="{A8F9FB34-49DE-4FE6-952D-2EF663FD8BD1}"/>
    <cellStyle name="20% - Accent6 3 5 2 2" xfId="7938" xr:uid="{0EEB692E-B79E-48BD-9F9C-FA3AE996A8DE}"/>
    <cellStyle name="20% - Accent6 3 5 3" xfId="5793" xr:uid="{DFB6275B-FAA7-4894-B7E8-BE41EEB24BBF}"/>
    <cellStyle name="20% - Accent6 3 6" xfId="2320" xr:uid="{91372194-7847-43A3-92D0-D84F0C042E33}"/>
    <cellStyle name="20% - Accent6 3 6 2" xfId="4136" xr:uid="{C3C61E1D-705C-4BF3-B60C-6D606B2451AF}"/>
    <cellStyle name="20% - Accent6 3 6 2 2" xfId="8351" xr:uid="{9134DB50-33BA-40F6-9338-1AA273A2237D}"/>
    <cellStyle name="20% - Accent6 3 6 3" xfId="6206" xr:uid="{6EEACFAB-F0F0-44DF-AF73-4770D18660DE}"/>
    <cellStyle name="20% - Accent6 3 7" xfId="2733" xr:uid="{30671391-2A86-4F03-BF15-7C11DA1867E2}"/>
    <cellStyle name="20% - Accent6 3 7 2" xfId="6619" xr:uid="{F0E8BCEE-C640-4CF1-A843-052FAB4D4446}"/>
    <cellStyle name="20% - Accent6 3 8" xfId="4553" xr:uid="{CD4B2D19-4FA2-4713-9F51-A85C261E06B9}"/>
    <cellStyle name="20% - Accent6 4" xfId="48" xr:uid="{00000000-0005-0000-0000-00005D000000}"/>
    <cellStyle name="20% - Accent6 4 2" xfId="625" xr:uid="{00000000-0005-0000-0000-00005E000000}"/>
    <cellStyle name="20% - Accent6 4 2 2" xfId="1494" xr:uid="{E1154808-7853-49FB-98FE-61CD7EBCD793}"/>
    <cellStyle name="20% - Accent6 4 2 2 2" xfId="7114" xr:uid="{1415416C-F59D-49CC-AB0B-B169A3EDF0DA}"/>
    <cellStyle name="20% - Accent6 4 2 3" xfId="4969" xr:uid="{C13EB85B-976D-473F-B9D5-6D9947966FFB}"/>
    <cellStyle name="20% - Accent6 4 3" xfId="1078" xr:uid="{50D9517D-3E97-4AC5-9F44-A835DAE4D75E}"/>
    <cellStyle name="20% - Accent6 4 3 2" xfId="3312" xr:uid="{4C568E83-A229-4417-8B2B-7C27DCEDA89A}"/>
    <cellStyle name="20% - Accent6 4 3 2 2" xfId="7527" xr:uid="{43D7C04A-15AB-4F0D-A6EF-9DEDB554F1A7}"/>
    <cellStyle name="20% - Accent6 4 3 3" xfId="5382" xr:uid="{909360EE-DAD5-40EA-A249-D584E8857D21}"/>
    <cellStyle name="20% - Accent6 4 4" xfId="1909" xr:uid="{5099E4B4-A78F-4B06-AC7D-CE350A7E9C4E}"/>
    <cellStyle name="20% - Accent6 4 4 2" xfId="3725" xr:uid="{AAB92BA8-18A5-495F-B0FD-3D9BD29F8727}"/>
    <cellStyle name="20% - Accent6 4 4 2 2" xfId="7940" xr:uid="{3489BD47-D561-4E6C-B73E-88B9A7B9143B}"/>
    <cellStyle name="20% - Accent6 4 4 3" xfId="5795" xr:uid="{53B3A50F-48E4-4679-8002-9FC1A25B277A}"/>
    <cellStyle name="20% - Accent6 4 5" xfId="2322" xr:uid="{116F9AFA-CF5C-43D6-B96B-60F49EBDD129}"/>
    <cellStyle name="20% - Accent6 4 5 2" xfId="4138" xr:uid="{45F5B7BC-2CE0-4E6D-9EB5-23ACC95442C8}"/>
    <cellStyle name="20% - Accent6 4 5 2 2" xfId="8353" xr:uid="{CC18C01C-A0B8-4D85-84AA-A45D2F798143}"/>
    <cellStyle name="20% - Accent6 4 5 3" xfId="6208" xr:uid="{B1B0FA13-6736-4F23-A75B-88B7BFE42CA0}"/>
    <cellStyle name="20% - Accent6 4 6" xfId="2735" xr:uid="{307FF982-5B4F-4F93-8980-FD03EF0AA58A}"/>
    <cellStyle name="20% - Accent6 4 6 2" xfId="6621" xr:uid="{E6EBB7F2-F344-49B2-BD4F-5AD173A71D68}"/>
    <cellStyle name="20% - Accent6 4 7" xfId="4555" xr:uid="{A2A39042-B7DE-4CBC-9978-4D9B91FBF97A}"/>
    <cellStyle name="20% - Accent6 5" xfId="618" xr:uid="{00000000-0005-0000-0000-00005F000000}"/>
    <cellStyle name="20% - Accent6 5 2" xfId="1487" xr:uid="{A109C743-9AC8-423F-A03A-1C2A3401716E}"/>
    <cellStyle name="20% - Accent6 5 2 2" xfId="7107" xr:uid="{9C1BEE78-F703-4A48-9B36-45BF52DE5247}"/>
    <cellStyle name="20% - Accent6 5 3" xfId="4962" xr:uid="{ECD76897-AB3D-4ED8-8724-DFD2A3C02452}"/>
    <cellStyle name="20% - Accent6 6" xfId="1071" xr:uid="{3244954A-17C8-409B-86B3-A5B5297E248D}"/>
    <cellStyle name="20% - Accent6 6 2" xfId="3305" xr:uid="{C3B608BE-9CFB-4E93-BF19-C58E71C14F7F}"/>
    <cellStyle name="20% - Accent6 6 2 2" xfId="7520" xr:uid="{7DE4B6EE-F02A-4E3C-9FBA-3642383222F6}"/>
    <cellStyle name="20% - Accent6 6 3" xfId="5375" xr:uid="{F944839D-E628-4F19-AEE1-AD98A3C4AC30}"/>
    <cellStyle name="20% - Accent6 7" xfId="1902" xr:uid="{C8C6F19D-405F-47B1-AA5F-CD68B8E81514}"/>
    <cellStyle name="20% - Accent6 7 2" xfId="3718" xr:uid="{58DAD8D5-B1DA-4B33-B822-D2FA61F0D034}"/>
    <cellStyle name="20% - Accent6 7 2 2" xfId="7933" xr:uid="{0BED283E-F928-44D2-8FA9-8CC6187C56C7}"/>
    <cellStyle name="20% - Accent6 7 3" xfId="5788" xr:uid="{492CA85A-0079-43FF-AE25-060AFA91A76B}"/>
    <cellStyle name="20% - Accent6 8" xfId="2315" xr:uid="{04838759-81DC-4C5B-B47A-2BE72211D3DD}"/>
    <cellStyle name="20% - Accent6 8 2" xfId="4131" xr:uid="{9372A7D0-DC4C-43AD-A533-3819F11F9723}"/>
    <cellStyle name="20% - Accent6 8 2 2" xfId="8346" xr:uid="{43F640E3-372C-4985-A199-EA1EA7E2CF32}"/>
    <cellStyle name="20% - Accent6 8 3" xfId="6201" xr:uid="{72EA8F84-1DD0-4DC4-87FC-B07CD8EAFD9C}"/>
    <cellStyle name="20% - Accent6 9" xfId="2728" xr:uid="{066171F8-FB0E-4DA3-A9BA-AA5BA579F1B8}"/>
    <cellStyle name="20% - Accent6 9 2" xfId="6614" xr:uid="{D2260CB5-00F8-47E9-9935-37D14F44612A}"/>
    <cellStyle name="40% - Accent1" xfId="49" builtinId="31" customBuiltin="1"/>
    <cellStyle name="40% - Accent1 10" xfId="4556" xr:uid="{8C8D49B8-1EA0-4D5A-B142-8977DA7F0D9F}"/>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8" xr:uid="{0D805D9E-F721-46A0-AE17-D0CF1974AD99}"/>
    <cellStyle name="40% - Accent1 2 2 2 2 2 2" xfId="7118" xr:uid="{6E2F8621-4772-4FA5-A46B-ED0CFBEBDC1A}"/>
    <cellStyle name="40% - Accent1 2 2 2 2 3" xfId="4973" xr:uid="{8210C7A1-B4E2-4B88-A891-65D77055EBC1}"/>
    <cellStyle name="40% - Accent1 2 2 2 3" xfId="1082" xr:uid="{365FB385-AC11-464D-8B04-13814BC7E51B}"/>
    <cellStyle name="40% - Accent1 2 2 2 3 2" xfId="3316" xr:uid="{E6735D7F-0284-40E5-905E-C61B9A49C423}"/>
    <cellStyle name="40% - Accent1 2 2 2 3 2 2" xfId="7531" xr:uid="{0109A08D-AD79-416E-9C10-65BF3B0A0719}"/>
    <cellStyle name="40% - Accent1 2 2 2 3 3" xfId="5386" xr:uid="{8BA01970-8707-4A33-A32F-DEE0D9CDC3DE}"/>
    <cellStyle name="40% - Accent1 2 2 2 4" xfId="1913" xr:uid="{B3097161-4FB4-48B8-AF28-5996C245C7D0}"/>
    <cellStyle name="40% - Accent1 2 2 2 4 2" xfId="3729" xr:uid="{E77350C0-08A1-4784-9F5E-7D6E2CE3D661}"/>
    <cellStyle name="40% - Accent1 2 2 2 4 2 2" xfId="7944" xr:uid="{7C8FF5A8-DBB2-4B01-B18E-42C0A8C8225C}"/>
    <cellStyle name="40% - Accent1 2 2 2 4 3" xfId="5799" xr:uid="{596F5494-4E1B-4C17-8512-8178A677AA5A}"/>
    <cellStyle name="40% - Accent1 2 2 2 5" xfId="2326" xr:uid="{9AF9B0D8-F99D-4534-8CE9-17718D7BC460}"/>
    <cellStyle name="40% - Accent1 2 2 2 5 2" xfId="4142" xr:uid="{6FF1C431-4663-4393-B2CC-4DA97DB9CDE9}"/>
    <cellStyle name="40% - Accent1 2 2 2 5 2 2" xfId="8357" xr:uid="{EA57CAC8-CDDD-44F5-BBEA-5997D5C7628B}"/>
    <cellStyle name="40% - Accent1 2 2 2 5 3" xfId="6212" xr:uid="{2383F671-E0FD-44EF-818F-51241F93ED8A}"/>
    <cellStyle name="40% - Accent1 2 2 2 6" xfId="2739" xr:uid="{B1857C21-2B97-49EC-801E-04184DAC1AF6}"/>
    <cellStyle name="40% - Accent1 2 2 2 6 2" xfId="6625" xr:uid="{B15AC71A-E416-46B0-918A-4B77C11CB64A}"/>
    <cellStyle name="40% - Accent1 2 2 2 7" xfId="4559" xr:uid="{9D9D055E-777B-47FD-9AA0-4E7886C8BA35}"/>
    <cellStyle name="40% - Accent1 2 2 3" xfId="628" xr:uid="{00000000-0005-0000-0000-000065000000}"/>
    <cellStyle name="40% - Accent1 2 2 3 2" xfId="1497" xr:uid="{110ACE57-BEA8-4A4A-8146-2CC1F4803BFE}"/>
    <cellStyle name="40% - Accent1 2 2 3 2 2" xfId="7117" xr:uid="{80355D3A-DAB0-4C30-8B6B-028678914CFA}"/>
    <cellStyle name="40% - Accent1 2 2 3 3" xfId="4972" xr:uid="{F958797E-BD44-4A80-B3CD-F57C17EC3CE8}"/>
    <cellStyle name="40% - Accent1 2 2 4" xfId="1081" xr:uid="{D29D8EF7-AB18-4CF5-BABC-EFD58FADFB57}"/>
    <cellStyle name="40% - Accent1 2 2 4 2" xfId="3315" xr:uid="{55A8D873-95BF-4301-809D-F0A057791D88}"/>
    <cellStyle name="40% - Accent1 2 2 4 2 2" xfId="7530" xr:uid="{2CB8D02E-43FD-4A2D-A66C-991ACCAF1B33}"/>
    <cellStyle name="40% - Accent1 2 2 4 3" xfId="5385" xr:uid="{C85F7801-DF72-4D0F-861B-E934EC55EBB1}"/>
    <cellStyle name="40% - Accent1 2 2 5" xfId="1912" xr:uid="{367E7959-0AD0-4883-867B-DE430066A5A1}"/>
    <cellStyle name="40% - Accent1 2 2 5 2" xfId="3728" xr:uid="{A494772D-87CD-4950-8084-A890EC84770D}"/>
    <cellStyle name="40% - Accent1 2 2 5 2 2" xfId="7943" xr:uid="{4A150F21-0AD2-439C-8242-3FD665A6C89E}"/>
    <cellStyle name="40% - Accent1 2 2 5 3" xfId="5798" xr:uid="{11E06E0E-BE63-47EF-83CE-C20C227CC71A}"/>
    <cellStyle name="40% - Accent1 2 2 6" xfId="2325" xr:uid="{4D09EDF1-E49A-4504-9343-0E989F88CE9E}"/>
    <cellStyle name="40% - Accent1 2 2 6 2" xfId="4141" xr:uid="{6DCDC1B5-5967-481D-84AA-0C3490CB6DFF}"/>
    <cellStyle name="40% - Accent1 2 2 6 2 2" xfId="8356" xr:uid="{D74C819B-E5BB-4C65-B6D3-85C1C330929F}"/>
    <cellStyle name="40% - Accent1 2 2 6 3" xfId="6211" xr:uid="{C5D36A65-8279-4BC2-B314-AAF09267CD24}"/>
    <cellStyle name="40% - Accent1 2 2 7" xfId="2738" xr:uid="{16BE9DFF-816E-446A-8993-FE66C32D7328}"/>
    <cellStyle name="40% - Accent1 2 2 7 2" xfId="6624" xr:uid="{2E7D93B9-CC3E-4D9C-896B-96C082966299}"/>
    <cellStyle name="40% - Accent1 2 2 8" xfId="4558" xr:uid="{8AF4B440-5E3A-4F54-B734-9E03F243F755}"/>
    <cellStyle name="40% - Accent1 2 3" xfId="53" xr:uid="{00000000-0005-0000-0000-000066000000}"/>
    <cellStyle name="40% - Accent1 2 3 2" xfId="630" xr:uid="{00000000-0005-0000-0000-000067000000}"/>
    <cellStyle name="40% - Accent1 2 3 2 2" xfId="1499" xr:uid="{C916276B-2D18-4A10-A7D5-21607750FE23}"/>
    <cellStyle name="40% - Accent1 2 3 2 2 2" xfId="7119" xr:uid="{5C738629-3D76-4685-A33D-6984AF30AA6B}"/>
    <cellStyle name="40% - Accent1 2 3 2 3" xfId="4974" xr:uid="{C0A62326-C1DD-4E59-A8A5-99C0CDB85320}"/>
    <cellStyle name="40% - Accent1 2 3 3" xfId="1083" xr:uid="{B19384DF-2D42-46B0-B7B0-A96C6D6BEF7B}"/>
    <cellStyle name="40% - Accent1 2 3 3 2" xfId="3317" xr:uid="{8A853E67-5C59-442C-87C4-4436FD81E603}"/>
    <cellStyle name="40% - Accent1 2 3 3 2 2" xfId="7532" xr:uid="{72AE729A-A91D-44FD-9992-392CA0F0AA01}"/>
    <cellStyle name="40% - Accent1 2 3 3 3" xfId="5387" xr:uid="{CCAD3940-02A3-4EE5-A317-7C6769316F14}"/>
    <cellStyle name="40% - Accent1 2 3 4" xfId="1914" xr:uid="{5CA2C3FB-4702-4119-9B54-6A2A986A81FD}"/>
    <cellStyle name="40% - Accent1 2 3 4 2" xfId="3730" xr:uid="{5114C533-3D6D-4055-80CC-4860DE42CECF}"/>
    <cellStyle name="40% - Accent1 2 3 4 2 2" xfId="7945" xr:uid="{D8686EA0-E93E-4681-BEA8-0E5BD48FDC86}"/>
    <cellStyle name="40% - Accent1 2 3 4 3" xfId="5800" xr:uid="{699DF3AF-3B50-429A-93FC-4B03E8A8F0F7}"/>
    <cellStyle name="40% - Accent1 2 3 5" xfId="2327" xr:uid="{479B6F68-460B-4B3D-8E85-CF633704E4E3}"/>
    <cellStyle name="40% - Accent1 2 3 5 2" xfId="4143" xr:uid="{F38FD121-F568-425F-A79C-63DAE6D5F943}"/>
    <cellStyle name="40% - Accent1 2 3 5 2 2" xfId="8358" xr:uid="{602A8CAD-FC23-4DA1-ABF5-C30FCC1D07A1}"/>
    <cellStyle name="40% - Accent1 2 3 5 3" xfId="6213" xr:uid="{642E0474-04E0-44EE-BC2E-65B6BD462D4E}"/>
    <cellStyle name="40% - Accent1 2 3 6" xfId="2740" xr:uid="{99D0CDB7-0F88-4553-84D4-531E33EA413D}"/>
    <cellStyle name="40% - Accent1 2 3 6 2" xfId="6626" xr:uid="{F3EEC8D8-A700-4482-A319-8818610D64D1}"/>
    <cellStyle name="40% - Accent1 2 3 7" xfId="4560" xr:uid="{BEF258A1-D537-4BFE-AAF6-F434518B4740}"/>
    <cellStyle name="40% - Accent1 2 4" xfId="627" xr:uid="{00000000-0005-0000-0000-000068000000}"/>
    <cellStyle name="40% - Accent1 2 4 2" xfId="1496" xr:uid="{DCF39952-6014-4BE6-BFB5-B993D04006A9}"/>
    <cellStyle name="40% - Accent1 2 4 2 2" xfId="7116" xr:uid="{819F834F-1925-466C-8B50-9B50749C4684}"/>
    <cellStyle name="40% - Accent1 2 4 3" xfId="4971" xr:uid="{0C4D7BBB-5307-4E25-9A89-E5F4350302DC}"/>
    <cellStyle name="40% - Accent1 2 5" xfId="1080" xr:uid="{18DFB15C-C295-4822-ADB8-1F42A8346A85}"/>
    <cellStyle name="40% - Accent1 2 5 2" xfId="3314" xr:uid="{F1935E45-9370-4B96-AB12-87190534D760}"/>
    <cellStyle name="40% - Accent1 2 5 2 2" xfId="7529" xr:uid="{B2FC48E0-6481-49F7-9CF0-EFE7C423B65F}"/>
    <cellStyle name="40% - Accent1 2 5 3" xfId="5384" xr:uid="{38814E8D-3710-40C9-A3F2-EBFB050E31E9}"/>
    <cellStyle name="40% - Accent1 2 6" xfId="1911" xr:uid="{41D994B9-86D0-478F-AB09-F804BF67C7CD}"/>
    <cellStyle name="40% - Accent1 2 6 2" xfId="3727" xr:uid="{0FC20A75-8E20-4413-B7C7-35C54DAAE219}"/>
    <cellStyle name="40% - Accent1 2 6 2 2" xfId="7942" xr:uid="{A4FD67BA-39BE-494A-9FEE-F7D95186D3EC}"/>
    <cellStyle name="40% - Accent1 2 6 3" xfId="5797" xr:uid="{EA38A22C-DC5D-47B6-A5DA-1BE6065819CB}"/>
    <cellStyle name="40% - Accent1 2 7" xfId="2324" xr:uid="{F53726EC-2D79-4351-A4EC-6CB09153BFFD}"/>
    <cellStyle name="40% - Accent1 2 7 2" xfId="4140" xr:uid="{DB09E872-6E67-44FE-9C45-AFD3CAD236FD}"/>
    <cellStyle name="40% - Accent1 2 7 2 2" xfId="8355" xr:uid="{827C7323-F53F-4F63-8A1A-A8359CD97C62}"/>
    <cellStyle name="40% - Accent1 2 7 3" xfId="6210" xr:uid="{12E23A3F-E80C-4360-A23A-FC784CCA2C59}"/>
    <cellStyle name="40% - Accent1 2 8" xfId="2737" xr:uid="{41611454-3754-471C-8439-EB2E2DC5D0D9}"/>
    <cellStyle name="40% - Accent1 2 8 2" xfId="6623" xr:uid="{CC9AC136-54FE-4923-BB5C-20A8A6648B55}"/>
    <cellStyle name="40% - Accent1 2 9" xfId="4557" xr:uid="{066F4A21-C96B-4B84-A960-921F598A959C}"/>
    <cellStyle name="40% - Accent1 3" xfId="54" xr:uid="{00000000-0005-0000-0000-000069000000}"/>
    <cellStyle name="40% - Accent1 3 2" xfId="55" xr:uid="{00000000-0005-0000-0000-00006A000000}"/>
    <cellStyle name="40% - Accent1 3 2 2" xfId="632" xr:uid="{00000000-0005-0000-0000-00006B000000}"/>
    <cellStyle name="40% - Accent1 3 2 2 2" xfId="1501" xr:uid="{CD110941-6CFA-4307-BA51-64958FC01CB6}"/>
    <cellStyle name="40% - Accent1 3 2 2 2 2" xfId="7121" xr:uid="{77ACE1CD-78D7-4BAD-B3F3-244441F8A996}"/>
    <cellStyle name="40% - Accent1 3 2 2 3" xfId="4976" xr:uid="{5486178C-67F2-4046-9A67-83F2AF07B459}"/>
    <cellStyle name="40% - Accent1 3 2 3" xfId="1085" xr:uid="{A78053FA-A114-4DE3-9699-D2B78FF5CFCE}"/>
    <cellStyle name="40% - Accent1 3 2 3 2" xfId="3319" xr:uid="{2B0EAA00-B5E0-4692-879B-A82D1148E5BA}"/>
    <cellStyle name="40% - Accent1 3 2 3 2 2" xfId="7534" xr:uid="{AC2C6A93-71DF-4F9F-B046-B045098AA508}"/>
    <cellStyle name="40% - Accent1 3 2 3 3" xfId="5389" xr:uid="{750353F8-BB30-45D9-8E6F-96505CB70B9D}"/>
    <cellStyle name="40% - Accent1 3 2 4" xfId="1916" xr:uid="{36BF90EA-9C58-4358-87DE-E1F7BE9D5B54}"/>
    <cellStyle name="40% - Accent1 3 2 4 2" xfId="3732" xr:uid="{38A1E604-1048-4C09-AEA6-B384EF008003}"/>
    <cellStyle name="40% - Accent1 3 2 4 2 2" xfId="7947" xr:uid="{778F0FA6-F006-42EE-A5E8-A5EE587CE5A9}"/>
    <cellStyle name="40% - Accent1 3 2 4 3" xfId="5802" xr:uid="{0E43CEC2-0CC7-4D8E-817E-E2BB14F5EA61}"/>
    <cellStyle name="40% - Accent1 3 2 5" xfId="2329" xr:uid="{395DB927-8D2C-4BFE-B73C-4FA3DC97FE93}"/>
    <cellStyle name="40% - Accent1 3 2 5 2" xfId="4145" xr:uid="{A427F249-CF66-40D5-AB70-0CA94628EF74}"/>
    <cellStyle name="40% - Accent1 3 2 5 2 2" xfId="8360" xr:uid="{6F7B100C-7AFF-41D3-95FD-20F391A9E1D1}"/>
    <cellStyle name="40% - Accent1 3 2 5 3" xfId="6215" xr:uid="{1191946E-6CEC-42D9-B121-142F5E31EA00}"/>
    <cellStyle name="40% - Accent1 3 2 6" xfId="2742" xr:uid="{31B267D3-8DD1-4E47-8528-FA656E956F4C}"/>
    <cellStyle name="40% - Accent1 3 2 6 2" xfId="6628" xr:uid="{278A8C7C-578C-4B4A-8E3E-28DE4B03CD17}"/>
    <cellStyle name="40% - Accent1 3 2 7" xfId="4562" xr:uid="{EC923EC0-C81D-445A-897B-3F8F7BF58712}"/>
    <cellStyle name="40% - Accent1 3 3" xfId="631" xr:uid="{00000000-0005-0000-0000-00006C000000}"/>
    <cellStyle name="40% - Accent1 3 3 2" xfId="1500" xr:uid="{5EBC540A-DF2F-42E4-BA5E-C855C111E04E}"/>
    <cellStyle name="40% - Accent1 3 3 2 2" xfId="7120" xr:uid="{E8863172-BD52-41B4-8F63-6C36DC91AC1B}"/>
    <cellStyle name="40% - Accent1 3 3 3" xfId="4975" xr:uid="{22C9589D-E3D6-445D-A1EC-5B0EB7A14AE9}"/>
    <cellStyle name="40% - Accent1 3 4" xfId="1084" xr:uid="{6BC5CCB1-5594-409A-823A-108028BFDECB}"/>
    <cellStyle name="40% - Accent1 3 4 2" xfId="3318" xr:uid="{A2BFE041-DB55-417D-BEF9-5C7613086E09}"/>
    <cellStyle name="40% - Accent1 3 4 2 2" xfId="7533" xr:uid="{701E0659-A925-4FBF-B038-0F497646725C}"/>
    <cellStyle name="40% - Accent1 3 4 3" xfId="5388" xr:uid="{C7F12A36-724B-47B1-8393-254E91B8A193}"/>
    <cellStyle name="40% - Accent1 3 5" xfId="1915" xr:uid="{0608DFF3-A020-4D6C-AE86-72BBAE4A6EBA}"/>
    <cellStyle name="40% - Accent1 3 5 2" xfId="3731" xr:uid="{9CB9E888-9EA5-4266-837B-8CC5BEDBC795}"/>
    <cellStyle name="40% - Accent1 3 5 2 2" xfId="7946" xr:uid="{66FA2A82-C32C-4DAB-AFC7-9E4E05A1CF7F}"/>
    <cellStyle name="40% - Accent1 3 5 3" xfId="5801" xr:uid="{67BD551B-4BD4-4CDA-8CF4-10505E71455A}"/>
    <cellStyle name="40% - Accent1 3 6" xfId="2328" xr:uid="{5C6A288E-24A3-4727-9113-683FF6781D6B}"/>
    <cellStyle name="40% - Accent1 3 6 2" xfId="4144" xr:uid="{68CC3FE3-E832-4F4B-B3F3-ACD65C23FA7C}"/>
    <cellStyle name="40% - Accent1 3 6 2 2" xfId="8359" xr:uid="{8C8DA484-B9C9-4217-BF9C-8CC51B1D79FB}"/>
    <cellStyle name="40% - Accent1 3 6 3" xfId="6214" xr:uid="{EF11B493-E4FB-4AA3-96D9-9E5A200B88EC}"/>
    <cellStyle name="40% - Accent1 3 7" xfId="2741" xr:uid="{C8A4E6F9-9B52-4F6D-9566-68B6BA86FBFA}"/>
    <cellStyle name="40% - Accent1 3 7 2" xfId="6627" xr:uid="{51B97E9F-AAF6-4FE7-A2FD-D14CE84BB8B3}"/>
    <cellStyle name="40% - Accent1 3 8" xfId="4561" xr:uid="{6CF3A985-3767-46DA-9CE0-59B91F8FFDFE}"/>
    <cellStyle name="40% - Accent1 4" xfId="56" xr:uid="{00000000-0005-0000-0000-00006D000000}"/>
    <cellStyle name="40% - Accent1 4 2" xfId="633" xr:uid="{00000000-0005-0000-0000-00006E000000}"/>
    <cellStyle name="40% - Accent1 4 2 2" xfId="1502" xr:uid="{4E7C9B46-1354-4473-8E4B-24BE305AAB3D}"/>
    <cellStyle name="40% - Accent1 4 2 2 2" xfId="7122" xr:uid="{B90990A7-2AC8-422F-9FD4-EDA6CC5B4607}"/>
    <cellStyle name="40% - Accent1 4 2 3" xfId="4977" xr:uid="{FDC8F155-9109-45DC-832B-750DF892FF41}"/>
    <cellStyle name="40% - Accent1 4 3" xfId="1086" xr:uid="{85C5CD7A-66EC-49FC-985C-A144B114190A}"/>
    <cellStyle name="40% - Accent1 4 3 2" xfId="3320" xr:uid="{4C3778A8-B120-4D67-BAC6-19EB6BA202D1}"/>
    <cellStyle name="40% - Accent1 4 3 2 2" xfId="7535" xr:uid="{D8F25466-CA89-409C-8F76-ECEE7050EADA}"/>
    <cellStyle name="40% - Accent1 4 3 3" xfId="5390" xr:uid="{D93536D6-FF00-4CDD-8375-E55F00962DF2}"/>
    <cellStyle name="40% - Accent1 4 4" xfId="1917" xr:uid="{C22DB002-0FC2-4468-A856-87BD12DA519A}"/>
    <cellStyle name="40% - Accent1 4 4 2" xfId="3733" xr:uid="{60504EF4-751A-4A52-B8E7-26F9F234A66F}"/>
    <cellStyle name="40% - Accent1 4 4 2 2" xfId="7948" xr:uid="{59C647FB-F05D-4716-BE60-697E021DA21D}"/>
    <cellStyle name="40% - Accent1 4 4 3" xfId="5803" xr:uid="{E666A6B9-1BA0-4D29-816C-5EDC660A0597}"/>
    <cellStyle name="40% - Accent1 4 5" xfId="2330" xr:uid="{8BE056A2-DA60-4535-A182-5B40089CEEC9}"/>
    <cellStyle name="40% - Accent1 4 5 2" xfId="4146" xr:uid="{76020F40-14B3-427F-A22F-4E2885DEFA30}"/>
    <cellStyle name="40% - Accent1 4 5 2 2" xfId="8361" xr:uid="{5088B726-5215-47F5-9D4B-BD3CE6869D3E}"/>
    <cellStyle name="40% - Accent1 4 5 3" xfId="6216" xr:uid="{BB49126E-1986-48C1-BB08-4ACF3F3AE352}"/>
    <cellStyle name="40% - Accent1 4 6" xfId="2743" xr:uid="{81BE6FE6-E0F7-439A-9BCE-DD776FA463A1}"/>
    <cellStyle name="40% - Accent1 4 6 2" xfId="6629" xr:uid="{41273CE0-6EC6-42E9-988E-7082D5E59664}"/>
    <cellStyle name="40% - Accent1 4 7" xfId="4563" xr:uid="{FCD1BF22-8CE4-4200-B0C2-F06494A9C147}"/>
    <cellStyle name="40% - Accent1 5" xfId="626" xr:uid="{00000000-0005-0000-0000-00006F000000}"/>
    <cellStyle name="40% - Accent1 5 2" xfId="1495" xr:uid="{9143429F-7240-422E-9151-1EC51D9719B7}"/>
    <cellStyle name="40% - Accent1 5 2 2" xfId="7115" xr:uid="{31FE8392-C746-468B-B4D1-354C541536FB}"/>
    <cellStyle name="40% - Accent1 5 3" xfId="4970" xr:uid="{70AE6F50-02CD-427F-BC33-E679F6B0CC53}"/>
    <cellStyle name="40% - Accent1 6" xfId="1079" xr:uid="{26550644-63CC-48A0-AF4A-83B04F2EEE76}"/>
    <cellStyle name="40% - Accent1 6 2" xfId="3313" xr:uid="{B8010BF2-5A9A-4A83-AAE6-46280A2CEDE5}"/>
    <cellStyle name="40% - Accent1 6 2 2" xfId="7528" xr:uid="{228A568B-816D-4FD8-9B7E-2A60638E18BB}"/>
    <cellStyle name="40% - Accent1 6 3" xfId="5383" xr:uid="{10043287-513B-48EB-B222-21EB103EF1F0}"/>
    <cellStyle name="40% - Accent1 7" xfId="1910" xr:uid="{087D20BB-E3A2-4B2F-9F0B-EDD38E6017A7}"/>
    <cellStyle name="40% - Accent1 7 2" xfId="3726" xr:uid="{4A3001B4-EC9B-4B50-A2BD-F2CA8FF7A9D8}"/>
    <cellStyle name="40% - Accent1 7 2 2" xfId="7941" xr:uid="{A0DA59E4-CDF0-4C9B-A283-030A2C6BDC03}"/>
    <cellStyle name="40% - Accent1 7 3" xfId="5796" xr:uid="{2B8A7FAA-5B27-4AE5-8BFB-1E8146CE314A}"/>
    <cellStyle name="40% - Accent1 8" xfId="2323" xr:uid="{8787369B-1EA4-4D51-9A8D-DBEC41841CEF}"/>
    <cellStyle name="40% - Accent1 8 2" xfId="4139" xr:uid="{D60146EA-DDC4-4D74-9144-0E543B5FD675}"/>
    <cellStyle name="40% - Accent1 8 2 2" xfId="8354" xr:uid="{F6109589-8C1B-4EBA-A1DF-E73D3AD82A13}"/>
    <cellStyle name="40% - Accent1 8 3" xfId="6209" xr:uid="{D49CBD98-0014-4C3D-945E-3F4DDB68BDE4}"/>
    <cellStyle name="40% - Accent1 9" xfId="2736" xr:uid="{4E6AC50A-3F19-4E10-847B-455E551671CA}"/>
    <cellStyle name="40% - Accent1 9 2" xfId="6622" xr:uid="{6EEB7394-836A-4AD2-AA02-BE9F15B2C585}"/>
    <cellStyle name="40% - Accent2" xfId="57" builtinId="35" customBuiltin="1"/>
    <cellStyle name="40% - Accent2 10" xfId="4564" xr:uid="{7F3E8DB4-9B00-446C-9DC3-0DE100D1E240}"/>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6" xr:uid="{7C2BC310-99AA-4D7A-89E4-9461751716BB}"/>
    <cellStyle name="40% - Accent2 2 2 2 2 2 2" xfId="7126" xr:uid="{B5C73CA1-62C0-4465-A8A2-256F1F51B9BC}"/>
    <cellStyle name="40% - Accent2 2 2 2 2 3" xfId="4981" xr:uid="{F4DCEE06-3506-4EE5-AAC5-994B5EE00315}"/>
    <cellStyle name="40% - Accent2 2 2 2 3" xfId="1090" xr:uid="{42E541EB-86DB-4725-8ADD-E4642C15776F}"/>
    <cellStyle name="40% - Accent2 2 2 2 3 2" xfId="3324" xr:uid="{D1ADC7B8-2BF5-415D-B3CA-B75CCAF5DD78}"/>
    <cellStyle name="40% - Accent2 2 2 2 3 2 2" xfId="7539" xr:uid="{B11FEF6F-6958-4487-A8F7-37C418BB71E6}"/>
    <cellStyle name="40% - Accent2 2 2 2 3 3" xfId="5394" xr:uid="{A8A26AF9-65E5-45EE-AB2B-20291FD8E4B2}"/>
    <cellStyle name="40% - Accent2 2 2 2 4" xfId="1921" xr:uid="{468684AA-24F8-496F-AF0F-78DFD9EE08C2}"/>
    <cellStyle name="40% - Accent2 2 2 2 4 2" xfId="3737" xr:uid="{42A74458-AE1D-448B-8061-F1A1E3131F00}"/>
    <cellStyle name="40% - Accent2 2 2 2 4 2 2" xfId="7952" xr:uid="{67E819FD-8530-434C-816C-08AB5364B914}"/>
    <cellStyle name="40% - Accent2 2 2 2 4 3" xfId="5807" xr:uid="{0CB324FE-A024-4B64-8ED6-F3AC6E12A0BA}"/>
    <cellStyle name="40% - Accent2 2 2 2 5" xfId="2334" xr:uid="{2132E335-1379-46BA-AE30-E8718B764C9F}"/>
    <cellStyle name="40% - Accent2 2 2 2 5 2" xfId="4150" xr:uid="{9DF0C39C-6E0B-41A4-A65E-C027748A5DF0}"/>
    <cellStyle name="40% - Accent2 2 2 2 5 2 2" xfId="8365" xr:uid="{48834049-3477-4207-A063-690537B61FDA}"/>
    <cellStyle name="40% - Accent2 2 2 2 5 3" xfId="6220" xr:uid="{BE7B0EAC-A1B1-494D-84A5-C58CD0CB70C0}"/>
    <cellStyle name="40% - Accent2 2 2 2 6" xfId="2747" xr:uid="{E94230EF-AD85-42A2-AD62-B2F7B17DA821}"/>
    <cellStyle name="40% - Accent2 2 2 2 6 2" xfId="6633" xr:uid="{93F95A7F-8685-42F6-AE17-469B0B8A3613}"/>
    <cellStyle name="40% - Accent2 2 2 2 7" xfId="4567" xr:uid="{BEFC757B-1015-445F-BDFA-E60D62056D89}"/>
    <cellStyle name="40% - Accent2 2 2 3" xfId="636" xr:uid="{00000000-0005-0000-0000-000075000000}"/>
    <cellStyle name="40% - Accent2 2 2 3 2" xfId="1505" xr:uid="{F48642F1-2A9C-4ACD-AD75-83A4075FA4F5}"/>
    <cellStyle name="40% - Accent2 2 2 3 2 2" xfId="7125" xr:uid="{DEF3A5CD-6764-4588-9485-C22264FCF36F}"/>
    <cellStyle name="40% - Accent2 2 2 3 3" xfId="4980" xr:uid="{C1652925-8E90-4E22-AFD2-150A52C5C188}"/>
    <cellStyle name="40% - Accent2 2 2 4" xfId="1089" xr:uid="{2920A506-8716-4BBB-9BEA-82F42F2F4CBD}"/>
    <cellStyle name="40% - Accent2 2 2 4 2" xfId="3323" xr:uid="{C34A40BF-AAC3-4E55-9ADF-344D5F282FC3}"/>
    <cellStyle name="40% - Accent2 2 2 4 2 2" xfId="7538" xr:uid="{11B6E1A5-6DB0-43E0-9A33-BEACEA47BB99}"/>
    <cellStyle name="40% - Accent2 2 2 4 3" xfId="5393" xr:uid="{4FF1920A-ADD7-47BA-BF99-877EEEE7138F}"/>
    <cellStyle name="40% - Accent2 2 2 5" xfId="1920" xr:uid="{B3F0DFD4-670D-4E92-B8DA-C80057ECDED2}"/>
    <cellStyle name="40% - Accent2 2 2 5 2" xfId="3736" xr:uid="{46FD5E45-C13A-4777-981E-FC6247C2F096}"/>
    <cellStyle name="40% - Accent2 2 2 5 2 2" xfId="7951" xr:uid="{9530B916-52BC-4060-B3EA-34CE99B49BCB}"/>
    <cellStyle name="40% - Accent2 2 2 5 3" xfId="5806" xr:uid="{C04BBD75-CAF7-4C74-8E69-90A58355A4A2}"/>
    <cellStyle name="40% - Accent2 2 2 6" xfId="2333" xr:uid="{B1D00C3D-0A78-4719-92AF-CDE38311F99C}"/>
    <cellStyle name="40% - Accent2 2 2 6 2" xfId="4149" xr:uid="{C26E3D91-4B60-463E-B428-7BE53E4AA370}"/>
    <cellStyle name="40% - Accent2 2 2 6 2 2" xfId="8364" xr:uid="{9E17C7B9-389F-49D4-873A-0DD105146414}"/>
    <cellStyle name="40% - Accent2 2 2 6 3" xfId="6219" xr:uid="{DEBC47FD-C117-4538-988D-14954FF5A062}"/>
    <cellStyle name="40% - Accent2 2 2 7" xfId="2746" xr:uid="{A7E654D3-6B8B-4423-B7C2-4BF0A506C811}"/>
    <cellStyle name="40% - Accent2 2 2 7 2" xfId="6632" xr:uid="{23878EF6-875D-437D-88AB-03BF6013E5B2}"/>
    <cellStyle name="40% - Accent2 2 2 8" xfId="4566" xr:uid="{0090F40F-5B80-4C24-843A-130664FEBB47}"/>
    <cellStyle name="40% - Accent2 2 3" xfId="61" xr:uid="{00000000-0005-0000-0000-000076000000}"/>
    <cellStyle name="40% - Accent2 2 3 2" xfId="638" xr:uid="{00000000-0005-0000-0000-000077000000}"/>
    <cellStyle name="40% - Accent2 2 3 2 2" xfId="1507" xr:uid="{02A10B37-63D8-4250-84A9-62B5A0704016}"/>
    <cellStyle name="40% - Accent2 2 3 2 2 2" xfId="7127" xr:uid="{1F215BB6-68DE-4234-9B7F-32BF436B80E2}"/>
    <cellStyle name="40% - Accent2 2 3 2 3" xfId="4982" xr:uid="{7915B5E0-07A2-4465-8C92-03913B316160}"/>
    <cellStyle name="40% - Accent2 2 3 3" xfId="1091" xr:uid="{FAD596F5-088E-4BF2-9876-3601401F9CFA}"/>
    <cellStyle name="40% - Accent2 2 3 3 2" xfId="3325" xr:uid="{7B78B54E-454C-456F-BE8D-CCE1CCAE80A0}"/>
    <cellStyle name="40% - Accent2 2 3 3 2 2" xfId="7540" xr:uid="{04D5C32B-E3CE-4F39-94ED-53E3261A0250}"/>
    <cellStyle name="40% - Accent2 2 3 3 3" xfId="5395" xr:uid="{E432C2B2-AD78-401D-9D61-77D3B74738F3}"/>
    <cellStyle name="40% - Accent2 2 3 4" xfId="1922" xr:uid="{3762EAEE-1748-4F20-8CFB-A929532B006C}"/>
    <cellStyle name="40% - Accent2 2 3 4 2" xfId="3738" xr:uid="{10585FFB-5C08-471E-9B63-BA1F16166865}"/>
    <cellStyle name="40% - Accent2 2 3 4 2 2" xfId="7953" xr:uid="{D86C15F1-03EC-478E-A49B-1D1552C54C1B}"/>
    <cellStyle name="40% - Accent2 2 3 4 3" xfId="5808" xr:uid="{4E23FDFC-3DCD-4C6E-BCFD-07968BA6B5DB}"/>
    <cellStyle name="40% - Accent2 2 3 5" xfId="2335" xr:uid="{F68B2FBC-F691-4D90-8973-080D08DB2B1F}"/>
    <cellStyle name="40% - Accent2 2 3 5 2" xfId="4151" xr:uid="{00742C4B-F868-45E5-8857-AFC7A693E69A}"/>
    <cellStyle name="40% - Accent2 2 3 5 2 2" xfId="8366" xr:uid="{BA21B9B8-EC0C-43A7-B26B-B6A0E12E18B5}"/>
    <cellStyle name="40% - Accent2 2 3 5 3" xfId="6221" xr:uid="{56E73D4E-A554-448C-87BD-EBA3451AEC89}"/>
    <cellStyle name="40% - Accent2 2 3 6" xfId="2748" xr:uid="{1F090734-F0D0-4BE5-AB1B-1E328142BB19}"/>
    <cellStyle name="40% - Accent2 2 3 6 2" xfId="6634" xr:uid="{1DDAD731-70C4-477E-9375-0573553EB862}"/>
    <cellStyle name="40% - Accent2 2 3 7" xfId="4568" xr:uid="{C4877506-DBA1-473F-82D7-63045E4EFD21}"/>
    <cellStyle name="40% - Accent2 2 4" xfId="635" xr:uid="{00000000-0005-0000-0000-000078000000}"/>
    <cellStyle name="40% - Accent2 2 4 2" xfId="1504" xr:uid="{B61BC4F1-F56A-4AB6-B859-DE2780FA3761}"/>
    <cellStyle name="40% - Accent2 2 4 2 2" xfId="7124" xr:uid="{4BBA5A77-8ED0-4285-967E-1CC5385AF425}"/>
    <cellStyle name="40% - Accent2 2 4 3" xfId="4979" xr:uid="{A6511B6E-7A9E-4C9C-932C-B86ADBB9DABA}"/>
    <cellStyle name="40% - Accent2 2 5" xfId="1088" xr:uid="{EC3219C5-80D9-4DA5-B600-C187804FFBC2}"/>
    <cellStyle name="40% - Accent2 2 5 2" xfId="3322" xr:uid="{39D47C33-E783-4400-9D97-E9CD6FBAE497}"/>
    <cellStyle name="40% - Accent2 2 5 2 2" xfId="7537" xr:uid="{FF0565B0-3794-4419-9F47-B0309CC8B715}"/>
    <cellStyle name="40% - Accent2 2 5 3" xfId="5392" xr:uid="{A159F861-3A89-48DD-8DA0-C485FA7729E6}"/>
    <cellStyle name="40% - Accent2 2 6" xfId="1919" xr:uid="{767C9E3A-16C5-487C-898D-9C5A2DE90B1A}"/>
    <cellStyle name="40% - Accent2 2 6 2" xfId="3735" xr:uid="{5E043249-2B0E-4790-A732-9F3A8FE2D5FE}"/>
    <cellStyle name="40% - Accent2 2 6 2 2" xfId="7950" xr:uid="{C859B39B-F35C-467B-A107-98D27A48F7DC}"/>
    <cellStyle name="40% - Accent2 2 6 3" xfId="5805" xr:uid="{778B0E84-71DE-4DDE-88F7-2664E2589F47}"/>
    <cellStyle name="40% - Accent2 2 7" xfId="2332" xr:uid="{48B769EA-02D5-4CFF-8AE1-44CDDA5CAB5C}"/>
    <cellStyle name="40% - Accent2 2 7 2" xfId="4148" xr:uid="{C4969B80-E5DC-47E4-A475-FB837B9BCE37}"/>
    <cellStyle name="40% - Accent2 2 7 2 2" xfId="8363" xr:uid="{752AA470-AED6-4C52-B04C-1EBB3529B7A9}"/>
    <cellStyle name="40% - Accent2 2 7 3" xfId="6218" xr:uid="{28FADEEB-0AD1-48A7-A55D-67103F837145}"/>
    <cellStyle name="40% - Accent2 2 8" xfId="2745" xr:uid="{AEE14DDE-1BA7-410E-832E-A77609595B20}"/>
    <cellStyle name="40% - Accent2 2 8 2" xfId="6631" xr:uid="{9403EC7C-55D4-48D0-B874-C8F8B124554D}"/>
    <cellStyle name="40% - Accent2 2 9" xfId="4565" xr:uid="{A043297B-091B-45FF-A35C-C3DC7E098070}"/>
    <cellStyle name="40% - Accent2 3" xfId="62" xr:uid="{00000000-0005-0000-0000-000079000000}"/>
    <cellStyle name="40% - Accent2 3 2" xfId="63" xr:uid="{00000000-0005-0000-0000-00007A000000}"/>
    <cellStyle name="40% - Accent2 3 2 2" xfId="640" xr:uid="{00000000-0005-0000-0000-00007B000000}"/>
    <cellStyle name="40% - Accent2 3 2 2 2" xfId="1509" xr:uid="{6977D18C-5EAF-426F-AD06-9BD552ED4B5F}"/>
    <cellStyle name="40% - Accent2 3 2 2 2 2" xfId="7129" xr:uid="{48337309-5DB2-4641-9453-5DD5ABDBE317}"/>
    <cellStyle name="40% - Accent2 3 2 2 3" xfId="4984" xr:uid="{CAE00C2E-E4D9-4F2D-A9EE-6C5316AFAC9E}"/>
    <cellStyle name="40% - Accent2 3 2 3" xfId="1093" xr:uid="{4E7485FE-2B14-4F35-B60C-937D6A14B3FB}"/>
    <cellStyle name="40% - Accent2 3 2 3 2" xfId="3327" xr:uid="{DAE24EF9-2049-4D4D-91CE-8612DE64A5DD}"/>
    <cellStyle name="40% - Accent2 3 2 3 2 2" xfId="7542" xr:uid="{FC6F4A73-EAA3-419A-A70D-82D0715D0671}"/>
    <cellStyle name="40% - Accent2 3 2 3 3" xfId="5397" xr:uid="{57D9C2F2-8152-429A-B41C-E44927E2935B}"/>
    <cellStyle name="40% - Accent2 3 2 4" xfId="1924" xr:uid="{D5519240-4C2C-41A6-BCC6-793C463DED5D}"/>
    <cellStyle name="40% - Accent2 3 2 4 2" xfId="3740" xr:uid="{8F849991-474C-4A46-9685-977B8703BDD9}"/>
    <cellStyle name="40% - Accent2 3 2 4 2 2" xfId="7955" xr:uid="{9627A6FF-8394-4B41-A4E2-BD2022267BD9}"/>
    <cellStyle name="40% - Accent2 3 2 4 3" xfId="5810" xr:uid="{DE8E1824-F371-4CF5-B549-2EF55444DEFE}"/>
    <cellStyle name="40% - Accent2 3 2 5" xfId="2337" xr:uid="{78A7077E-07F2-4809-BFDB-3B14898E6795}"/>
    <cellStyle name="40% - Accent2 3 2 5 2" xfId="4153" xr:uid="{CE4A782D-4E3E-4466-A4F0-52C9D8769A35}"/>
    <cellStyle name="40% - Accent2 3 2 5 2 2" xfId="8368" xr:uid="{421E2D69-DBB9-4127-9E58-E23A8CD40BCA}"/>
    <cellStyle name="40% - Accent2 3 2 5 3" xfId="6223" xr:uid="{2B39455B-8690-4B53-B4BC-80E02CE93D28}"/>
    <cellStyle name="40% - Accent2 3 2 6" xfId="2750" xr:uid="{B459CD89-BE5C-4601-B6F5-36F805923A33}"/>
    <cellStyle name="40% - Accent2 3 2 6 2" xfId="6636" xr:uid="{7D2D80C6-E5E0-444E-9BAE-3156BD899043}"/>
    <cellStyle name="40% - Accent2 3 2 7" xfId="4570" xr:uid="{2473DF9C-5FB4-46F8-85E4-96B4D1806FFD}"/>
    <cellStyle name="40% - Accent2 3 3" xfId="639" xr:uid="{00000000-0005-0000-0000-00007C000000}"/>
    <cellStyle name="40% - Accent2 3 3 2" xfId="1508" xr:uid="{1A6E9CE1-F146-4AE1-A27C-3E5F146D1F4D}"/>
    <cellStyle name="40% - Accent2 3 3 2 2" xfId="7128" xr:uid="{BEC3BC91-2534-4EB9-A94B-F4AA742D029D}"/>
    <cellStyle name="40% - Accent2 3 3 3" xfId="4983" xr:uid="{08D95C28-9EBA-4B89-9038-C200A7047278}"/>
    <cellStyle name="40% - Accent2 3 4" xfId="1092" xr:uid="{409121FA-82A7-4198-8E23-8948F68D231E}"/>
    <cellStyle name="40% - Accent2 3 4 2" xfId="3326" xr:uid="{BC5BBD4A-032A-45C0-8C42-2A3EEAE5D1AC}"/>
    <cellStyle name="40% - Accent2 3 4 2 2" xfId="7541" xr:uid="{9EF5B26E-4255-410D-80A0-3EF48C6DFAED}"/>
    <cellStyle name="40% - Accent2 3 4 3" xfId="5396" xr:uid="{A7F74C92-2C6C-468B-B79D-7736A65BA9AC}"/>
    <cellStyle name="40% - Accent2 3 5" xfId="1923" xr:uid="{3EA48F86-F3C4-40C1-8EFD-76E43451F3E2}"/>
    <cellStyle name="40% - Accent2 3 5 2" xfId="3739" xr:uid="{9BB7645F-BE06-43AE-B10C-A16C019F2933}"/>
    <cellStyle name="40% - Accent2 3 5 2 2" xfId="7954" xr:uid="{A1479E45-28FA-4026-812E-C69155869527}"/>
    <cellStyle name="40% - Accent2 3 5 3" xfId="5809" xr:uid="{0A4D8E83-7006-446A-9118-423D70BAAEEB}"/>
    <cellStyle name="40% - Accent2 3 6" xfId="2336" xr:uid="{7AA23E00-896C-4B41-9FD7-21F887FED904}"/>
    <cellStyle name="40% - Accent2 3 6 2" xfId="4152" xr:uid="{2A476CAA-93C1-4B39-B53D-4091F2D9C71B}"/>
    <cellStyle name="40% - Accent2 3 6 2 2" xfId="8367" xr:uid="{0C3DF683-E0B1-43AC-806D-ADA31F291718}"/>
    <cellStyle name="40% - Accent2 3 6 3" xfId="6222" xr:uid="{DAE551CC-B1A5-4B7D-ACCC-61BCE53811BB}"/>
    <cellStyle name="40% - Accent2 3 7" xfId="2749" xr:uid="{4916132E-767C-459A-99C2-4B410A02AC09}"/>
    <cellStyle name="40% - Accent2 3 7 2" xfId="6635" xr:uid="{82BAA779-3B65-4FB2-962A-249C04211EAF}"/>
    <cellStyle name="40% - Accent2 3 8" xfId="4569" xr:uid="{CDDEED9B-09A2-4752-9E1C-2FFBAABBC223}"/>
    <cellStyle name="40% - Accent2 4" xfId="64" xr:uid="{00000000-0005-0000-0000-00007D000000}"/>
    <cellStyle name="40% - Accent2 4 2" xfId="641" xr:uid="{00000000-0005-0000-0000-00007E000000}"/>
    <cellStyle name="40% - Accent2 4 2 2" xfId="1510" xr:uid="{3FAD76B9-427C-44C3-9276-0B450E497650}"/>
    <cellStyle name="40% - Accent2 4 2 2 2" xfId="7130" xr:uid="{E15C1937-E376-4BEE-9032-01EF4F038362}"/>
    <cellStyle name="40% - Accent2 4 2 3" xfId="4985" xr:uid="{5FDFB0C8-0F43-4BC6-A6B1-FC86392C08A2}"/>
    <cellStyle name="40% - Accent2 4 3" xfId="1094" xr:uid="{C8B22944-299E-4D9B-AD55-EB1BAF667AAE}"/>
    <cellStyle name="40% - Accent2 4 3 2" xfId="3328" xr:uid="{F6E0EE95-E91E-4EA0-ADCD-9B7A934F3E7D}"/>
    <cellStyle name="40% - Accent2 4 3 2 2" xfId="7543" xr:uid="{2C6D03D7-150E-4091-B2F2-87B82CDF4CA5}"/>
    <cellStyle name="40% - Accent2 4 3 3" xfId="5398" xr:uid="{6604EC71-F162-4B3E-88DE-B86C1E49D7D2}"/>
    <cellStyle name="40% - Accent2 4 4" xfId="1925" xr:uid="{0A6BD316-98B3-4F51-BBEB-C76EE7D1666D}"/>
    <cellStyle name="40% - Accent2 4 4 2" xfId="3741" xr:uid="{B92F7C21-D4E1-4569-819C-93195D700E85}"/>
    <cellStyle name="40% - Accent2 4 4 2 2" xfId="7956" xr:uid="{CBD66241-BDFC-415E-BAFC-50D88B3D76B3}"/>
    <cellStyle name="40% - Accent2 4 4 3" xfId="5811" xr:uid="{3D2044E9-EFA7-48B8-A8D1-D95847C829C1}"/>
    <cellStyle name="40% - Accent2 4 5" xfId="2338" xr:uid="{E4638603-4E27-4E47-814E-7BDAECC373EB}"/>
    <cellStyle name="40% - Accent2 4 5 2" xfId="4154" xr:uid="{4F88186E-6846-46AD-9AF7-124B9EAA6C3A}"/>
    <cellStyle name="40% - Accent2 4 5 2 2" xfId="8369" xr:uid="{1FB12BCB-0320-4077-B91D-51ED8DE80627}"/>
    <cellStyle name="40% - Accent2 4 5 3" xfId="6224" xr:uid="{110ED055-A2B0-495E-8540-9384F3BB5E26}"/>
    <cellStyle name="40% - Accent2 4 6" xfId="2751" xr:uid="{A93111B5-490D-4594-8C11-F51CD4A4AB12}"/>
    <cellStyle name="40% - Accent2 4 6 2" xfId="6637" xr:uid="{5FC12020-460F-4837-BEBD-E7D50DA1767B}"/>
    <cellStyle name="40% - Accent2 4 7" xfId="4571" xr:uid="{73AA5D03-8A74-4BF5-9CCD-E263018F45B1}"/>
    <cellStyle name="40% - Accent2 5" xfId="634" xr:uid="{00000000-0005-0000-0000-00007F000000}"/>
    <cellStyle name="40% - Accent2 5 2" xfId="1503" xr:uid="{EB8F7407-368D-45B6-BB50-5F01CAFA4F5F}"/>
    <cellStyle name="40% - Accent2 5 2 2" xfId="7123" xr:uid="{0ED4A46A-BC8F-4F06-908E-D8401E81154A}"/>
    <cellStyle name="40% - Accent2 5 3" xfId="4978" xr:uid="{C596958F-964F-44B9-B2F7-C8F22FFB24F0}"/>
    <cellStyle name="40% - Accent2 6" xfId="1087" xr:uid="{941C54F4-1F2D-4E7A-9A96-0ED247D2529F}"/>
    <cellStyle name="40% - Accent2 6 2" xfId="3321" xr:uid="{9787FAFD-C4A1-4358-903B-2BA2FDC8318B}"/>
    <cellStyle name="40% - Accent2 6 2 2" xfId="7536" xr:uid="{A95E8421-BE22-4ADE-9135-793B06E64029}"/>
    <cellStyle name="40% - Accent2 6 3" xfId="5391" xr:uid="{73B08168-1821-4A7C-B6E4-414D8F9429E3}"/>
    <cellStyle name="40% - Accent2 7" xfId="1918" xr:uid="{04F3B8D4-9681-4173-967E-8E527C7A7847}"/>
    <cellStyle name="40% - Accent2 7 2" xfId="3734" xr:uid="{D15F9210-DE43-491A-BCF9-28CB791D2C39}"/>
    <cellStyle name="40% - Accent2 7 2 2" xfId="7949" xr:uid="{88714C1A-4A68-4D62-AC8E-962EE1BEA893}"/>
    <cellStyle name="40% - Accent2 7 3" xfId="5804" xr:uid="{7793F0D2-9DD0-443F-891C-A260F654EFA6}"/>
    <cellStyle name="40% - Accent2 8" xfId="2331" xr:uid="{3387CF1D-F6AE-4B2D-AD61-2C5CACC2C078}"/>
    <cellStyle name="40% - Accent2 8 2" xfId="4147" xr:uid="{A204152C-C0F0-46C7-9FED-863671B75CD4}"/>
    <cellStyle name="40% - Accent2 8 2 2" xfId="8362" xr:uid="{172347C8-BD59-4D8F-8E53-F72926F534F9}"/>
    <cellStyle name="40% - Accent2 8 3" xfId="6217" xr:uid="{5621A6EC-2F5E-4BE3-925F-B4229A807389}"/>
    <cellStyle name="40% - Accent2 9" xfId="2744" xr:uid="{0926731C-4C78-4FFA-900F-F8A6C2075BDD}"/>
    <cellStyle name="40% - Accent2 9 2" xfId="6630" xr:uid="{3A676FE2-5E07-438F-AD4D-B3762E7846B5}"/>
    <cellStyle name="40% - Accent3" xfId="65" builtinId="39" customBuiltin="1"/>
    <cellStyle name="40% - Accent3 10" xfId="4572" xr:uid="{2F8B88EC-9432-4155-B928-62E1144D0007}"/>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4" xr:uid="{38C27799-4258-4A9A-9FA0-BA2B0CBC7933}"/>
    <cellStyle name="40% - Accent3 2 2 2 2 2 2" xfId="7134" xr:uid="{1BC9988E-42A4-4C65-A7B6-696E56328ED5}"/>
    <cellStyle name="40% - Accent3 2 2 2 2 3" xfId="4989" xr:uid="{1EFF49D9-A656-4191-B6C4-932ADF1899E9}"/>
    <cellStyle name="40% - Accent3 2 2 2 3" xfId="1098" xr:uid="{8911968D-2C7A-49ED-9523-C10393CC2E99}"/>
    <cellStyle name="40% - Accent3 2 2 2 3 2" xfId="3332" xr:uid="{2847E2D3-2F93-478A-B4A9-62FEA194C07E}"/>
    <cellStyle name="40% - Accent3 2 2 2 3 2 2" xfId="7547" xr:uid="{84E849EF-A0AA-4B5F-A58B-F26FFF702DD5}"/>
    <cellStyle name="40% - Accent3 2 2 2 3 3" xfId="5402" xr:uid="{7881C407-2DC1-42C0-910D-9CACBCE94320}"/>
    <cellStyle name="40% - Accent3 2 2 2 4" xfId="1929" xr:uid="{D4A90047-1DC1-4D7D-9B05-1D5262C26D1E}"/>
    <cellStyle name="40% - Accent3 2 2 2 4 2" xfId="3745" xr:uid="{32E518D1-595B-486B-A63E-599647EFDFF9}"/>
    <cellStyle name="40% - Accent3 2 2 2 4 2 2" xfId="7960" xr:uid="{9637ADFF-256C-4D2B-ABD3-5336582765B0}"/>
    <cellStyle name="40% - Accent3 2 2 2 4 3" xfId="5815" xr:uid="{5E55820C-F9EE-4ECC-BF3F-838A923ABEF1}"/>
    <cellStyle name="40% - Accent3 2 2 2 5" xfId="2342" xr:uid="{A438FF7E-7DE8-4551-9D69-F76B0B0D3C58}"/>
    <cellStyle name="40% - Accent3 2 2 2 5 2" xfId="4158" xr:uid="{9347088A-A6CD-4C55-962B-95B7D509EB4B}"/>
    <cellStyle name="40% - Accent3 2 2 2 5 2 2" xfId="8373" xr:uid="{9FE1203E-46EB-40AC-9971-92A370E17E4D}"/>
    <cellStyle name="40% - Accent3 2 2 2 5 3" xfId="6228" xr:uid="{7F68AE3A-84B6-4898-84DA-01587ECF7B6B}"/>
    <cellStyle name="40% - Accent3 2 2 2 6" xfId="2755" xr:uid="{D9DBEEE0-E5FF-4363-A265-581E2858227F}"/>
    <cellStyle name="40% - Accent3 2 2 2 6 2" xfId="6641" xr:uid="{F159C85C-74FE-4D01-9578-2E50A73A7BA5}"/>
    <cellStyle name="40% - Accent3 2 2 2 7" xfId="4575" xr:uid="{8609034B-D552-4E3D-AD29-4CF8F4D2243A}"/>
    <cellStyle name="40% - Accent3 2 2 3" xfId="644" xr:uid="{00000000-0005-0000-0000-000085000000}"/>
    <cellStyle name="40% - Accent3 2 2 3 2" xfId="1513" xr:uid="{2FB78FBD-DE8B-4C76-89F1-71E8DA131ABC}"/>
    <cellStyle name="40% - Accent3 2 2 3 2 2" xfId="7133" xr:uid="{4E8E20EA-F89A-4BF0-894A-B91ECB12ABB8}"/>
    <cellStyle name="40% - Accent3 2 2 3 3" xfId="4988" xr:uid="{4C895D7B-8043-4A07-A256-47E645DAB765}"/>
    <cellStyle name="40% - Accent3 2 2 4" xfId="1097" xr:uid="{1843C7C4-13C3-423F-9F90-73D4FDA609DB}"/>
    <cellStyle name="40% - Accent3 2 2 4 2" xfId="3331" xr:uid="{27736D17-69D7-4B3D-B231-86915E8D7346}"/>
    <cellStyle name="40% - Accent3 2 2 4 2 2" xfId="7546" xr:uid="{D1538E46-A5EE-4E93-8463-DB82EDC22FE1}"/>
    <cellStyle name="40% - Accent3 2 2 4 3" xfId="5401" xr:uid="{76E9DB55-DA66-4C3C-9A51-10D2B783F328}"/>
    <cellStyle name="40% - Accent3 2 2 5" xfId="1928" xr:uid="{79EBB66A-FD4A-4350-A7BB-B33A71A84ADC}"/>
    <cellStyle name="40% - Accent3 2 2 5 2" xfId="3744" xr:uid="{661BC5E4-AE0E-45CB-B7BA-4EEFA610EB4D}"/>
    <cellStyle name="40% - Accent3 2 2 5 2 2" xfId="7959" xr:uid="{3C76AB72-99A5-40A0-BB75-596E212FA6B4}"/>
    <cellStyle name="40% - Accent3 2 2 5 3" xfId="5814" xr:uid="{2113F670-2833-44FF-B3E0-646E3B283DFE}"/>
    <cellStyle name="40% - Accent3 2 2 6" xfId="2341" xr:uid="{87CE7A67-2A35-4881-A9C8-CB0F2BEB57E5}"/>
    <cellStyle name="40% - Accent3 2 2 6 2" xfId="4157" xr:uid="{D5C4959A-CEFF-4750-B097-50D1185173D5}"/>
    <cellStyle name="40% - Accent3 2 2 6 2 2" xfId="8372" xr:uid="{E33E561E-C825-4E9F-95B3-D08D239C58F0}"/>
    <cellStyle name="40% - Accent3 2 2 6 3" xfId="6227" xr:uid="{4539EF75-B9CB-4908-BE66-5AAF5B6265AC}"/>
    <cellStyle name="40% - Accent3 2 2 7" xfId="2754" xr:uid="{C8628578-D5AF-4045-8EDE-39D52E45E64A}"/>
    <cellStyle name="40% - Accent3 2 2 7 2" xfId="6640" xr:uid="{5E22D1E2-3C24-4C6C-9049-A55E715D7802}"/>
    <cellStyle name="40% - Accent3 2 2 8" xfId="4574" xr:uid="{5D7A8AA8-572F-4421-A68A-073A558239D0}"/>
    <cellStyle name="40% - Accent3 2 3" xfId="69" xr:uid="{00000000-0005-0000-0000-000086000000}"/>
    <cellStyle name="40% - Accent3 2 3 2" xfId="646" xr:uid="{00000000-0005-0000-0000-000087000000}"/>
    <cellStyle name="40% - Accent3 2 3 2 2" xfId="1515" xr:uid="{6352E540-6CF9-4DA6-9D15-AE4EEB78E8F8}"/>
    <cellStyle name="40% - Accent3 2 3 2 2 2" xfId="7135" xr:uid="{4703D42E-0673-4203-9995-2CFEB1B45287}"/>
    <cellStyle name="40% - Accent3 2 3 2 3" xfId="4990" xr:uid="{47F5E96F-C495-4F99-A071-417193212A2D}"/>
    <cellStyle name="40% - Accent3 2 3 3" xfId="1099" xr:uid="{91904368-411D-4E7B-BA6A-6DE66F49D4D1}"/>
    <cellStyle name="40% - Accent3 2 3 3 2" xfId="3333" xr:uid="{5457F538-CC5E-4A9A-A24D-279FC180EEA1}"/>
    <cellStyle name="40% - Accent3 2 3 3 2 2" xfId="7548" xr:uid="{CBBFD80C-5EDD-43DB-A908-0542B984EE1B}"/>
    <cellStyle name="40% - Accent3 2 3 3 3" xfId="5403" xr:uid="{6A3CEA3F-B00B-46C4-9098-03723B8A6701}"/>
    <cellStyle name="40% - Accent3 2 3 4" xfId="1930" xr:uid="{BD08C10C-F06A-4BBE-A544-5D4DE35D87C5}"/>
    <cellStyle name="40% - Accent3 2 3 4 2" xfId="3746" xr:uid="{ADAB0D5C-ECB6-403D-A385-2D8BCA7B4563}"/>
    <cellStyle name="40% - Accent3 2 3 4 2 2" xfId="7961" xr:uid="{579CAECD-7BFB-4F30-8E99-9C6EEF0365B3}"/>
    <cellStyle name="40% - Accent3 2 3 4 3" xfId="5816" xr:uid="{CBAE0EA7-45AA-4FEE-BE0E-BCB8C5CA7D80}"/>
    <cellStyle name="40% - Accent3 2 3 5" xfId="2343" xr:uid="{2CD9DEEC-A274-40B8-90BD-31A586322FB6}"/>
    <cellStyle name="40% - Accent3 2 3 5 2" xfId="4159" xr:uid="{C0ED5F44-63A3-4201-BCC4-7D5859C5B2D7}"/>
    <cellStyle name="40% - Accent3 2 3 5 2 2" xfId="8374" xr:uid="{C848BE1D-900F-4E2D-9773-450011BF744D}"/>
    <cellStyle name="40% - Accent3 2 3 5 3" xfId="6229" xr:uid="{48670C56-8BAB-4071-ABFD-7B940ADD11E3}"/>
    <cellStyle name="40% - Accent3 2 3 6" xfId="2756" xr:uid="{AD594099-3259-4F8C-98A8-BFA278211F34}"/>
    <cellStyle name="40% - Accent3 2 3 6 2" xfId="6642" xr:uid="{4C1658E2-98FC-45E7-92C0-E5F999FEE4B1}"/>
    <cellStyle name="40% - Accent3 2 3 7" xfId="4576" xr:uid="{100A7A43-A177-4A6C-B720-5FA2A23BF5FD}"/>
    <cellStyle name="40% - Accent3 2 4" xfId="643" xr:uid="{00000000-0005-0000-0000-000088000000}"/>
    <cellStyle name="40% - Accent3 2 4 2" xfId="1512" xr:uid="{38FAAEEC-66CD-4926-BD65-30193BD82BDD}"/>
    <cellStyle name="40% - Accent3 2 4 2 2" xfId="7132" xr:uid="{CF8A3999-9CA0-48F0-8EE9-9CD51EA26520}"/>
    <cellStyle name="40% - Accent3 2 4 3" xfId="4987" xr:uid="{5A12B373-F4DD-46E3-A351-740FF2AC68CE}"/>
    <cellStyle name="40% - Accent3 2 5" xfId="1096" xr:uid="{969032BD-AC76-4F0D-A99B-21BBEB4BB70E}"/>
    <cellStyle name="40% - Accent3 2 5 2" xfId="3330" xr:uid="{91FEB74F-E8BD-4807-B14C-90BBD222E7C1}"/>
    <cellStyle name="40% - Accent3 2 5 2 2" xfId="7545" xr:uid="{C7117724-0E07-49D2-AE3D-F29679A531A1}"/>
    <cellStyle name="40% - Accent3 2 5 3" xfId="5400" xr:uid="{C32069FC-8253-4426-B72B-318FCDE0D9F8}"/>
    <cellStyle name="40% - Accent3 2 6" xfId="1927" xr:uid="{A596D32D-FB88-4C4C-B695-16C122DEE99E}"/>
    <cellStyle name="40% - Accent3 2 6 2" xfId="3743" xr:uid="{3C5506D6-CC24-4D27-AB98-4409D4C5FB12}"/>
    <cellStyle name="40% - Accent3 2 6 2 2" xfId="7958" xr:uid="{4F7584A8-CE70-4DA9-B070-7DC4A7F31D9D}"/>
    <cellStyle name="40% - Accent3 2 6 3" xfId="5813" xr:uid="{29EC8F03-1047-409C-928F-187FB5616BE9}"/>
    <cellStyle name="40% - Accent3 2 7" xfId="2340" xr:uid="{D86C9EB1-561C-4B08-BE7B-86E25DB3C0CA}"/>
    <cellStyle name="40% - Accent3 2 7 2" xfId="4156" xr:uid="{C7F151DA-66C9-4D1C-B1E5-7FCFD7C703D9}"/>
    <cellStyle name="40% - Accent3 2 7 2 2" xfId="8371" xr:uid="{A04AF1CF-FB8C-45C9-BE6C-E6CE4D750108}"/>
    <cellStyle name="40% - Accent3 2 7 3" xfId="6226" xr:uid="{954B1115-EE08-4913-9E6A-E3F547F8929C}"/>
    <cellStyle name="40% - Accent3 2 8" xfId="2753" xr:uid="{FF3D97D1-DA91-407B-99AC-3F000B8C4925}"/>
    <cellStyle name="40% - Accent3 2 8 2" xfId="6639" xr:uid="{DA8661A7-5A03-413A-867B-BB17BCD0F9C8}"/>
    <cellStyle name="40% - Accent3 2 9" xfId="4573" xr:uid="{22072D59-F08E-4673-A34F-8F8B3414B919}"/>
    <cellStyle name="40% - Accent3 3" xfId="70" xr:uid="{00000000-0005-0000-0000-000089000000}"/>
    <cellStyle name="40% - Accent3 3 2" xfId="71" xr:uid="{00000000-0005-0000-0000-00008A000000}"/>
    <cellStyle name="40% - Accent3 3 2 2" xfId="648" xr:uid="{00000000-0005-0000-0000-00008B000000}"/>
    <cellStyle name="40% - Accent3 3 2 2 2" xfId="1517" xr:uid="{F7049211-63A4-4E74-ACBD-4F89FD25F736}"/>
    <cellStyle name="40% - Accent3 3 2 2 2 2" xfId="7137" xr:uid="{68C9BA06-8E84-452F-AEB7-3B96DFA05656}"/>
    <cellStyle name="40% - Accent3 3 2 2 3" xfId="4992" xr:uid="{CE0C2DE3-A8BB-4C68-845A-175AFE1260A2}"/>
    <cellStyle name="40% - Accent3 3 2 3" xfId="1101" xr:uid="{CA1FC9D4-C9FF-464A-8B91-88A2712993A2}"/>
    <cellStyle name="40% - Accent3 3 2 3 2" xfId="3335" xr:uid="{BB10C893-B445-46AB-BE39-0AF3751F3F1E}"/>
    <cellStyle name="40% - Accent3 3 2 3 2 2" xfId="7550" xr:uid="{50A039A8-A534-4698-B63E-CF75A5E61316}"/>
    <cellStyle name="40% - Accent3 3 2 3 3" xfId="5405" xr:uid="{8347E26D-D300-4648-B116-739CA9CB5637}"/>
    <cellStyle name="40% - Accent3 3 2 4" xfId="1932" xr:uid="{4E9F8AB3-F40A-427A-B9EC-E001C643B789}"/>
    <cellStyle name="40% - Accent3 3 2 4 2" xfId="3748" xr:uid="{DF304F53-64D4-4BB6-8BBE-2D97CAED7115}"/>
    <cellStyle name="40% - Accent3 3 2 4 2 2" xfId="7963" xr:uid="{32B3869E-60CF-40A4-8DE1-CF1F5698C3B5}"/>
    <cellStyle name="40% - Accent3 3 2 4 3" xfId="5818" xr:uid="{D308114B-5238-439D-8531-6D721FF6E805}"/>
    <cellStyle name="40% - Accent3 3 2 5" xfId="2345" xr:uid="{D8770B86-0C36-4233-AEDA-0F4237AE253C}"/>
    <cellStyle name="40% - Accent3 3 2 5 2" xfId="4161" xr:uid="{CBDD6C1C-DF02-4A8B-9177-4FD195F0959C}"/>
    <cellStyle name="40% - Accent3 3 2 5 2 2" xfId="8376" xr:uid="{629CB0BB-EBA1-4B73-9433-EEC36EA04D65}"/>
    <cellStyle name="40% - Accent3 3 2 5 3" xfId="6231" xr:uid="{4DC29C3C-B984-4CD9-B105-F75A02F04663}"/>
    <cellStyle name="40% - Accent3 3 2 6" xfId="2758" xr:uid="{E28B704F-10A5-468E-9FC6-465E0F7C54D0}"/>
    <cellStyle name="40% - Accent3 3 2 6 2" xfId="6644" xr:uid="{7F6DBA30-393F-45D1-9D36-9BA3D22A145E}"/>
    <cellStyle name="40% - Accent3 3 2 7" xfId="4578" xr:uid="{7BD08DCF-35E4-41AA-A7C7-03B4FF9CA30D}"/>
    <cellStyle name="40% - Accent3 3 3" xfId="647" xr:uid="{00000000-0005-0000-0000-00008C000000}"/>
    <cellStyle name="40% - Accent3 3 3 2" xfId="1516" xr:uid="{B3C31293-2255-42B8-B2F3-E9BE45670850}"/>
    <cellStyle name="40% - Accent3 3 3 2 2" xfId="7136" xr:uid="{62AC56B3-E05C-4A02-8909-951B5A0AB90F}"/>
    <cellStyle name="40% - Accent3 3 3 3" xfId="4991" xr:uid="{1056C660-897B-425C-93A4-E9D64D1AE2E1}"/>
    <cellStyle name="40% - Accent3 3 4" xfId="1100" xr:uid="{7F6C8AFC-1C3F-4379-AB0E-202E0AB89DC2}"/>
    <cellStyle name="40% - Accent3 3 4 2" xfId="3334" xr:uid="{EBE62F7D-0730-4946-95AE-053703706FA4}"/>
    <cellStyle name="40% - Accent3 3 4 2 2" xfId="7549" xr:uid="{91B507DB-0D99-4D61-977A-706C1D89FE44}"/>
    <cellStyle name="40% - Accent3 3 4 3" xfId="5404" xr:uid="{1358C8E0-A441-4E43-A9ED-FC7A16895D76}"/>
    <cellStyle name="40% - Accent3 3 5" xfId="1931" xr:uid="{1C9AD08A-FD3F-468F-A33E-511EEDE84384}"/>
    <cellStyle name="40% - Accent3 3 5 2" xfId="3747" xr:uid="{14B255F3-14BD-4143-B76B-4A4E6A990E88}"/>
    <cellStyle name="40% - Accent3 3 5 2 2" xfId="7962" xr:uid="{1A436112-FD37-404A-8C36-6A7F084EC985}"/>
    <cellStyle name="40% - Accent3 3 5 3" xfId="5817" xr:uid="{995A5BA4-E296-4ADE-B450-2AF222573A99}"/>
    <cellStyle name="40% - Accent3 3 6" xfId="2344" xr:uid="{8BC9DAE3-2000-4528-B490-78C1E3E80EE3}"/>
    <cellStyle name="40% - Accent3 3 6 2" xfId="4160" xr:uid="{DD7BCB6B-B023-43EB-AC49-F722AE5873CD}"/>
    <cellStyle name="40% - Accent3 3 6 2 2" xfId="8375" xr:uid="{D2E831EA-104E-46A4-A10E-D3EECFC4CC59}"/>
    <cellStyle name="40% - Accent3 3 6 3" xfId="6230" xr:uid="{DC614B3F-FBED-4019-9412-CFC6DEEB9F12}"/>
    <cellStyle name="40% - Accent3 3 7" xfId="2757" xr:uid="{B45FF128-774B-418A-8FFF-342D31FC3C90}"/>
    <cellStyle name="40% - Accent3 3 7 2" xfId="6643" xr:uid="{EA3EB84E-BB2E-4BE0-AE31-28EB33611226}"/>
    <cellStyle name="40% - Accent3 3 8" xfId="4577" xr:uid="{6C10A977-C72C-4BED-9F9C-9A64FE16F722}"/>
    <cellStyle name="40% - Accent3 4" xfId="72" xr:uid="{00000000-0005-0000-0000-00008D000000}"/>
    <cellStyle name="40% - Accent3 4 2" xfId="649" xr:uid="{00000000-0005-0000-0000-00008E000000}"/>
    <cellStyle name="40% - Accent3 4 2 2" xfId="1518" xr:uid="{4824F10B-642C-43AC-841E-B09188809A4E}"/>
    <cellStyle name="40% - Accent3 4 2 2 2" xfId="7138" xr:uid="{AA6FB9CB-9E76-443C-9DEF-856737C334FB}"/>
    <cellStyle name="40% - Accent3 4 2 3" xfId="4993" xr:uid="{DD5E587F-3D06-443A-9D59-37B0749AB6CE}"/>
    <cellStyle name="40% - Accent3 4 3" xfId="1102" xr:uid="{20F404EA-6953-440D-952C-BF9685533908}"/>
    <cellStyle name="40% - Accent3 4 3 2" xfId="3336" xr:uid="{1ABC082F-FB87-4D62-AEA1-7016AA72ADD5}"/>
    <cellStyle name="40% - Accent3 4 3 2 2" xfId="7551" xr:uid="{34CA74FD-3270-4AC4-AB29-08B0D143CD80}"/>
    <cellStyle name="40% - Accent3 4 3 3" xfId="5406" xr:uid="{E6DB9CE1-9360-4286-AB20-4537358FF424}"/>
    <cellStyle name="40% - Accent3 4 4" xfId="1933" xr:uid="{322AC964-CD77-4EE6-837C-C5E9D564471D}"/>
    <cellStyle name="40% - Accent3 4 4 2" xfId="3749" xr:uid="{13D5BC13-9723-4C0C-8430-E0876259A72D}"/>
    <cellStyle name="40% - Accent3 4 4 2 2" xfId="7964" xr:uid="{D031D780-FEC3-41E1-9B7E-02CDADAC9739}"/>
    <cellStyle name="40% - Accent3 4 4 3" xfId="5819" xr:uid="{145EF2AE-3771-4643-86BC-9B5B6DB7924E}"/>
    <cellStyle name="40% - Accent3 4 5" xfId="2346" xr:uid="{3179A132-1B23-47D9-89B9-ED0B3AD18966}"/>
    <cellStyle name="40% - Accent3 4 5 2" xfId="4162" xr:uid="{049AD365-C65F-4A6C-86C4-0C75D6CA589D}"/>
    <cellStyle name="40% - Accent3 4 5 2 2" xfId="8377" xr:uid="{76976ED5-EA31-49DC-AC95-80EC0BF55CBE}"/>
    <cellStyle name="40% - Accent3 4 5 3" xfId="6232" xr:uid="{D74B2127-76EB-4766-85E8-B77D3A792FFD}"/>
    <cellStyle name="40% - Accent3 4 6" xfId="2759" xr:uid="{F3785BFE-5522-4D36-9CFD-5B2D8007C9FA}"/>
    <cellStyle name="40% - Accent3 4 6 2" xfId="6645" xr:uid="{6A5BBF66-9867-4B42-9E71-19ADA5BA5132}"/>
    <cellStyle name="40% - Accent3 4 7" xfId="4579" xr:uid="{976319AF-0346-483B-BC77-256E4DD76C08}"/>
    <cellStyle name="40% - Accent3 5" xfId="642" xr:uid="{00000000-0005-0000-0000-00008F000000}"/>
    <cellStyle name="40% - Accent3 5 2" xfId="1511" xr:uid="{832BBB2F-06D9-479D-8CDD-D2D44A91D1BF}"/>
    <cellStyle name="40% - Accent3 5 2 2" xfId="7131" xr:uid="{1C9BBE85-99D6-404A-BA2B-DDA15A6578A1}"/>
    <cellStyle name="40% - Accent3 5 3" xfId="4986" xr:uid="{8639BEB6-46AF-4F68-9A2C-D5C2DEB269DF}"/>
    <cellStyle name="40% - Accent3 6" xfId="1095" xr:uid="{67E2FCCF-DF5C-4102-AB3B-A71687689E3E}"/>
    <cellStyle name="40% - Accent3 6 2" xfId="3329" xr:uid="{1DFA006E-5EC8-464D-BF26-2D7874DA2A4A}"/>
    <cellStyle name="40% - Accent3 6 2 2" xfId="7544" xr:uid="{21E0FD05-22E0-48B1-BA82-7BC636DCE5C9}"/>
    <cellStyle name="40% - Accent3 6 3" xfId="5399" xr:uid="{55DBC776-2B5A-4E68-B17A-D08A148D3216}"/>
    <cellStyle name="40% - Accent3 7" xfId="1926" xr:uid="{512EF047-E765-4163-A94F-56ACD4967D49}"/>
    <cellStyle name="40% - Accent3 7 2" xfId="3742" xr:uid="{65FFE6A4-0AEE-435E-9DB6-F1650BE3B28D}"/>
    <cellStyle name="40% - Accent3 7 2 2" xfId="7957" xr:uid="{9AFBABBF-5B65-493B-9AE8-56D6170575B8}"/>
    <cellStyle name="40% - Accent3 7 3" xfId="5812" xr:uid="{8251FE6B-7B47-4BCB-81C4-4B2F5DC48FD2}"/>
    <cellStyle name="40% - Accent3 8" xfId="2339" xr:uid="{25FE5436-50CA-454D-A6CB-F1A2D9AF5439}"/>
    <cellStyle name="40% - Accent3 8 2" xfId="4155" xr:uid="{3D96F555-8D14-47E8-91C4-5B84664D5EEC}"/>
    <cellStyle name="40% - Accent3 8 2 2" xfId="8370" xr:uid="{A859DA7A-BAE5-4C53-8291-0EAD28C48429}"/>
    <cellStyle name="40% - Accent3 8 3" xfId="6225" xr:uid="{717D7082-AA08-4D60-B850-D03D10D6FFAF}"/>
    <cellStyle name="40% - Accent3 9" xfId="2752" xr:uid="{D5180C2B-629F-4B47-AEE3-E85162326DAD}"/>
    <cellStyle name="40% - Accent3 9 2" xfId="6638" xr:uid="{66C23C48-D057-4ED0-9ABC-6D72B8FDACCE}"/>
    <cellStyle name="40% - Accent4" xfId="73" builtinId="43" customBuiltin="1"/>
    <cellStyle name="40% - Accent4 10" xfId="4580" xr:uid="{6BAB639B-310E-44F6-83E0-2DCB837B92F8}"/>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2" xr:uid="{2C03B78C-55F7-46FF-A274-E2841594C57A}"/>
    <cellStyle name="40% - Accent4 2 2 2 2 2 2" xfId="7142" xr:uid="{970D4866-CC81-4DE2-8BA7-13D7B96EDE24}"/>
    <cellStyle name="40% - Accent4 2 2 2 2 3" xfId="4997" xr:uid="{82682358-C898-4E8E-A64F-5A55E004CFA6}"/>
    <cellStyle name="40% - Accent4 2 2 2 3" xfId="1106" xr:uid="{C8ABD372-5EAF-4726-B0AD-78A4B5D5BDDC}"/>
    <cellStyle name="40% - Accent4 2 2 2 3 2" xfId="3340" xr:uid="{E2B611DC-7745-4FAA-A60F-4F496CC3496D}"/>
    <cellStyle name="40% - Accent4 2 2 2 3 2 2" xfId="7555" xr:uid="{F9B4834C-4303-443F-90D2-74ABEE711DF3}"/>
    <cellStyle name="40% - Accent4 2 2 2 3 3" xfId="5410" xr:uid="{70D076E0-F33F-41B7-AD75-EB2F0FD56B46}"/>
    <cellStyle name="40% - Accent4 2 2 2 4" xfId="1937" xr:uid="{9C35416D-270B-4110-81A2-6151C95DE025}"/>
    <cellStyle name="40% - Accent4 2 2 2 4 2" xfId="3753" xr:uid="{BC380C81-A58F-40DC-8EA5-959F84E6E13C}"/>
    <cellStyle name="40% - Accent4 2 2 2 4 2 2" xfId="7968" xr:uid="{6AFE14FC-89F7-4F29-80E2-8B32954FE2BE}"/>
    <cellStyle name="40% - Accent4 2 2 2 4 3" xfId="5823" xr:uid="{15DDA58E-0BCC-431B-A318-A5C427132844}"/>
    <cellStyle name="40% - Accent4 2 2 2 5" xfId="2350" xr:uid="{5A4919B6-549D-418E-8AF0-008A8B9B5D14}"/>
    <cellStyle name="40% - Accent4 2 2 2 5 2" xfId="4166" xr:uid="{2733CCF5-4869-404E-8141-D2C93F2AE563}"/>
    <cellStyle name="40% - Accent4 2 2 2 5 2 2" xfId="8381" xr:uid="{89BBA4DC-245A-49CC-B04A-92037ABF0BE0}"/>
    <cellStyle name="40% - Accent4 2 2 2 5 3" xfId="6236" xr:uid="{B9700C1C-9E89-495B-9D90-65DACD5C90C7}"/>
    <cellStyle name="40% - Accent4 2 2 2 6" xfId="2763" xr:uid="{CCEC4C48-9DFA-46C2-A2DC-43370037C753}"/>
    <cellStyle name="40% - Accent4 2 2 2 6 2" xfId="6649" xr:uid="{5543FC60-68FC-41B7-806E-9934E736ACFF}"/>
    <cellStyle name="40% - Accent4 2 2 2 7" xfId="4583" xr:uid="{936C3AB2-9722-42BD-8E49-DBCCD0BA9FCF}"/>
    <cellStyle name="40% - Accent4 2 2 3" xfId="652" xr:uid="{00000000-0005-0000-0000-000095000000}"/>
    <cellStyle name="40% - Accent4 2 2 3 2" xfId="1521" xr:uid="{2A2C63C7-131B-4420-8190-AE1EBE1A2371}"/>
    <cellStyle name="40% - Accent4 2 2 3 2 2" xfId="7141" xr:uid="{A496A4A1-AA0F-43B2-A237-AE7454A0E7EB}"/>
    <cellStyle name="40% - Accent4 2 2 3 3" xfId="4996" xr:uid="{1C34F426-175E-4256-AAF6-15FB5BB832FA}"/>
    <cellStyle name="40% - Accent4 2 2 4" xfId="1105" xr:uid="{62F19B17-B794-4A0C-A94B-A30A3E2E8E73}"/>
    <cellStyle name="40% - Accent4 2 2 4 2" xfId="3339" xr:uid="{17F1A2F1-C176-41D8-B3CA-B9CDC523A48F}"/>
    <cellStyle name="40% - Accent4 2 2 4 2 2" xfId="7554" xr:uid="{DA0BE349-3E93-4506-A7DA-B98769B54A35}"/>
    <cellStyle name="40% - Accent4 2 2 4 3" xfId="5409" xr:uid="{B706EDA9-17CE-402A-8D4F-45D0992B816E}"/>
    <cellStyle name="40% - Accent4 2 2 5" xfId="1936" xr:uid="{B0BBCBF4-8F8F-473B-BC8E-36D119E579DE}"/>
    <cellStyle name="40% - Accent4 2 2 5 2" xfId="3752" xr:uid="{FF8C4E6A-CE44-48E4-81EC-024573D6E8C1}"/>
    <cellStyle name="40% - Accent4 2 2 5 2 2" xfId="7967" xr:uid="{4E395618-8B38-4FA2-AB5A-0C531F186871}"/>
    <cellStyle name="40% - Accent4 2 2 5 3" xfId="5822" xr:uid="{FADD7CEF-7A17-4D74-B871-37B6417D5DCC}"/>
    <cellStyle name="40% - Accent4 2 2 6" xfId="2349" xr:uid="{DC5FC4B4-0880-499D-9072-E14B1A7C7AE0}"/>
    <cellStyle name="40% - Accent4 2 2 6 2" xfId="4165" xr:uid="{44BCE267-D08E-4BF8-8470-EA7757863F30}"/>
    <cellStyle name="40% - Accent4 2 2 6 2 2" xfId="8380" xr:uid="{F7EACF1B-42AD-479F-8E51-59F893B01742}"/>
    <cellStyle name="40% - Accent4 2 2 6 3" xfId="6235" xr:uid="{D87D9D45-1FC9-45C4-9ED5-031B7FBB747E}"/>
    <cellStyle name="40% - Accent4 2 2 7" xfId="2762" xr:uid="{0C6499E6-4453-42F4-B809-E536B60A7748}"/>
    <cellStyle name="40% - Accent4 2 2 7 2" xfId="6648" xr:uid="{E28EB9EE-09D0-43D2-BA31-599A890417B1}"/>
    <cellStyle name="40% - Accent4 2 2 8" xfId="4582" xr:uid="{6F618769-C8D3-49A0-8FBB-11DD6BAC0C56}"/>
    <cellStyle name="40% - Accent4 2 3" xfId="77" xr:uid="{00000000-0005-0000-0000-000096000000}"/>
    <cellStyle name="40% - Accent4 2 3 2" xfId="654" xr:uid="{00000000-0005-0000-0000-000097000000}"/>
    <cellStyle name="40% - Accent4 2 3 2 2" xfId="1523" xr:uid="{C8201F5A-2E05-4304-9033-6183BEC77386}"/>
    <cellStyle name="40% - Accent4 2 3 2 2 2" xfId="7143" xr:uid="{8D9F2BA5-26F4-4C7D-B928-6245A7B57C50}"/>
    <cellStyle name="40% - Accent4 2 3 2 3" xfId="4998" xr:uid="{FA20D8AE-E86C-42EE-9AEE-3F8D4AF0F97B}"/>
    <cellStyle name="40% - Accent4 2 3 3" xfId="1107" xr:uid="{7956867E-35DF-4EE8-B858-E83410ABC773}"/>
    <cellStyle name="40% - Accent4 2 3 3 2" xfId="3341" xr:uid="{C0857A47-6964-4973-90CC-12752F4F9013}"/>
    <cellStyle name="40% - Accent4 2 3 3 2 2" xfId="7556" xr:uid="{F278946B-937D-4380-A990-77A3B1FD6C75}"/>
    <cellStyle name="40% - Accent4 2 3 3 3" xfId="5411" xr:uid="{22121E71-297D-4694-BEE5-76D0B6256331}"/>
    <cellStyle name="40% - Accent4 2 3 4" xfId="1938" xr:uid="{298FDB07-107B-4164-91BD-8E87A5F4F6F8}"/>
    <cellStyle name="40% - Accent4 2 3 4 2" xfId="3754" xr:uid="{BF67ADC6-0486-49C1-98FC-72AD327E25D9}"/>
    <cellStyle name="40% - Accent4 2 3 4 2 2" xfId="7969" xr:uid="{B4104DBB-B9E7-417B-BEC1-0BFE19705C50}"/>
    <cellStyle name="40% - Accent4 2 3 4 3" xfId="5824" xr:uid="{18432957-592D-4F34-B661-9A03D17DF4C2}"/>
    <cellStyle name="40% - Accent4 2 3 5" xfId="2351" xr:uid="{39ED992D-D48D-46A9-96E8-B431405C3B26}"/>
    <cellStyle name="40% - Accent4 2 3 5 2" xfId="4167" xr:uid="{2681AECE-191A-4534-B982-FDB55479C612}"/>
    <cellStyle name="40% - Accent4 2 3 5 2 2" xfId="8382" xr:uid="{CFDB6FB2-069A-4620-B444-62E006010F85}"/>
    <cellStyle name="40% - Accent4 2 3 5 3" xfId="6237" xr:uid="{6CEF340C-8034-4B8E-8901-81F84741D067}"/>
    <cellStyle name="40% - Accent4 2 3 6" xfId="2764" xr:uid="{D0565337-242B-4C34-9627-A71ABE804B8E}"/>
    <cellStyle name="40% - Accent4 2 3 6 2" xfId="6650" xr:uid="{EC7187FC-B7B8-41E9-A03D-49CDC8CB5BA0}"/>
    <cellStyle name="40% - Accent4 2 3 7" xfId="4584" xr:uid="{61104AB0-599C-4AE3-A01A-2AC83444C7C5}"/>
    <cellStyle name="40% - Accent4 2 4" xfId="651" xr:uid="{00000000-0005-0000-0000-000098000000}"/>
    <cellStyle name="40% - Accent4 2 4 2" xfId="1520" xr:uid="{FBACAFC9-033B-4395-9C1A-A133DC697463}"/>
    <cellStyle name="40% - Accent4 2 4 2 2" xfId="7140" xr:uid="{6A04F9B5-00CC-45AC-80D9-E79041AA0C1F}"/>
    <cellStyle name="40% - Accent4 2 4 3" xfId="4995" xr:uid="{48FD6054-C12F-43C4-8962-0A92735C0D9E}"/>
    <cellStyle name="40% - Accent4 2 5" xfId="1104" xr:uid="{29825931-04C3-4872-89BF-8CD89E0B1D9A}"/>
    <cellStyle name="40% - Accent4 2 5 2" xfId="3338" xr:uid="{573CD58C-4E0B-44A8-A0FC-EC18D33FCC95}"/>
    <cellStyle name="40% - Accent4 2 5 2 2" xfId="7553" xr:uid="{6ED1438B-1348-411F-93E4-F754D9FA3FFA}"/>
    <cellStyle name="40% - Accent4 2 5 3" xfId="5408" xr:uid="{2CE415B8-8094-40DE-ACFA-3CDE0574251E}"/>
    <cellStyle name="40% - Accent4 2 6" xfId="1935" xr:uid="{A6B13C40-252C-481D-8F40-A511113A1ECC}"/>
    <cellStyle name="40% - Accent4 2 6 2" xfId="3751" xr:uid="{9B5ADF20-2262-45C3-8E98-6583CAA9E914}"/>
    <cellStyle name="40% - Accent4 2 6 2 2" xfId="7966" xr:uid="{02C87613-9E13-48CC-B307-875516CE1B36}"/>
    <cellStyle name="40% - Accent4 2 6 3" xfId="5821" xr:uid="{003A547E-F3BF-4284-A754-0388CD0E6E93}"/>
    <cellStyle name="40% - Accent4 2 7" xfId="2348" xr:uid="{27CBD83F-F01C-4DFA-8486-09AF864D95C2}"/>
    <cellStyle name="40% - Accent4 2 7 2" xfId="4164" xr:uid="{5B672303-59C3-4A68-A8C4-D94196123B03}"/>
    <cellStyle name="40% - Accent4 2 7 2 2" xfId="8379" xr:uid="{EA1D0E58-E6E2-43F8-9A50-7FD5BDC5306D}"/>
    <cellStyle name="40% - Accent4 2 7 3" xfId="6234" xr:uid="{178369FD-113E-4C35-A2D2-F64B7376FB6E}"/>
    <cellStyle name="40% - Accent4 2 8" xfId="2761" xr:uid="{323373F6-6D98-4B2F-BE88-6ADEE9B80F56}"/>
    <cellStyle name="40% - Accent4 2 8 2" xfId="6647" xr:uid="{2C0013B9-C7A4-471D-BBAA-8B1393D7D998}"/>
    <cellStyle name="40% - Accent4 2 9" xfId="4581" xr:uid="{F8227DC3-7A12-468F-8878-BFA7214A62ED}"/>
    <cellStyle name="40% - Accent4 3" xfId="78" xr:uid="{00000000-0005-0000-0000-000099000000}"/>
    <cellStyle name="40% - Accent4 3 2" xfId="79" xr:uid="{00000000-0005-0000-0000-00009A000000}"/>
    <cellStyle name="40% - Accent4 3 2 2" xfId="656" xr:uid="{00000000-0005-0000-0000-00009B000000}"/>
    <cellStyle name="40% - Accent4 3 2 2 2" xfId="1525" xr:uid="{00AF7784-1840-42C4-A915-9707A1C835DC}"/>
    <cellStyle name="40% - Accent4 3 2 2 2 2" xfId="7145" xr:uid="{AEB771CB-B6F5-44D7-B28D-55C6752B417E}"/>
    <cellStyle name="40% - Accent4 3 2 2 3" xfId="5000" xr:uid="{0C7A6DDE-5DF2-4C75-8DC7-901009B5306D}"/>
    <cellStyle name="40% - Accent4 3 2 3" xfId="1109" xr:uid="{CA4A9D52-F575-40E4-A170-C635ACAD63C3}"/>
    <cellStyle name="40% - Accent4 3 2 3 2" xfId="3343" xr:uid="{3F15BC4E-8421-4636-B068-1EFC150DB11A}"/>
    <cellStyle name="40% - Accent4 3 2 3 2 2" xfId="7558" xr:uid="{57B5F002-1A1F-4A1E-872D-AA6ABD4803F3}"/>
    <cellStyle name="40% - Accent4 3 2 3 3" xfId="5413" xr:uid="{B2A219A2-1BCB-4F0B-A7B9-7F2F5C8003BC}"/>
    <cellStyle name="40% - Accent4 3 2 4" xfId="1940" xr:uid="{4FCF28DF-BD07-4C3C-A959-731006DB60DA}"/>
    <cellStyle name="40% - Accent4 3 2 4 2" xfId="3756" xr:uid="{01B78F0A-41C2-440C-B012-E97B932DE4C1}"/>
    <cellStyle name="40% - Accent4 3 2 4 2 2" xfId="7971" xr:uid="{DF668233-3B51-407A-994F-446FBB6F29B4}"/>
    <cellStyle name="40% - Accent4 3 2 4 3" xfId="5826" xr:uid="{209A0703-00E2-4A5A-96D5-C6AA37E6D5CE}"/>
    <cellStyle name="40% - Accent4 3 2 5" xfId="2353" xr:uid="{AFB649ED-6B89-43AA-B36C-7BBEF4970DCB}"/>
    <cellStyle name="40% - Accent4 3 2 5 2" xfId="4169" xr:uid="{5D9258F0-274C-493E-AC0F-4DC991E7BEAA}"/>
    <cellStyle name="40% - Accent4 3 2 5 2 2" xfId="8384" xr:uid="{737C77AB-B122-4C00-8DE8-7A529B78BD7B}"/>
    <cellStyle name="40% - Accent4 3 2 5 3" xfId="6239" xr:uid="{C68030B0-9FA3-4C7A-8135-DF35D143E1FE}"/>
    <cellStyle name="40% - Accent4 3 2 6" xfId="2766" xr:uid="{55EFE69D-0704-4B92-8A9B-9F4194425981}"/>
    <cellStyle name="40% - Accent4 3 2 6 2" xfId="6652" xr:uid="{F7B1D258-BCCF-4032-90F7-354C1BF166A4}"/>
    <cellStyle name="40% - Accent4 3 2 7" xfId="4586" xr:uid="{40F6099E-BB48-46A4-AF80-A3C45F35BF6A}"/>
    <cellStyle name="40% - Accent4 3 3" xfId="655" xr:uid="{00000000-0005-0000-0000-00009C000000}"/>
    <cellStyle name="40% - Accent4 3 3 2" xfId="1524" xr:uid="{61624D28-AA69-4361-AAB3-EC2BC86AD7C7}"/>
    <cellStyle name="40% - Accent4 3 3 2 2" xfId="7144" xr:uid="{83BD32E8-60BB-4F30-94DB-C342D0396BA4}"/>
    <cellStyle name="40% - Accent4 3 3 3" xfId="4999" xr:uid="{A750E045-9821-4093-8B3F-310AD0857B1B}"/>
    <cellStyle name="40% - Accent4 3 4" xfId="1108" xr:uid="{33C0C192-EAC6-4C0D-8E60-95D1416466F0}"/>
    <cellStyle name="40% - Accent4 3 4 2" xfId="3342" xr:uid="{07CD9D60-F9E4-4A0C-BC91-B921472EE28D}"/>
    <cellStyle name="40% - Accent4 3 4 2 2" xfId="7557" xr:uid="{EB8C216A-852E-4ECE-9F12-26AF77DFEFE8}"/>
    <cellStyle name="40% - Accent4 3 4 3" xfId="5412" xr:uid="{BBC02578-BC29-481C-B1F8-5E0151576B3E}"/>
    <cellStyle name="40% - Accent4 3 5" xfId="1939" xr:uid="{6129CCEA-C435-4829-8409-BB6062294CC0}"/>
    <cellStyle name="40% - Accent4 3 5 2" xfId="3755" xr:uid="{22C7C098-01B8-4F71-97B4-231AB175D252}"/>
    <cellStyle name="40% - Accent4 3 5 2 2" xfId="7970" xr:uid="{1A990A08-180C-488E-BA62-36F2C99BD7A1}"/>
    <cellStyle name="40% - Accent4 3 5 3" xfId="5825" xr:uid="{0D54B738-3D50-4BAC-9478-527B3478E21E}"/>
    <cellStyle name="40% - Accent4 3 6" xfId="2352" xr:uid="{1026EAEA-4EC9-44A8-8FF8-2B42EE4CF6C9}"/>
    <cellStyle name="40% - Accent4 3 6 2" xfId="4168" xr:uid="{155C15FE-0E12-4ECA-98D2-8457C7A857E9}"/>
    <cellStyle name="40% - Accent4 3 6 2 2" xfId="8383" xr:uid="{83CDC1B8-2CCE-4020-A583-3020A211EFCA}"/>
    <cellStyle name="40% - Accent4 3 6 3" xfId="6238" xr:uid="{304EAF1D-139F-462F-B712-5DF3318B71C0}"/>
    <cellStyle name="40% - Accent4 3 7" xfId="2765" xr:uid="{BF5BC807-AA40-405C-BA97-4EBA6EF86657}"/>
    <cellStyle name="40% - Accent4 3 7 2" xfId="6651" xr:uid="{40FF57FE-B512-4551-92D3-614DE7186D89}"/>
    <cellStyle name="40% - Accent4 3 8" xfId="4585" xr:uid="{34D05147-6897-4110-A190-4B8F47D7B383}"/>
    <cellStyle name="40% - Accent4 4" xfId="80" xr:uid="{00000000-0005-0000-0000-00009D000000}"/>
    <cellStyle name="40% - Accent4 4 2" xfId="657" xr:uid="{00000000-0005-0000-0000-00009E000000}"/>
    <cellStyle name="40% - Accent4 4 2 2" xfId="1526" xr:uid="{50D282D0-17C1-46AA-B93C-882AEFA945CB}"/>
    <cellStyle name="40% - Accent4 4 2 2 2" xfId="7146" xr:uid="{F1796F39-0285-4D43-91DE-7961DA1F3904}"/>
    <cellStyle name="40% - Accent4 4 2 3" xfId="5001" xr:uid="{9F94F48C-B2F4-44F6-A195-E0F224E4B0D7}"/>
    <cellStyle name="40% - Accent4 4 3" xfId="1110" xr:uid="{3898D4CD-19D2-4280-BB98-C4E3C01C337A}"/>
    <cellStyle name="40% - Accent4 4 3 2" xfId="3344" xr:uid="{209194DC-F2C4-4D08-A1C2-AC1482CF494A}"/>
    <cellStyle name="40% - Accent4 4 3 2 2" xfId="7559" xr:uid="{AC4FC1FC-44B1-4391-82E9-C9FA74A7F06B}"/>
    <cellStyle name="40% - Accent4 4 3 3" xfId="5414" xr:uid="{C2CB1A70-EFBB-4FAE-99EA-17B5B6F5ECF0}"/>
    <cellStyle name="40% - Accent4 4 4" xfId="1941" xr:uid="{F9C118E8-F62F-42A9-94F7-0E068394B2CE}"/>
    <cellStyle name="40% - Accent4 4 4 2" xfId="3757" xr:uid="{3B785298-3F6D-4B23-8E5E-6DB914BD9978}"/>
    <cellStyle name="40% - Accent4 4 4 2 2" xfId="7972" xr:uid="{C2E6F0CD-C34F-4E43-BCA7-F12139796403}"/>
    <cellStyle name="40% - Accent4 4 4 3" xfId="5827" xr:uid="{DE6F4D9B-E99A-4134-8BEB-84D20B9357C5}"/>
    <cellStyle name="40% - Accent4 4 5" xfId="2354" xr:uid="{41986D83-5969-469A-8252-DC73B2AB5393}"/>
    <cellStyle name="40% - Accent4 4 5 2" xfId="4170" xr:uid="{CB691DD9-656F-4A31-BC9D-6D45369CB861}"/>
    <cellStyle name="40% - Accent4 4 5 2 2" xfId="8385" xr:uid="{D2C8FD2B-B7F2-418E-BAFD-04F4E64F4A44}"/>
    <cellStyle name="40% - Accent4 4 5 3" xfId="6240" xr:uid="{F7FE7352-A50A-4E3F-AD39-E3D901ED3DD2}"/>
    <cellStyle name="40% - Accent4 4 6" xfId="2767" xr:uid="{AB6F159F-9C1E-493B-BC1A-B2727AEA581A}"/>
    <cellStyle name="40% - Accent4 4 6 2" xfId="6653" xr:uid="{A590DD88-83DD-4A44-9B65-33649CD30D10}"/>
    <cellStyle name="40% - Accent4 4 7" xfId="4587" xr:uid="{2FE2F444-9981-47BE-9ED8-051619E63D0B}"/>
    <cellStyle name="40% - Accent4 5" xfId="650" xr:uid="{00000000-0005-0000-0000-00009F000000}"/>
    <cellStyle name="40% - Accent4 5 2" xfId="1519" xr:uid="{70A189B2-C59E-4383-ACAB-E4F7E60688D9}"/>
    <cellStyle name="40% - Accent4 5 2 2" xfId="7139" xr:uid="{5B00D892-E4C0-412A-8D34-CA686D6F8C2E}"/>
    <cellStyle name="40% - Accent4 5 3" xfId="4994" xr:uid="{78AF0065-1037-4042-B97C-D480F0C0EBA8}"/>
    <cellStyle name="40% - Accent4 6" xfId="1103" xr:uid="{54669476-5FB7-4509-8860-25D2BE7A3626}"/>
    <cellStyle name="40% - Accent4 6 2" xfId="3337" xr:uid="{19A51340-2A02-4337-9160-1DC7B4B242C0}"/>
    <cellStyle name="40% - Accent4 6 2 2" xfId="7552" xr:uid="{014334EB-C25D-40B1-BAC1-A6DAF23A0FEE}"/>
    <cellStyle name="40% - Accent4 6 3" xfId="5407" xr:uid="{F286A6CA-5977-42F3-B77A-1405F8888A13}"/>
    <cellStyle name="40% - Accent4 7" xfId="1934" xr:uid="{EC870B76-FDEE-4D5F-9996-869FB5C700AF}"/>
    <cellStyle name="40% - Accent4 7 2" xfId="3750" xr:uid="{F5CDAD9E-989F-423B-807D-7AAB09BC9853}"/>
    <cellStyle name="40% - Accent4 7 2 2" xfId="7965" xr:uid="{81BA8677-ADE6-4DAA-9810-CFC570920890}"/>
    <cellStyle name="40% - Accent4 7 3" xfId="5820" xr:uid="{1B1D92F1-11DC-4013-AC06-19E19565D902}"/>
    <cellStyle name="40% - Accent4 8" xfId="2347" xr:uid="{8568E6A0-A0DA-4158-8865-F68C5775C64D}"/>
    <cellStyle name="40% - Accent4 8 2" xfId="4163" xr:uid="{5F886267-608B-4343-9D0A-341D1C0828E1}"/>
    <cellStyle name="40% - Accent4 8 2 2" xfId="8378" xr:uid="{8C908536-834A-4B79-A33A-F18B7928A164}"/>
    <cellStyle name="40% - Accent4 8 3" xfId="6233" xr:uid="{3F3DBEB7-2AFE-4B61-B9ED-F7B8BE4ECB07}"/>
    <cellStyle name="40% - Accent4 9" xfId="2760" xr:uid="{F3B103E5-F5D7-474B-A97E-8410B3821404}"/>
    <cellStyle name="40% - Accent4 9 2" xfId="6646" xr:uid="{926E2DA5-B6D3-4897-BFAF-FB9313055DC2}"/>
    <cellStyle name="40% - Accent5" xfId="81" builtinId="47" customBuiltin="1"/>
    <cellStyle name="40% - Accent5 10" xfId="4588" xr:uid="{09E56D7B-64D5-461D-9066-6E9288CE1555}"/>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0" xr:uid="{8B8A323A-1964-44DB-9572-C7F748319456}"/>
    <cellStyle name="40% - Accent5 2 2 2 2 2 2" xfId="7150" xr:uid="{7479482B-28B3-4F74-85A4-646DC1689A99}"/>
    <cellStyle name="40% - Accent5 2 2 2 2 3" xfId="5005" xr:uid="{1761E5B0-F8C9-4543-A56B-676A4089B30A}"/>
    <cellStyle name="40% - Accent5 2 2 2 3" xfId="1114" xr:uid="{9F996473-4CCD-493F-A205-B369E1D305AF}"/>
    <cellStyle name="40% - Accent5 2 2 2 3 2" xfId="3348" xr:uid="{6AF8C11E-D124-47E3-B7F7-150024863A98}"/>
    <cellStyle name="40% - Accent5 2 2 2 3 2 2" xfId="7563" xr:uid="{F9A284E0-3ACF-4EEB-B850-BF6DA8138EB0}"/>
    <cellStyle name="40% - Accent5 2 2 2 3 3" xfId="5418" xr:uid="{5F525494-A25F-4495-93D0-C79C24DAEA17}"/>
    <cellStyle name="40% - Accent5 2 2 2 4" xfId="1945" xr:uid="{1E233E70-C57C-4CBD-860E-3D099B90CFAA}"/>
    <cellStyle name="40% - Accent5 2 2 2 4 2" xfId="3761" xr:uid="{F8F76E8B-11C9-4863-A57A-3B63D8D530BC}"/>
    <cellStyle name="40% - Accent5 2 2 2 4 2 2" xfId="7976" xr:uid="{B35359E5-7585-4177-960B-AD42E8032019}"/>
    <cellStyle name="40% - Accent5 2 2 2 4 3" xfId="5831" xr:uid="{D3D87E2F-AD7B-4C05-A311-DA3D399C2DF7}"/>
    <cellStyle name="40% - Accent5 2 2 2 5" xfId="2358" xr:uid="{7E88F1F7-6796-42DD-9ADB-CBF7DF5E2ADB}"/>
    <cellStyle name="40% - Accent5 2 2 2 5 2" xfId="4174" xr:uid="{7BE1D6D6-EF74-4BF0-907B-1B164262104B}"/>
    <cellStyle name="40% - Accent5 2 2 2 5 2 2" xfId="8389" xr:uid="{3F835C15-E2AD-4B00-86BE-35F44DB54F99}"/>
    <cellStyle name="40% - Accent5 2 2 2 5 3" xfId="6244" xr:uid="{89FAB410-62E3-4B16-BEB7-E8E54BC0D32C}"/>
    <cellStyle name="40% - Accent5 2 2 2 6" xfId="2771" xr:uid="{686A9D61-4023-4287-BA51-E1DA5109872E}"/>
    <cellStyle name="40% - Accent5 2 2 2 6 2" xfId="6657" xr:uid="{6E575F4A-07CB-455E-A541-C07C02B13A78}"/>
    <cellStyle name="40% - Accent5 2 2 2 7" xfId="4591" xr:uid="{FA3EF4BD-AA29-4C2F-B514-D2F37E16287E}"/>
    <cellStyle name="40% - Accent5 2 2 3" xfId="660" xr:uid="{00000000-0005-0000-0000-0000A5000000}"/>
    <cellStyle name="40% - Accent5 2 2 3 2" xfId="1529" xr:uid="{FC660987-7029-4D87-9F07-51AA03DE107B}"/>
    <cellStyle name="40% - Accent5 2 2 3 2 2" xfId="7149" xr:uid="{98448DC0-3D0C-4D40-BA32-799BEBA468F7}"/>
    <cellStyle name="40% - Accent5 2 2 3 3" xfId="5004" xr:uid="{5FDF4158-2A8D-44CC-B560-3AFA9311D1C3}"/>
    <cellStyle name="40% - Accent5 2 2 4" xfId="1113" xr:uid="{3910D3F3-DE07-4D55-8CD5-E6873E2A5D75}"/>
    <cellStyle name="40% - Accent5 2 2 4 2" xfId="3347" xr:uid="{5591AFA8-B004-4964-A958-026AA55AB6A1}"/>
    <cellStyle name="40% - Accent5 2 2 4 2 2" xfId="7562" xr:uid="{095555A6-BEF3-450E-9060-4D966E92DD71}"/>
    <cellStyle name="40% - Accent5 2 2 4 3" xfId="5417" xr:uid="{53C3DBD8-41D2-4214-8E26-30F5C55C8B6E}"/>
    <cellStyle name="40% - Accent5 2 2 5" xfId="1944" xr:uid="{D4B7C2D9-E860-477D-9837-314639E27CDC}"/>
    <cellStyle name="40% - Accent5 2 2 5 2" xfId="3760" xr:uid="{C274535A-2627-494A-8A15-BE5B02C595E1}"/>
    <cellStyle name="40% - Accent5 2 2 5 2 2" xfId="7975" xr:uid="{ECC29B8D-F683-4607-8571-D41DE2D55A65}"/>
    <cellStyle name="40% - Accent5 2 2 5 3" xfId="5830" xr:uid="{A0E0F07D-0899-4346-9386-E618DE1ACC9B}"/>
    <cellStyle name="40% - Accent5 2 2 6" xfId="2357" xr:uid="{CEC04011-3A3A-4CDA-A087-A066040D9094}"/>
    <cellStyle name="40% - Accent5 2 2 6 2" xfId="4173" xr:uid="{DBD5689C-62C0-4FFA-A668-B641B9CEAC0A}"/>
    <cellStyle name="40% - Accent5 2 2 6 2 2" xfId="8388" xr:uid="{740AAAF8-243C-49D9-8556-72DDB59E697A}"/>
    <cellStyle name="40% - Accent5 2 2 6 3" xfId="6243" xr:uid="{FFE2F851-394A-48F5-85D6-9F42C9FC9978}"/>
    <cellStyle name="40% - Accent5 2 2 7" xfId="2770" xr:uid="{1AE9CC0C-8407-496C-A3EB-8EE8052D4606}"/>
    <cellStyle name="40% - Accent5 2 2 7 2" xfId="6656" xr:uid="{EDB6336C-E107-4894-B567-C105162F1E7E}"/>
    <cellStyle name="40% - Accent5 2 2 8" xfId="4590" xr:uid="{339FC4A9-CA99-45F3-A498-6D9E79159AFF}"/>
    <cellStyle name="40% - Accent5 2 3" xfId="85" xr:uid="{00000000-0005-0000-0000-0000A6000000}"/>
    <cellStyle name="40% - Accent5 2 3 2" xfId="662" xr:uid="{00000000-0005-0000-0000-0000A7000000}"/>
    <cellStyle name="40% - Accent5 2 3 2 2" xfId="1531" xr:uid="{085913C3-1096-450C-937C-3B2A16BE0842}"/>
    <cellStyle name="40% - Accent5 2 3 2 2 2" xfId="7151" xr:uid="{8B0FD58F-A3A1-4F23-A2D1-AC34009393FB}"/>
    <cellStyle name="40% - Accent5 2 3 2 3" xfId="5006" xr:uid="{03077BAB-A122-415B-B795-96458B273160}"/>
    <cellStyle name="40% - Accent5 2 3 3" xfId="1115" xr:uid="{5F5CAE43-CFF5-4D4B-B934-1BAA08520297}"/>
    <cellStyle name="40% - Accent5 2 3 3 2" xfId="3349" xr:uid="{BE1CD6C2-6E0B-422C-A97E-1CDEAB3B8148}"/>
    <cellStyle name="40% - Accent5 2 3 3 2 2" xfId="7564" xr:uid="{680B0B0C-B22B-466D-846C-6191989428E8}"/>
    <cellStyle name="40% - Accent5 2 3 3 3" xfId="5419" xr:uid="{9D778E86-021A-43A3-ACE1-1B2DEA8F806B}"/>
    <cellStyle name="40% - Accent5 2 3 4" xfId="1946" xr:uid="{0CEFA8B2-4C52-46BA-B8F3-5F144F4F1654}"/>
    <cellStyle name="40% - Accent5 2 3 4 2" xfId="3762" xr:uid="{18C18835-0644-4054-8D40-5DAAD9904FDE}"/>
    <cellStyle name="40% - Accent5 2 3 4 2 2" xfId="7977" xr:uid="{8B99399D-B861-4A65-AB8E-CCA58CD93917}"/>
    <cellStyle name="40% - Accent5 2 3 4 3" xfId="5832" xr:uid="{0CA530BC-A525-4987-95CF-70C9B46DC4A9}"/>
    <cellStyle name="40% - Accent5 2 3 5" xfId="2359" xr:uid="{72C7EB43-50B8-4EE9-8131-AEC9AFE130A2}"/>
    <cellStyle name="40% - Accent5 2 3 5 2" xfId="4175" xr:uid="{2BE9A47B-5A66-48B3-9425-78E6973C6F05}"/>
    <cellStyle name="40% - Accent5 2 3 5 2 2" xfId="8390" xr:uid="{FBED1784-0CF3-4DFD-AA7D-CAA4E1BE219F}"/>
    <cellStyle name="40% - Accent5 2 3 5 3" xfId="6245" xr:uid="{4228A36D-339A-4FD5-9FF1-67855FB4DE94}"/>
    <cellStyle name="40% - Accent5 2 3 6" xfId="2772" xr:uid="{98800974-C4FE-41B4-85BD-FE9FB1DC6FAF}"/>
    <cellStyle name="40% - Accent5 2 3 6 2" xfId="6658" xr:uid="{B0535460-0B30-417B-A020-4AAF30B76493}"/>
    <cellStyle name="40% - Accent5 2 3 7" xfId="4592" xr:uid="{8D4DC13D-8BA4-48C0-AA35-936243D710E8}"/>
    <cellStyle name="40% - Accent5 2 4" xfId="659" xr:uid="{00000000-0005-0000-0000-0000A8000000}"/>
    <cellStyle name="40% - Accent5 2 4 2" xfId="1528" xr:uid="{BA50F1C9-1D70-4B2A-A59C-A5D4297EC61B}"/>
    <cellStyle name="40% - Accent5 2 4 2 2" xfId="7148" xr:uid="{512752EA-912C-4136-8F53-1FDE6D4780AE}"/>
    <cellStyle name="40% - Accent5 2 4 3" xfId="5003" xr:uid="{8F484E11-FFD1-4AB4-A0FA-8FC68F30771F}"/>
    <cellStyle name="40% - Accent5 2 5" xfId="1112" xr:uid="{598D91A3-F6D8-4928-A087-C33EC5950CAA}"/>
    <cellStyle name="40% - Accent5 2 5 2" xfId="3346" xr:uid="{90818041-4F0D-4469-B371-D05832337FA5}"/>
    <cellStyle name="40% - Accent5 2 5 2 2" xfId="7561" xr:uid="{4EF7C478-0071-4513-A274-3CBEE1628A7B}"/>
    <cellStyle name="40% - Accent5 2 5 3" xfId="5416" xr:uid="{EB65DC97-E965-4B8B-94AA-38104D49DE6A}"/>
    <cellStyle name="40% - Accent5 2 6" xfId="1943" xr:uid="{2AB5C691-94E6-4502-AC94-95F495C276CB}"/>
    <cellStyle name="40% - Accent5 2 6 2" xfId="3759" xr:uid="{4A47513D-DA12-4B68-B8D2-7A16DE140737}"/>
    <cellStyle name="40% - Accent5 2 6 2 2" xfId="7974" xr:uid="{2AFD003C-9B67-4B55-9B89-CDA7E2F52B97}"/>
    <cellStyle name="40% - Accent5 2 6 3" xfId="5829" xr:uid="{0277846E-5272-49C9-B7D7-65DC2D41B5B5}"/>
    <cellStyle name="40% - Accent5 2 7" xfId="2356" xr:uid="{4308FDF3-E2C6-4B72-8189-04C49C9044D6}"/>
    <cellStyle name="40% - Accent5 2 7 2" xfId="4172" xr:uid="{74C2EA3E-3C75-46AC-BECD-91F9D1EA3D2D}"/>
    <cellStyle name="40% - Accent5 2 7 2 2" xfId="8387" xr:uid="{B2301755-C936-480C-A26F-1DDD21186619}"/>
    <cellStyle name="40% - Accent5 2 7 3" xfId="6242" xr:uid="{943AD4B1-46CD-4DC6-8590-593CE48E6C7B}"/>
    <cellStyle name="40% - Accent5 2 8" xfId="2769" xr:uid="{F4DB4095-D4EC-41AD-AB4C-448DB60E8E7B}"/>
    <cellStyle name="40% - Accent5 2 8 2" xfId="6655" xr:uid="{90FBEE08-7F0E-4B09-8635-8A72F4899778}"/>
    <cellStyle name="40% - Accent5 2 9" xfId="4589" xr:uid="{A0940B6D-CC60-4EAB-80F7-1E39E1C6FA31}"/>
    <cellStyle name="40% - Accent5 3" xfId="86" xr:uid="{00000000-0005-0000-0000-0000A9000000}"/>
    <cellStyle name="40% - Accent5 3 2" xfId="87" xr:uid="{00000000-0005-0000-0000-0000AA000000}"/>
    <cellStyle name="40% - Accent5 3 2 2" xfId="664" xr:uid="{00000000-0005-0000-0000-0000AB000000}"/>
    <cellStyle name="40% - Accent5 3 2 2 2" xfId="1533" xr:uid="{04156A81-E9DF-482C-B9F2-AAAA29A831EA}"/>
    <cellStyle name="40% - Accent5 3 2 2 2 2" xfId="7153" xr:uid="{81725434-7A47-48E3-A4B5-CDA1FEBE1B43}"/>
    <cellStyle name="40% - Accent5 3 2 2 3" xfId="5008" xr:uid="{8E3B4A5A-9B65-4000-AB5D-64DC59928E8E}"/>
    <cellStyle name="40% - Accent5 3 2 3" xfId="1117" xr:uid="{6CB983A7-CF37-4B58-9229-E900E1BC6A32}"/>
    <cellStyle name="40% - Accent5 3 2 3 2" xfId="3351" xr:uid="{A29096AF-5DD1-4E14-977D-96F1954B8D2C}"/>
    <cellStyle name="40% - Accent5 3 2 3 2 2" xfId="7566" xr:uid="{10A5CE30-9BB4-4BCC-A263-F0FB8AC0E438}"/>
    <cellStyle name="40% - Accent5 3 2 3 3" xfId="5421" xr:uid="{9FEEDBD0-E357-425E-A7F3-0FDD023A7E25}"/>
    <cellStyle name="40% - Accent5 3 2 4" xfId="1948" xr:uid="{CF643523-09A6-4168-B132-266E60537B81}"/>
    <cellStyle name="40% - Accent5 3 2 4 2" xfId="3764" xr:uid="{4D6A93B8-8898-4D84-8D12-EC520902B5F3}"/>
    <cellStyle name="40% - Accent5 3 2 4 2 2" xfId="7979" xr:uid="{C2AB1084-0EF5-44A3-99F1-8DBF9026E516}"/>
    <cellStyle name="40% - Accent5 3 2 4 3" xfId="5834" xr:uid="{0ECE0529-C705-45E5-A14B-0EAF2EEB6868}"/>
    <cellStyle name="40% - Accent5 3 2 5" xfId="2361" xr:uid="{D1A2E47D-A8AB-4C33-8066-712AC6A363E2}"/>
    <cellStyle name="40% - Accent5 3 2 5 2" xfId="4177" xr:uid="{962F7A48-654E-4D88-8D5A-512AB32304C3}"/>
    <cellStyle name="40% - Accent5 3 2 5 2 2" xfId="8392" xr:uid="{BA9352CE-3C73-4152-B63E-DE17A9EA7305}"/>
    <cellStyle name="40% - Accent5 3 2 5 3" xfId="6247" xr:uid="{81AFB160-5F44-4E7E-9AC2-E1B76F3AB4ED}"/>
    <cellStyle name="40% - Accent5 3 2 6" xfId="2774" xr:uid="{F4A00765-5F0A-4C20-9AF1-289F0FB3602F}"/>
    <cellStyle name="40% - Accent5 3 2 6 2" xfId="6660" xr:uid="{403645FB-F736-4C95-8E0B-4714A94D17BA}"/>
    <cellStyle name="40% - Accent5 3 2 7" xfId="4594" xr:uid="{2F75EBA2-5B15-438B-97EA-E4CA616A365F}"/>
    <cellStyle name="40% - Accent5 3 3" xfId="663" xr:uid="{00000000-0005-0000-0000-0000AC000000}"/>
    <cellStyle name="40% - Accent5 3 3 2" xfId="1532" xr:uid="{F2A803F8-DD78-46E5-A2EF-4BD2F034E53F}"/>
    <cellStyle name="40% - Accent5 3 3 2 2" xfId="7152" xr:uid="{5F1DF96A-ABDC-4EBF-972C-737C7C4C47FF}"/>
    <cellStyle name="40% - Accent5 3 3 3" xfId="5007" xr:uid="{63D3E7AF-F3C2-4FDE-8BA6-2DBB57F7FAE8}"/>
    <cellStyle name="40% - Accent5 3 4" xfId="1116" xr:uid="{74CF539A-4047-4C24-BF17-CBC7A37B5600}"/>
    <cellStyle name="40% - Accent5 3 4 2" xfId="3350" xr:uid="{0990BFC2-CEC2-42B2-A961-62B8441B28DC}"/>
    <cellStyle name="40% - Accent5 3 4 2 2" xfId="7565" xr:uid="{DB9A34F7-FC26-40D2-81D5-CBA0F9CAA0D9}"/>
    <cellStyle name="40% - Accent5 3 4 3" xfId="5420" xr:uid="{DE27ED0A-A025-4816-8E41-6A9E430415AD}"/>
    <cellStyle name="40% - Accent5 3 5" xfId="1947" xr:uid="{FD65C31D-2941-4334-9411-73B33F0B8A5E}"/>
    <cellStyle name="40% - Accent5 3 5 2" xfId="3763" xr:uid="{3C1057AE-55EA-4C1C-AA47-5586EB995428}"/>
    <cellStyle name="40% - Accent5 3 5 2 2" xfId="7978" xr:uid="{5993C3B8-080F-45DC-A2F6-E90EE8A172B1}"/>
    <cellStyle name="40% - Accent5 3 5 3" xfId="5833" xr:uid="{03F78C1F-C5FB-4A28-854B-B195DDD2E8F6}"/>
    <cellStyle name="40% - Accent5 3 6" xfId="2360" xr:uid="{EBCC0542-A3E4-4DD6-876A-C42D1CA7BCCE}"/>
    <cellStyle name="40% - Accent5 3 6 2" xfId="4176" xr:uid="{3109FBA6-CBA3-4733-870E-8FEF28A9A4A5}"/>
    <cellStyle name="40% - Accent5 3 6 2 2" xfId="8391" xr:uid="{EDB84CD9-58F8-4A30-9D25-5181C18D82F0}"/>
    <cellStyle name="40% - Accent5 3 6 3" xfId="6246" xr:uid="{E3CDB153-15B3-4C7C-A960-7C4ACB5733C9}"/>
    <cellStyle name="40% - Accent5 3 7" xfId="2773" xr:uid="{7845606A-21F7-4611-8371-0BCADE72B1A0}"/>
    <cellStyle name="40% - Accent5 3 7 2" xfId="6659" xr:uid="{B58B3EC0-2905-4219-B2C5-075081D0B5B9}"/>
    <cellStyle name="40% - Accent5 3 8" xfId="4593" xr:uid="{C7F5DFCA-3F00-4BBA-9D19-4C7631D0C46E}"/>
    <cellStyle name="40% - Accent5 4" xfId="88" xr:uid="{00000000-0005-0000-0000-0000AD000000}"/>
    <cellStyle name="40% - Accent5 4 2" xfId="665" xr:uid="{00000000-0005-0000-0000-0000AE000000}"/>
    <cellStyle name="40% - Accent5 4 2 2" xfId="1534" xr:uid="{B43A4E0C-774F-4A8F-8AA8-F5AAB200C6B0}"/>
    <cellStyle name="40% - Accent5 4 2 2 2" xfId="7154" xr:uid="{9EEA69FA-EDFE-4C2A-9BEF-4F434D41A63B}"/>
    <cellStyle name="40% - Accent5 4 2 3" xfId="5009" xr:uid="{3530F215-2B57-4E3E-B5CF-A354BB0EAE6E}"/>
    <cellStyle name="40% - Accent5 4 3" xfId="1118" xr:uid="{556402AA-2AE0-47B9-A960-F6A3E6BAB3CC}"/>
    <cellStyle name="40% - Accent5 4 3 2" xfId="3352" xr:uid="{74F59DB9-E8C7-4D04-92E4-229ABA051B44}"/>
    <cellStyle name="40% - Accent5 4 3 2 2" xfId="7567" xr:uid="{A5F3BDE3-C180-4127-93A3-9FA02DA0F2AA}"/>
    <cellStyle name="40% - Accent5 4 3 3" xfId="5422" xr:uid="{4752AFFB-6FA6-4924-B197-C561C441904A}"/>
    <cellStyle name="40% - Accent5 4 4" xfId="1949" xr:uid="{EC048BAB-760F-4361-B245-8DE0250DB941}"/>
    <cellStyle name="40% - Accent5 4 4 2" xfId="3765" xr:uid="{F02184F2-72C3-4697-8F32-A37C240C0A8E}"/>
    <cellStyle name="40% - Accent5 4 4 2 2" xfId="7980" xr:uid="{6BD20982-D5E3-4128-BB40-25346C65B7BF}"/>
    <cellStyle name="40% - Accent5 4 4 3" xfId="5835" xr:uid="{8B2E4D97-D218-4929-8BD2-16ED72DA70FF}"/>
    <cellStyle name="40% - Accent5 4 5" xfId="2362" xr:uid="{67B1EA94-12FB-47EF-AAA9-8E3EADA67CC2}"/>
    <cellStyle name="40% - Accent5 4 5 2" xfId="4178" xr:uid="{C2CB1A16-F606-4403-8A71-DB0928697681}"/>
    <cellStyle name="40% - Accent5 4 5 2 2" xfId="8393" xr:uid="{26A9ED37-77CA-4A3B-A334-C12459734F35}"/>
    <cellStyle name="40% - Accent5 4 5 3" xfId="6248" xr:uid="{07E73C8A-50E4-41F9-B4C2-24B39697A3ED}"/>
    <cellStyle name="40% - Accent5 4 6" xfId="2775" xr:uid="{BDBE1890-7C84-4FC5-91C4-CBD4DDFC3791}"/>
    <cellStyle name="40% - Accent5 4 6 2" xfId="6661" xr:uid="{97EC98B4-E6C0-4C77-97FC-858BF29A50DC}"/>
    <cellStyle name="40% - Accent5 4 7" xfId="4595" xr:uid="{F6E1BD30-CEAC-498D-ACB6-32DB19CA7C87}"/>
    <cellStyle name="40% - Accent5 5" xfId="658" xr:uid="{00000000-0005-0000-0000-0000AF000000}"/>
    <cellStyle name="40% - Accent5 5 2" xfId="1527" xr:uid="{E32FA596-1E3E-48FA-8A9A-D1E6F89BE84B}"/>
    <cellStyle name="40% - Accent5 5 2 2" xfId="7147" xr:uid="{4D239C86-122A-4DA2-9B23-F9954C4AF545}"/>
    <cellStyle name="40% - Accent5 5 3" xfId="5002" xr:uid="{511FAC0E-C105-4965-9EB8-513ABF7E043D}"/>
    <cellStyle name="40% - Accent5 6" xfId="1111" xr:uid="{788070C0-9087-4AF8-B8A4-7BFFD9BF8E1D}"/>
    <cellStyle name="40% - Accent5 6 2" xfId="3345" xr:uid="{14B19B3B-D06C-4680-8EDE-F0A981CA6C06}"/>
    <cellStyle name="40% - Accent5 6 2 2" xfId="7560" xr:uid="{0C70066B-FB5A-4CE9-AEE9-624E39F82EDC}"/>
    <cellStyle name="40% - Accent5 6 3" xfId="5415" xr:uid="{FA297202-D573-4AE6-A14D-CB109351FDBB}"/>
    <cellStyle name="40% - Accent5 7" xfId="1942" xr:uid="{3A0B824D-0E48-4290-94CF-A186F9F2257A}"/>
    <cellStyle name="40% - Accent5 7 2" xfId="3758" xr:uid="{F0D11829-2C26-453A-B426-A6AA35037B7A}"/>
    <cellStyle name="40% - Accent5 7 2 2" xfId="7973" xr:uid="{2BB76AF6-E408-4C5C-BC6B-86D744CE189A}"/>
    <cellStyle name="40% - Accent5 7 3" xfId="5828" xr:uid="{84C33198-F407-4E75-A8FC-92E1ACBC3A3E}"/>
    <cellStyle name="40% - Accent5 8" xfId="2355" xr:uid="{BBC7DBF0-C90D-4A2D-B557-F5AF41AEC9AE}"/>
    <cellStyle name="40% - Accent5 8 2" xfId="4171" xr:uid="{C19DD734-5F3D-4611-A203-62EBC574DF54}"/>
    <cellStyle name="40% - Accent5 8 2 2" xfId="8386" xr:uid="{AFE78BD3-22D9-4488-BA17-B2FE64F4D76F}"/>
    <cellStyle name="40% - Accent5 8 3" xfId="6241" xr:uid="{AB6CE108-1DB5-4077-B0E7-2505CC915D2B}"/>
    <cellStyle name="40% - Accent5 9" xfId="2768" xr:uid="{F2FF2F58-D070-4D51-8381-9BF07D231ABA}"/>
    <cellStyle name="40% - Accent5 9 2" xfId="6654" xr:uid="{027C10E3-2FC9-48B1-BBC0-9D777FC08312}"/>
    <cellStyle name="40% - Accent6" xfId="89" builtinId="51" customBuiltin="1"/>
    <cellStyle name="40% - Accent6 10" xfId="4596" xr:uid="{546B563C-6676-4672-9CC5-A646AC5F9F37}"/>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8" xr:uid="{480E6E2B-1A11-4165-9B47-C141E7D60624}"/>
    <cellStyle name="40% - Accent6 2 2 2 2 2 2" xfId="7158" xr:uid="{7D45F2C3-F3D9-41E6-9398-2A1D56D80EB3}"/>
    <cellStyle name="40% - Accent6 2 2 2 2 3" xfId="5013" xr:uid="{D4FD3DF8-B9BC-4C18-9379-405E78FD8399}"/>
    <cellStyle name="40% - Accent6 2 2 2 3" xfId="1122" xr:uid="{45C6D6CE-4122-4852-89EA-6B6ABAA99514}"/>
    <cellStyle name="40% - Accent6 2 2 2 3 2" xfId="3356" xr:uid="{F37E4FDB-02E9-4A02-9EB7-D5E0FEA3CA6E}"/>
    <cellStyle name="40% - Accent6 2 2 2 3 2 2" xfId="7571" xr:uid="{82CADA57-9BA8-40D8-AE54-B7EE876A79DC}"/>
    <cellStyle name="40% - Accent6 2 2 2 3 3" xfId="5426" xr:uid="{E11B9B85-5E31-4A79-B194-70746BD56BF2}"/>
    <cellStyle name="40% - Accent6 2 2 2 4" xfId="1953" xr:uid="{F3236704-DA63-44C5-A653-C56719B5BF99}"/>
    <cellStyle name="40% - Accent6 2 2 2 4 2" xfId="3769" xr:uid="{35D4CA0F-8E46-499F-9720-436D27FF6060}"/>
    <cellStyle name="40% - Accent6 2 2 2 4 2 2" xfId="7984" xr:uid="{AF145681-D5B8-47B1-B0B3-36344E9965AD}"/>
    <cellStyle name="40% - Accent6 2 2 2 4 3" xfId="5839" xr:uid="{6D977B59-6471-4779-9107-BABAF11F69EC}"/>
    <cellStyle name="40% - Accent6 2 2 2 5" xfId="2366" xr:uid="{842A3421-EC85-49BA-915C-A526B76304B3}"/>
    <cellStyle name="40% - Accent6 2 2 2 5 2" xfId="4182" xr:uid="{C22AB0F8-B1DF-4DEF-8C55-E1328DDB9079}"/>
    <cellStyle name="40% - Accent6 2 2 2 5 2 2" xfId="8397" xr:uid="{9A71A2AB-06B4-437A-B457-D9F9D9DB4FB2}"/>
    <cellStyle name="40% - Accent6 2 2 2 5 3" xfId="6252" xr:uid="{3E11C5EB-0069-4B96-84CC-669F01C89514}"/>
    <cellStyle name="40% - Accent6 2 2 2 6" xfId="2779" xr:uid="{B297F5FF-6E55-422B-B226-9C3E2CBFF62E}"/>
    <cellStyle name="40% - Accent6 2 2 2 6 2" xfId="6665" xr:uid="{41079A43-3C05-4B2E-97AA-A83FF9E3F5F2}"/>
    <cellStyle name="40% - Accent6 2 2 2 7" xfId="4599" xr:uid="{1DFDB723-D456-47CF-8B64-EA3BBE2D84D5}"/>
    <cellStyle name="40% - Accent6 2 2 3" xfId="668" xr:uid="{00000000-0005-0000-0000-0000B5000000}"/>
    <cellStyle name="40% - Accent6 2 2 3 2" xfId="1537" xr:uid="{E2E23EE1-D3C1-4F78-ACC2-DDBC8C743B30}"/>
    <cellStyle name="40% - Accent6 2 2 3 2 2" xfId="7157" xr:uid="{2E0F31DA-EF4A-4F9E-BDA3-306DC33F1B63}"/>
    <cellStyle name="40% - Accent6 2 2 3 3" xfId="5012" xr:uid="{8B90E01C-17F6-4963-8155-9DF80D90F02D}"/>
    <cellStyle name="40% - Accent6 2 2 4" xfId="1121" xr:uid="{4956DE58-A4B4-40B6-9A52-257D208E13B4}"/>
    <cellStyle name="40% - Accent6 2 2 4 2" xfId="3355" xr:uid="{24B0D0FF-CEAB-4DEE-83BC-DA0E6962F65F}"/>
    <cellStyle name="40% - Accent6 2 2 4 2 2" xfId="7570" xr:uid="{8BF62C44-23B2-4C42-ACC9-8E3DE228DFF5}"/>
    <cellStyle name="40% - Accent6 2 2 4 3" xfId="5425" xr:uid="{2AE04DB8-1BB5-4FFA-B6FB-C65D788484E0}"/>
    <cellStyle name="40% - Accent6 2 2 5" xfId="1952" xr:uid="{352A8674-E9BA-4AED-9F3C-8EF6AD4A9C98}"/>
    <cellStyle name="40% - Accent6 2 2 5 2" xfId="3768" xr:uid="{D4D73F70-186D-4788-9394-9861033EDE65}"/>
    <cellStyle name="40% - Accent6 2 2 5 2 2" xfId="7983" xr:uid="{F1F1D265-ED91-4AC9-9A4F-36D47ADEDB45}"/>
    <cellStyle name="40% - Accent6 2 2 5 3" xfId="5838" xr:uid="{43510059-5C8E-4C73-9F0F-616A0F9D7FA7}"/>
    <cellStyle name="40% - Accent6 2 2 6" xfId="2365" xr:uid="{A5842714-02C8-4EFF-A298-557A5E97E212}"/>
    <cellStyle name="40% - Accent6 2 2 6 2" xfId="4181" xr:uid="{50C0E2AE-5A99-4133-B4CF-52A821F1543D}"/>
    <cellStyle name="40% - Accent6 2 2 6 2 2" xfId="8396" xr:uid="{AFAA6A7E-35D7-49DD-A1DF-86CCEC5839E2}"/>
    <cellStyle name="40% - Accent6 2 2 6 3" xfId="6251" xr:uid="{7C108863-A9A0-4532-9132-7397ED6493AB}"/>
    <cellStyle name="40% - Accent6 2 2 7" xfId="2778" xr:uid="{36D948D0-2086-4337-A362-A4341534438A}"/>
    <cellStyle name="40% - Accent6 2 2 7 2" xfId="6664" xr:uid="{5B10DCA5-0007-4375-8986-39DCD80BDB63}"/>
    <cellStyle name="40% - Accent6 2 2 8" xfId="4598" xr:uid="{239A8F29-FB2D-4B51-8D1C-B1629CE1F0C3}"/>
    <cellStyle name="40% - Accent6 2 3" xfId="93" xr:uid="{00000000-0005-0000-0000-0000B6000000}"/>
    <cellStyle name="40% - Accent6 2 3 2" xfId="670" xr:uid="{00000000-0005-0000-0000-0000B7000000}"/>
    <cellStyle name="40% - Accent6 2 3 2 2" xfId="1539" xr:uid="{DF5581AE-6099-4CD8-ACF8-D71AF277A6E2}"/>
    <cellStyle name="40% - Accent6 2 3 2 2 2" xfId="7159" xr:uid="{DF2333CD-AA59-45F7-BFA1-9C1F08F9E93D}"/>
    <cellStyle name="40% - Accent6 2 3 2 3" xfId="5014" xr:uid="{01FEF251-5B5F-4459-9DE8-358DDD3D47EC}"/>
    <cellStyle name="40% - Accent6 2 3 3" xfId="1123" xr:uid="{61A6CDDC-9A88-480A-9B6D-554CF0E413D4}"/>
    <cellStyle name="40% - Accent6 2 3 3 2" xfId="3357" xr:uid="{54D3AE00-F3D0-429F-AF6A-17A245F64983}"/>
    <cellStyle name="40% - Accent6 2 3 3 2 2" xfId="7572" xr:uid="{FA73E072-9E0B-4F22-B1D9-806CFEE8DE9B}"/>
    <cellStyle name="40% - Accent6 2 3 3 3" xfId="5427" xr:uid="{BB10F779-DCA8-47CA-8E06-EE63961F738D}"/>
    <cellStyle name="40% - Accent6 2 3 4" xfId="1954" xr:uid="{C674FEBB-380A-49EF-9868-F16AEB0FB049}"/>
    <cellStyle name="40% - Accent6 2 3 4 2" xfId="3770" xr:uid="{2E6FF2D4-E3EC-4D7B-AC38-5176941E7E6C}"/>
    <cellStyle name="40% - Accent6 2 3 4 2 2" xfId="7985" xr:uid="{ACE75522-5843-4336-BCF3-4CDA581406A4}"/>
    <cellStyle name="40% - Accent6 2 3 4 3" xfId="5840" xr:uid="{EF34EADF-1CDC-4196-A3A9-21B414EFD6E4}"/>
    <cellStyle name="40% - Accent6 2 3 5" xfId="2367" xr:uid="{C90A08B9-31FE-43F3-9250-9B9F9A0CD60B}"/>
    <cellStyle name="40% - Accent6 2 3 5 2" xfId="4183" xr:uid="{5391EB5D-8863-4B1C-BBF9-481FCCC5928D}"/>
    <cellStyle name="40% - Accent6 2 3 5 2 2" xfId="8398" xr:uid="{BE86749B-D39E-4414-986E-6D3304C8073D}"/>
    <cellStyle name="40% - Accent6 2 3 5 3" xfId="6253" xr:uid="{F183B8A6-081E-45F9-9DB3-BE444EC58FE6}"/>
    <cellStyle name="40% - Accent6 2 3 6" xfId="2780" xr:uid="{BB323DFB-18D4-4BF9-863E-A934F5E22400}"/>
    <cellStyle name="40% - Accent6 2 3 6 2" xfId="6666" xr:uid="{8594B333-ED43-4660-BD75-819DD74D4343}"/>
    <cellStyle name="40% - Accent6 2 3 7" xfId="4600" xr:uid="{4AE82F41-E215-4E96-AB51-DB4A763C0117}"/>
    <cellStyle name="40% - Accent6 2 4" xfId="667" xr:uid="{00000000-0005-0000-0000-0000B8000000}"/>
    <cellStyle name="40% - Accent6 2 4 2" xfId="1536" xr:uid="{C87DE7B9-D573-4A87-B3B2-06D098EA55D5}"/>
    <cellStyle name="40% - Accent6 2 4 2 2" xfId="7156" xr:uid="{7EC8BC8E-391B-43B7-B206-6805C723C425}"/>
    <cellStyle name="40% - Accent6 2 4 3" xfId="5011" xr:uid="{7F54BA82-156D-4319-9EB3-759DFC6C5E63}"/>
    <cellStyle name="40% - Accent6 2 5" xfId="1120" xr:uid="{0302F2EA-223F-4EED-80BB-68D616822D4F}"/>
    <cellStyle name="40% - Accent6 2 5 2" xfId="3354" xr:uid="{D3383378-40F1-45DB-9C1F-DD2DA2FF0319}"/>
    <cellStyle name="40% - Accent6 2 5 2 2" xfId="7569" xr:uid="{4DB9B5FF-7CAB-45A6-B835-EE88D324D835}"/>
    <cellStyle name="40% - Accent6 2 5 3" xfId="5424" xr:uid="{9837F219-B6C4-475F-B188-FD2FFEBF4CBB}"/>
    <cellStyle name="40% - Accent6 2 6" xfId="1951" xr:uid="{180F7A0E-4BD1-4D66-A407-FB3C65129FEF}"/>
    <cellStyle name="40% - Accent6 2 6 2" xfId="3767" xr:uid="{5477A392-2589-4407-9324-F91742ADD178}"/>
    <cellStyle name="40% - Accent6 2 6 2 2" xfId="7982" xr:uid="{D28F09F1-741B-4DF6-A437-44868276EA65}"/>
    <cellStyle name="40% - Accent6 2 6 3" xfId="5837" xr:uid="{FBA924EA-1D3B-4A2A-A137-A4ED208B9DA0}"/>
    <cellStyle name="40% - Accent6 2 7" xfId="2364" xr:uid="{F3BD3DE4-E826-4D6D-9495-C6828BDF9F84}"/>
    <cellStyle name="40% - Accent6 2 7 2" xfId="4180" xr:uid="{0A4BB0E9-90CD-45E9-81BA-7CA9F96A44E4}"/>
    <cellStyle name="40% - Accent6 2 7 2 2" xfId="8395" xr:uid="{FEA0D710-9664-4EA9-A99D-CA9A3129CE1E}"/>
    <cellStyle name="40% - Accent6 2 7 3" xfId="6250" xr:uid="{357430D5-B9B5-4F65-A7C0-2A5902ECA816}"/>
    <cellStyle name="40% - Accent6 2 8" xfId="2777" xr:uid="{9562A95A-4672-402C-99A5-55F25126EA61}"/>
    <cellStyle name="40% - Accent6 2 8 2" xfId="6663" xr:uid="{01EBAAE2-1777-432B-A387-F4389C8AB481}"/>
    <cellStyle name="40% - Accent6 2 9" xfId="4597" xr:uid="{6D2AAC88-E72B-4CB2-B6EF-22D34C163AF0}"/>
    <cellStyle name="40% - Accent6 3" xfId="94" xr:uid="{00000000-0005-0000-0000-0000B9000000}"/>
    <cellStyle name="40% - Accent6 3 2" xfId="95" xr:uid="{00000000-0005-0000-0000-0000BA000000}"/>
    <cellStyle name="40% - Accent6 3 2 2" xfId="672" xr:uid="{00000000-0005-0000-0000-0000BB000000}"/>
    <cellStyle name="40% - Accent6 3 2 2 2" xfId="1541" xr:uid="{60B7222D-1A8F-497C-B47D-09A4506E2A6D}"/>
    <cellStyle name="40% - Accent6 3 2 2 2 2" xfId="7161" xr:uid="{964F4749-FB49-4D70-8A91-D8CFE6441865}"/>
    <cellStyle name="40% - Accent6 3 2 2 3" xfId="5016" xr:uid="{5E3640A5-10D2-48B4-8830-59D6923EDF69}"/>
    <cellStyle name="40% - Accent6 3 2 3" xfId="1125" xr:uid="{A24562F9-7B12-486C-83C4-C9B864565070}"/>
    <cellStyle name="40% - Accent6 3 2 3 2" xfId="3359" xr:uid="{67DE2EB6-2748-4E9E-A88E-70353A40F931}"/>
    <cellStyle name="40% - Accent6 3 2 3 2 2" xfId="7574" xr:uid="{EA3262AA-AA80-452B-9F3A-00D5F69CDA98}"/>
    <cellStyle name="40% - Accent6 3 2 3 3" xfId="5429" xr:uid="{11002B1B-921C-4F45-8265-55CEB9098BA5}"/>
    <cellStyle name="40% - Accent6 3 2 4" xfId="1956" xr:uid="{5CA4B8C7-2D6B-48FD-9F26-6F1E80DAFE44}"/>
    <cellStyle name="40% - Accent6 3 2 4 2" xfId="3772" xr:uid="{C74A521D-D7D8-45A5-B82E-B05B785F4EE1}"/>
    <cellStyle name="40% - Accent6 3 2 4 2 2" xfId="7987" xr:uid="{33696655-A27A-4248-9728-86F8DB4F1C99}"/>
    <cellStyle name="40% - Accent6 3 2 4 3" xfId="5842" xr:uid="{41D76754-C4D9-41F8-AE35-91DC463D2B84}"/>
    <cellStyle name="40% - Accent6 3 2 5" xfId="2369" xr:uid="{F4F78A1C-667F-4DA9-A82E-A1788F84B256}"/>
    <cellStyle name="40% - Accent6 3 2 5 2" xfId="4185" xr:uid="{26B34902-4E79-41CD-A5DC-BB40D6EC31EB}"/>
    <cellStyle name="40% - Accent6 3 2 5 2 2" xfId="8400" xr:uid="{E7E09F27-9173-4993-83E0-593CECD73A32}"/>
    <cellStyle name="40% - Accent6 3 2 5 3" xfId="6255" xr:uid="{5BC67E51-AF84-4ED4-B56E-77F6DC01EE7D}"/>
    <cellStyle name="40% - Accent6 3 2 6" xfId="2782" xr:uid="{0FFD0106-CF4D-4188-A30A-7BF117759F00}"/>
    <cellStyle name="40% - Accent6 3 2 6 2" xfId="6668" xr:uid="{33D79F5F-225D-408D-AB09-2E3A7574C2FE}"/>
    <cellStyle name="40% - Accent6 3 2 7" xfId="4602" xr:uid="{720BE39A-181B-4AC8-A4EF-1679F5BF7ACD}"/>
    <cellStyle name="40% - Accent6 3 3" xfId="671" xr:uid="{00000000-0005-0000-0000-0000BC000000}"/>
    <cellStyle name="40% - Accent6 3 3 2" xfId="1540" xr:uid="{0E0E5427-AB28-4616-BCBA-E2AA9E5AC69D}"/>
    <cellStyle name="40% - Accent6 3 3 2 2" xfId="7160" xr:uid="{7D664485-84AD-4F4D-B308-7D95411F7A6A}"/>
    <cellStyle name="40% - Accent6 3 3 3" xfId="5015" xr:uid="{D3F64119-7B2D-41A2-A2E4-BF9CBEF346B2}"/>
    <cellStyle name="40% - Accent6 3 4" xfId="1124" xr:uid="{2730D212-7748-4522-9921-4EE9B0263675}"/>
    <cellStyle name="40% - Accent6 3 4 2" xfId="3358" xr:uid="{CB889279-B9FC-475C-8E6B-B6DC1CFF21FA}"/>
    <cellStyle name="40% - Accent6 3 4 2 2" xfId="7573" xr:uid="{903FEB6B-3B15-42AE-9366-21EF09512E86}"/>
    <cellStyle name="40% - Accent6 3 4 3" xfId="5428" xr:uid="{3B169BBC-5676-43F3-BD58-D0392A86FAFF}"/>
    <cellStyle name="40% - Accent6 3 5" xfId="1955" xr:uid="{8122AE4D-5B14-476D-A707-F64949C82277}"/>
    <cellStyle name="40% - Accent6 3 5 2" xfId="3771" xr:uid="{4F05307A-FCE9-478A-8958-AC61B484624A}"/>
    <cellStyle name="40% - Accent6 3 5 2 2" xfId="7986" xr:uid="{C19B5376-04FB-40C8-9F0E-457699E9CE73}"/>
    <cellStyle name="40% - Accent6 3 5 3" xfId="5841" xr:uid="{DF6CEF73-896C-4400-9796-93AEF0864B76}"/>
    <cellStyle name="40% - Accent6 3 6" xfId="2368" xr:uid="{D279F33A-1191-4A13-9A93-AF63FBED3CA6}"/>
    <cellStyle name="40% - Accent6 3 6 2" xfId="4184" xr:uid="{B0A59EA3-52D1-4D15-91A5-BCD7070E9852}"/>
    <cellStyle name="40% - Accent6 3 6 2 2" xfId="8399" xr:uid="{5F300EE8-FCCB-4D17-89AF-E630169AB733}"/>
    <cellStyle name="40% - Accent6 3 6 3" xfId="6254" xr:uid="{2FC067C2-3515-46B4-A424-A8A520C3A39A}"/>
    <cellStyle name="40% - Accent6 3 7" xfId="2781" xr:uid="{F62AB705-B271-48EF-95E5-54970A3C39A3}"/>
    <cellStyle name="40% - Accent6 3 7 2" xfId="6667" xr:uid="{5D73E317-470E-4C09-8F2B-A6FED3937297}"/>
    <cellStyle name="40% - Accent6 3 8" xfId="4601" xr:uid="{87A68C81-B6E4-4341-8FCF-1673C757AA4B}"/>
    <cellStyle name="40% - Accent6 4" xfId="96" xr:uid="{00000000-0005-0000-0000-0000BD000000}"/>
    <cellStyle name="40% - Accent6 4 2" xfId="673" xr:uid="{00000000-0005-0000-0000-0000BE000000}"/>
    <cellStyle name="40% - Accent6 4 2 2" xfId="1542" xr:uid="{5F966396-F721-432E-B5A9-161F7EA66146}"/>
    <cellStyle name="40% - Accent6 4 2 2 2" xfId="7162" xr:uid="{7CEE4139-F3EF-4E1E-B810-BE88C49250DB}"/>
    <cellStyle name="40% - Accent6 4 2 3" xfId="5017" xr:uid="{D2A01D82-46E9-4391-AD4A-F4706A19C213}"/>
    <cellStyle name="40% - Accent6 4 3" xfId="1126" xr:uid="{15D49A4E-CE22-4556-9C8F-53519427AEF4}"/>
    <cellStyle name="40% - Accent6 4 3 2" xfId="3360" xr:uid="{5392102A-6399-450A-9BBF-191843C8EDA3}"/>
    <cellStyle name="40% - Accent6 4 3 2 2" xfId="7575" xr:uid="{15E15550-FF0E-49B9-BEEF-8756E62116DB}"/>
    <cellStyle name="40% - Accent6 4 3 3" xfId="5430" xr:uid="{0AE916D2-548F-48E1-BEF6-1811825106C2}"/>
    <cellStyle name="40% - Accent6 4 4" xfId="1957" xr:uid="{4828AB56-BB00-4F37-8F98-9CCA6E6FBCCD}"/>
    <cellStyle name="40% - Accent6 4 4 2" xfId="3773" xr:uid="{CDD644CE-8D75-4BEB-99CB-A2D30B3E3659}"/>
    <cellStyle name="40% - Accent6 4 4 2 2" xfId="7988" xr:uid="{8AC0A176-7DAA-4D90-8227-DBA837FC5302}"/>
    <cellStyle name="40% - Accent6 4 4 3" xfId="5843" xr:uid="{8FFCC5F6-95AE-4DC0-A177-DCB277627375}"/>
    <cellStyle name="40% - Accent6 4 5" xfId="2370" xr:uid="{8CE3E2A2-308C-4B22-A7F2-57D1BB4AF233}"/>
    <cellStyle name="40% - Accent6 4 5 2" xfId="4186" xr:uid="{56CBB2BE-A432-4EBF-A8E7-F723AF2DA08E}"/>
    <cellStyle name="40% - Accent6 4 5 2 2" xfId="8401" xr:uid="{8740A9E2-D357-4958-B216-E6E9B4C679F0}"/>
    <cellStyle name="40% - Accent6 4 5 3" xfId="6256" xr:uid="{33EA3B7E-9AB1-433B-B9AE-33B1A57856C4}"/>
    <cellStyle name="40% - Accent6 4 6" xfId="2783" xr:uid="{9B7C24B6-C1FC-4F5B-BD65-A6512AAA33C8}"/>
    <cellStyle name="40% - Accent6 4 6 2" xfId="6669" xr:uid="{31214313-8F51-4AD6-9268-6CED6F9EB783}"/>
    <cellStyle name="40% - Accent6 4 7" xfId="4603" xr:uid="{FE2183F1-6BC4-4BE4-86D8-CB6E11A8B59E}"/>
    <cellStyle name="40% - Accent6 5" xfId="666" xr:uid="{00000000-0005-0000-0000-0000BF000000}"/>
    <cellStyle name="40% - Accent6 5 2" xfId="1535" xr:uid="{853C42C1-58CB-4B6A-9008-8B402715847A}"/>
    <cellStyle name="40% - Accent6 5 2 2" xfId="7155" xr:uid="{AB3DFC67-64F7-4A45-8785-39429572EA93}"/>
    <cellStyle name="40% - Accent6 5 3" xfId="5010" xr:uid="{AD1F736D-BC02-4AA8-9042-7F9784AF068D}"/>
    <cellStyle name="40% - Accent6 6" xfId="1119" xr:uid="{48AD4D0E-82DC-4D52-AD8A-BE87D3146058}"/>
    <cellStyle name="40% - Accent6 6 2" xfId="3353" xr:uid="{CB131208-8F18-4122-AC9E-B97FEAA80C22}"/>
    <cellStyle name="40% - Accent6 6 2 2" xfId="7568" xr:uid="{3623EDC9-684D-4D0F-9DEA-A125965C744B}"/>
    <cellStyle name="40% - Accent6 6 3" xfId="5423" xr:uid="{143B8275-6CAB-497D-953D-0695C2E45359}"/>
    <cellStyle name="40% - Accent6 7" xfId="1950" xr:uid="{F64E6764-74FB-441D-BCDC-DF8C639CACE3}"/>
    <cellStyle name="40% - Accent6 7 2" xfId="3766" xr:uid="{D2698C68-8CA2-463D-86F6-A81E560E6FEE}"/>
    <cellStyle name="40% - Accent6 7 2 2" xfId="7981" xr:uid="{24139D59-DE4D-4C2E-976F-8177B84F243B}"/>
    <cellStyle name="40% - Accent6 7 3" xfId="5836" xr:uid="{68E51B8F-5EF9-46D7-9D08-ECC73213B6FA}"/>
    <cellStyle name="40% - Accent6 8" xfId="2363" xr:uid="{043A0A6B-7E8B-4455-A455-74A9F9304AF9}"/>
    <cellStyle name="40% - Accent6 8 2" xfId="4179" xr:uid="{F4C488B5-5F28-41ED-A629-52260A4B89A0}"/>
    <cellStyle name="40% - Accent6 8 2 2" xfId="8394" xr:uid="{F5D384E9-D1DD-4EDF-8C5E-C0164395503F}"/>
    <cellStyle name="40% - Accent6 8 3" xfId="6249" xr:uid="{5D0926B7-B9EA-43E4-AD8E-676CDB238FE2}"/>
    <cellStyle name="40% - Accent6 9" xfId="2776" xr:uid="{A4C1456E-44D4-42FB-8CAF-B8B07FC8271F}"/>
    <cellStyle name="40% - Accent6 9 2" xfId="6662" xr:uid="{AF05ECDD-D6EB-4724-BC41-A8E81E3F2C47}"/>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3184" xr:uid="{7EB551DC-BA96-4936-A3AA-C76D3DDEB625}"/>
    <cellStyle name="Comma 4 2 2 2 10 2" xfId="6987" xr:uid="{21C98AE8-086D-4EA1-AADE-CD426946681E}"/>
    <cellStyle name="Comma 4 2 2 2 11" xfId="4604" xr:uid="{CAE1D2CB-AE57-4FE4-BD01-C39D83CC46BD}"/>
    <cellStyle name="Comma 4 2 2 2 2" xfId="129" xr:uid="{00000000-0005-0000-0000-0000E0000000}"/>
    <cellStyle name="Comma 4 2 2 2 2 10" xfId="4605" xr:uid="{21A583E1-5CB8-4ACB-A46F-82EE9D0C1719}"/>
    <cellStyle name="Comma 4 2 2 2 2 2" xfId="130" xr:uid="{00000000-0005-0000-0000-0000E1000000}"/>
    <cellStyle name="Comma 4 2 2 2 2 2 2" xfId="676" xr:uid="{00000000-0005-0000-0000-0000E2000000}"/>
    <cellStyle name="Comma 4 2 2 2 2 2 2 2" xfId="1545" xr:uid="{AB193CA5-B99F-409D-8432-2DA171B51A1F}"/>
    <cellStyle name="Comma 4 2 2 2 2 2 2 2 2" xfId="7165" xr:uid="{0BDABEF3-655B-4B33-8C42-A21D96A70DD4}"/>
    <cellStyle name="Comma 4 2 2 2 2 2 2 3" xfId="5020" xr:uid="{4FC1C50B-789B-493C-80FD-9500946C0154}"/>
    <cellStyle name="Comma 4 2 2 2 2 2 3" xfId="1129" xr:uid="{DF57C0E0-24C0-4850-969D-A2123ECB10F0}"/>
    <cellStyle name="Comma 4 2 2 2 2 2 3 2" xfId="3363" xr:uid="{DA93E291-08B0-4FDA-B5C6-A4B40C913E87}"/>
    <cellStyle name="Comma 4 2 2 2 2 2 3 2 2" xfId="7578" xr:uid="{DC8E1BAD-E2F5-4767-8A4A-B34D37F7E8FF}"/>
    <cellStyle name="Comma 4 2 2 2 2 2 3 3" xfId="5433" xr:uid="{65192DE7-5895-498C-A9C2-823E13300551}"/>
    <cellStyle name="Comma 4 2 2 2 2 2 4" xfId="1960" xr:uid="{2C8A8786-EA82-4EEF-92D8-8DCA8989865F}"/>
    <cellStyle name="Comma 4 2 2 2 2 2 4 2" xfId="3776" xr:uid="{E26990C2-C529-411D-975B-A00581B64D8E}"/>
    <cellStyle name="Comma 4 2 2 2 2 2 4 2 2" xfId="7991" xr:uid="{0F47ECE9-1A64-432E-84EC-9B775DD02E48}"/>
    <cellStyle name="Comma 4 2 2 2 2 2 4 3" xfId="5846" xr:uid="{33C98DF4-2CA9-4225-B4A6-72C52E902D38}"/>
    <cellStyle name="Comma 4 2 2 2 2 2 5" xfId="2373" xr:uid="{1DA1E8A9-F10B-4A4A-B1A2-E731DB9CA8F0}"/>
    <cellStyle name="Comma 4 2 2 2 2 2 5 2" xfId="4189" xr:uid="{D3968E9F-A442-4AC3-88B8-02C4AE63CA61}"/>
    <cellStyle name="Comma 4 2 2 2 2 2 5 2 2" xfId="8404" xr:uid="{0544D88B-FF62-42DF-AB24-6702AE1D7870}"/>
    <cellStyle name="Comma 4 2 2 2 2 2 5 3" xfId="6259" xr:uid="{075241DA-73EA-4235-A5D8-416FDC36E3DF}"/>
    <cellStyle name="Comma 4 2 2 2 2 2 6" xfId="2808" xr:uid="{D41EBD76-711D-4940-A257-D4A89451BB58}"/>
    <cellStyle name="Comma 4 2 2 2 2 2 6 2" xfId="6672" xr:uid="{042CC051-8A48-44F5-93FA-9B7CCF1B6154}"/>
    <cellStyle name="Comma 4 2 2 2 2 2 7" xfId="2803" xr:uid="{60FA2F30-8DA5-425E-913C-F4DA2F5FB189}"/>
    <cellStyle name="Comma 4 2 2 2 2 2 8" xfId="3186" xr:uid="{6D623E3F-7B55-499A-BF67-F9617A944FAD}"/>
    <cellStyle name="Comma 4 2 2 2 2 2 8 2" xfId="6989" xr:uid="{A395E9D0-965F-49CD-8DC3-9734FAD626C2}"/>
    <cellStyle name="Comma 4 2 2 2 2 2 9" xfId="4606" xr:uid="{9B4B7146-D7BC-4F47-A15D-751B8A71FF68}"/>
    <cellStyle name="Comma 4 2 2 2 2 3" xfId="675" xr:uid="{00000000-0005-0000-0000-0000E3000000}"/>
    <cellStyle name="Comma 4 2 2 2 2 3 2" xfId="1544" xr:uid="{E80D2630-225A-48FB-890C-852EA3BAF113}"/>
    <cellStyle name="Comma 4 2 2 2 2 3 2 2" xfId="7164" xr:uid="{712E3E1E-F194-4B24-8AA6-6DA739FB3A05}"/>
    <cellStyle name="Comma 4 2 2 2 2 3 3" xfId="5019" xr:uid="{742CF2CE-A6DB-4B74-96E5-8E291CB3ED2E}"/>
    <cellStyle name="Comma 4 2 2 2 2 4" xfId="1128" xr:uid="{12AA6D02-4317-49BA-AC3C-15E842524668}"/>
    <cellStyle name="Comma 4 2 2 2 2 4 2" xfId="3362" xr:uid="{2C66AD1A-F5D6-453B-B1C6-119C509BB34E}"/>
    <cellStyle name="Comma 4 2 2 2 2 4 2 2" xfId="7577" xr:uid="{65E0AE0D-2C79-4986-9BF2-0EED5D7B177C}"/>
    <cellStyle name="Comma 4 2 2 2 2 4 3" xfId="5432" xr:uid="{AB8B74ED-E645-4A83-9AB1-58D2C9623D7D}"/>
    <cellStyle name="Comma 4 2 2 2 2 5" xfId="1959" xr:uid="{770752D9-AA97-44D8-B77C-C8A76A9A7E3B}"/>
    <cellStyle name="Comma 4 2 2 2 2 5 2" xfId="3775" xr:uid="{7E87F0D6-9C22-4CFB-9077-9BC8971B4DB2}"/>
    <cellStyle name="Comma 4 2 2 2 2 5 2 2" xfId="7990" xr:uid="{E2B13FDE-EE89-4A60-B85F-DD995E615AD6}"/>
    <cellStyle name="Comma 4 2 2 2 2 5 3" xfId="5845" xr:uid="{005CADCC-0F08-47B6-858A-B09CE62CCB11}"/>
    <cellStyle name="Comma 4 2 2 2 2 6" xfId="2372" xr:uid="{926AFAC5-5DF3-4402-BC1B-2F6AB0A7A016}"/>
    <cellStyle name="Comma 4 2 2 2 2 6 2" xfId="4188" xr:uid="{75052A0E-1F1F-4226-A091-C162D52A26BD}"/>
    <cellStyle name="Comma 4 2 2 2 2 6 2 2" xfId="8403" xr:uid="{3A20D551-A91B-4D5B-A78A-B1A8815F8E07}"/>
    <cellStyle name="Comma 4 2 2 2 2 6 3" xfId="6258" xr:uid="{ED5E83E2-D0A5-47DB-A8B0-0F9155FB4C13}"/>
    <cellStyle name="Comma 4 2 2 2 2 7" xfId="2807" xr:uid="{4EADC1E1-E7E7-45CF-9231-67EE2D0A3244}"/>
    <cellStyle name="Comma 4 2 2 2 2 7 2" xfId="6671" xr:uid="{29084D94-F2BE-4373-BA5C-0AE82575B51D}"/>
    <cellStyle name="Comma 4 2 2 2 2 8" xfId="2804" xr:uid="{2C83DF6F-B8DB-4A68-A5B9-62EEA0C0E404}"/>
    <cellStyle name="Comma 4 2 2 2 2 9" xfId="3185" xr:uid="{C476AB60-18F0-4726-B032-3DCB1DA7BBE7}"/>
    <cellStyle name="Comma 4 2 2 2 2 9 2" xfId="6988" xr:uid="{1F0FC9AE-9D7A-4E49-8D87-14399FD20F66}"/>
    <cellStyle name="Comma 4 2 2 2 3" xfId="131" xr:uid="{00000000-0005-0000-0000-0000E4000000}"/>
    <cellStyle name="Comma 4 2 2 2 3 2" xfId="677" xr:uid="{00000000-0005-0000-0000-0000E5000000}"/>
    <cellStyle name="Comma 4 2 2 2 3 2 2" xfId="1546" xr:uid="{0A6ADE9F-6E95-47D0-8868-BA8EDAF988B6}"/>
    <cellStyle name="Comma 4 2 2 2 3 2 2 2" xfId="7166" xr:uid="{7E3A678C-E54B-47E9-A5D4-3A513A04B8F9}"/>
    <cellStyle name="Comma 4 2 2 2 3 2 3" xfId="5021" xr:uid="{28A95003-CECA-479A-AABF-88B59684B06E}"/>
    <cellStyle name="Comma 4 2 2 2 3 3" xfId="1130" xr:uid="{9448770F-46E3-4B43-B2F0-206896FEEF4B}"/>
    <cellStyle name="Comma 4 2 2 2 3 3 2" xfId="3364" xr:uid="{BD55AB75-DCD6-49E1-A727-FAA6AB5780BC}"/>
    <cellStyle name="Comma 4 2 2 2 3 3 2 2" xfId="7579" xr:uid="{EE9F121B-6A6B-4EC4-A278-39990CB93E4E}"/>
    <cellStyle name="Comma 4 2 2 2 3 3 3" xfId="5434" xr:uid="{D8D96585-7CF1-4650-BD85-A054E4D195A7}"/>
    <cellStyle name="Comma 4 2 2 2 3 4" xfId="1961" xr:uid="{30D359B5-A145-41FE-8D14-FB48A9CA6BA4}"/>
    <cellStyle name="Comma 4 2 2 2 3 4 2" xfId="3777" xr:uid="{2C194C3F-6D95-4F46-9A1E-E26C17B46ED2}"/>
    <cellStyle name="Comma 4 2 2 2 3 4 2 2" xfId="7992" xr:uid="{4A3B81EF-73DC-45F6-B5BF-61BEFFF6C822}"/>
    <cellStyle name="Comma 4 2 2 2 3 4 3" xfId="5847" xr:uid="{E3BBF97C-F50E-4503-A571-1DD461BCAE66}"/>
    <cellStyle name="Comma 4 2 2 2 3 5" xfId="2374" xr:uid="{FF643C78-21B8-47F1-8D40-9DDDD93E1390}"/>
    <cellStyle name="Comma 4 2 2 2 3 5 2" xfId="4190" xr:uid="{0AE07041-5E05-4083-9AE7-3B49C0C39C8F}"/>
    <cellStyle name="Comma 4 2 2 2 3 5 2 2" xfId="8405" xr:uid="{E0E8BACC-27AB-40BC-8B0F-61207F918DCB}"/>
    <cellStyle name="Comma 4 2 2 2 3 5 3" xfId="6260" xr:uid="{F73EC04F-9ABC-4631-8BC6-58D91709F21B}"/>
    <cellStyle name="Comma 4 2 2 2 3 6" xfId="2809" xr:uid="{D922F8EE-E14B-4F11-80CC-8EBE022264EF}"/>
    <cellStyle name="Comma 4 2 2 2 3 6 2" xfId="6673" xr:uid="{313305D0-750D-4C76-B2E4-E20F63684521}"/>
    <cellStyle name="Comma 4 2 2 2 3 7" xfId="2802" xr:uid="{AACA6EC0-1A6A-4D1B-80E0-0B4A146C287F}"/>
    <cellStyle name="Comma 4 2 2 2 3 8" xfId="3187" xr:uid="{017B2042-EC55-4C0A-AEE3-5F73B3E62A4D}"/>
    <cellStyle name="Comma 4 2 2 2 3 8 2" xfId="6990" xr:uid="{0EB858B3-E82A-4F94-97BA-EBB398B4D144}"/>
    <cellStyle name="Comma 4 2 2 2 3 9" xfId="4607" xr:uid="{79B64961-135F-49C8-9722-3825250517FD}"/>
    <cellStyle name="Comma 4 2 2 2 4" xfId="674" xr:uid="{00000000-0005-0000-0000-0000E6000000}"/>
    <cellStyle name="Comma 4 2 2 2 4 2" xfId="1543" xr:uid="{B9ABFCBE-2567-4F1D-8D28-0A1265EEB4FA}"/>
    <cellStyle name="Comma 4 2 2 2 4 2 2" xfId="7163" xr:uid="{BEDE9051-C1C6-4F14-83BE-D06521FDDFD4}"/>
    <cellStyle name="Comma 4 2 2 2 4 3" xfId="5018" xr:uid="{74BB3623-2FD5-4B2E-945D-D5076098ACB1}"/>
    <cellStyle name="Comma 4 2 2 2 5" xfId="1127" xr:uid="{777E8491-8357-4DE8-BD89-1B5649B601F4}"/>
    <cellStyle name="Comma 4 2 2 2 5 2" xfId="3361" xr:uid="{3E4F31D0-FC8B-4E36-9CCB-992A82CF3C11}"/>
    <cellStyle name="Comma 4 2 2 2 5 2 2" xfId="7576" xr:uid="{276AAB10-C10E-4957-A91A-142FAAC9EF61}"/>
    <cellStyle name="Comma 4 2 2 2 5 3" xfId="5431" xr:uid="{33E3FA80-9BD6-4FA9-9F9C-FE104E3187B3}"/>
    <cellStyle name="Comma 4 2 2 2 6" xfId="1958" xr:uid="{94C8C838-A6D0-40EF-B30F-788AA681D01D}"/>
    <cellStyle name="Comma 4 2 2 2 6 2" xfId="3774" xr:uid="{24A0092F-F8D5-47BB-8EE0-C8517BEC4BD8}"/>
    <cellStyle name="Comma 4 2 2 2 6 2 2" xfId="7989" xr:uid="{4FC7DA2C-B6BC-4AFA-8D96-BFC8DF4A2FC5}"/>
    <cellStyle name="Comma 4 2 2 2 6 3" xfId="5844" xr:uid="{5BC06091-E352-49A9-84CD-9042BB0BDCD5}"/>
    <cellStyle name="Comma 4 2 2 2 7" xfId="2371" xr:uid="{5321A59B-4311-4BFF-84C1-474A8EF3D76F}"/>
    <cellStyle name="Comma 4 2 2 2 7 2" xfId="4187" xr:uid="{A72221C8-7504-4B6F-8CA3-3669EAD5395E}"/>
    <cellStyle name="Comma 4 2 2 2 7 2 2" xfId="8402" xr:uid="{5E315BF1-45A0-4FE3-890E-91458D79D367}"/>
    <cellStyle name="Comma 4 2 2 2 7 3" xfId="6257" xr:uid="{DC62BC11-CCE3-4BF9-A60F-A35C232529A3}"/>
    <cellStyle name="Comma 4 2 2 2 8" xfId="2806" xr:uid="{F954AF10-8DD2-40F7-91B2-85DD1BDCBE48}"/>
    <cellStyle name="Comma 4 2 2 2 8 2" xfId="6670" xr:uid="{A5EDB3F2-A7D5-4965-826C-4DFDE01B9199}"/>
    <cellStyle name="Comma 4 2 2 2 9" xfId="2805" xr:uid="{FFFF1130-E0F1-4B87-BAF4-420BB99B7AFC}"/>
    <cellStyle name="Comma 4 2 2 3" xfId="132" xr:uid="{00000000-0005-0000-0000-0000E7000000}"/>
    <cellStyle name="Comma 4 2 2 3 10" xfId="4608" xr:uid="{9231A630-A8A5-4871-B94A-DD0079FF9A7F}"/>
    <cellStyle name="Comma 4 2 2 3 2" xfId="133" xr:uid="{00000000-0005-0000-0000-0000E8000000}"/>
    <cellStyle name="Comma 4 2 2 3 2 2" xfId="679" xr:uid="{00000000-0005-0000-0000-0000E9000000}"/>
    <cellStyle name="Comma 4 2 2 3 2 2 2" xfId="1548" xr:uid="{2153FD37-00C8-4934-BE84-20A050CC574D}"/>
    <cellStyle name="Comma 4 2 2 3 2 2 2 2" xfId="7168" xr:uid="{487F7163-A370-4561-A09A-BB6A6FDF239E}"/>
    <cellStyle name="Comma 4 2 2 3 2 2 3" xfId="5023" xr:uid="{EB9F84EF-7E25-40D3-BA76-0B7C8F333F82}"/>
    <cellStyle name="Comma 4 2 2 3 2 3" xfId="1132" xr:uid="{6B6542D8-B58B-467F-A259-3D96E759CFFA}"/>
    <cellStyle name="Comma 4 2 2 3 2 3 2" xfId="3366" xr:uid="{E5A3A074-5EF2-4DC0-A59A-C751C94A4EB2}"/>
    <cellStyle name="Comma 4 2 2 3 2 3 2 2" xfId="7581" xr:uid="{7BDC1944-8E45-47C4-A86D-7D8858E5E7CA}"/>
    <cellStyle name="Comma 4 2 2 3 2 3 3" xfId="5436" xr:uid="{799A49BA-7DBC-4A05-BF55-EB8AA4AFCE2A}"/>
    <cellStyle name="Comma 4 2 2 3 2 4" xfId="1963" xr:uid="{8DBCB9EF-8B9B-4B11-9FAD-744A8216087B}"/>
    <cellStyle name="Comma 4 2 2 3 2 4 2" xfId="3779" xr:uid="{C9876BBF-9D30-4BB6-875E-DEC998403AAE}"/>
    <cellStyle name="Comma 4 2 2 3 2 4 2 2" xfId="7994" xr:uid="{A29B141D-55DC-4AE6-89C5-26C697791851}"/>
    <cellStyle name="Comma 4 2 2 3 2 4 3" xfId="5849" xr:uid="{B8C416FC-DAFA-4AF3-9F40-3862896F074F}"/>
    <cellStyle name="Comma 4 2 2 3 2 5" xfId="2376" xr:uid="{16B11437-7299-4ABF-989F-BE8559B8A68E}"/>
    <cellStyle name="Comma 4 2 2 3 2 5 2" xfId="4192" xr:uid="{9DFBB8AE-FF6A-4350-BCB5-8F0B6BD6FAE8}"/>
    <cellStyle name="Comma 4 2 2 3 2 5 2 2" xfId="8407" xr:uid="{862FBA7C-E0DF-4CC0-B3D3-C0CA76990D6A}"/>
    <cellStyle name="Comma 4 2 2 3 2 5 3" xfId="6262" xr:uid="{8774D6F8-F34C-4BC4-9BB2-3F09411D864C}"/>
    <cellStyle name="Comma 4 2 2 3 2 6" xfId="2811" xr:uid="{C830EAD1-3BE5-458D-890D-EF802A056111}"/>
    <cellStyle name="Comma 4 2 2 3 2 6 2" xfId="6675" xr:uid="{1502F926-11D1-4315-9D43-170A64237EF3}"/>
    <cellStyle name="Comma 4 2 2 3 2 7" xfId="2800" xr:uid="{785F63AE-6E58-4B25-A509-CD9EE8685C7F}"/>
    <cellStyle name="Comma 4 2 2 3 2 8" xfId="3189" xr:uid="{F290B843-488F-45CF-AA30-454C83839E25}"/>
    <cellStyle name="Comma 4 2 2 3 2 8 2" xfId="6992" xr:uid="{EA928D85-044C-4BCC-BB92-0ACB915CFCD0}"/>
    <cellStyle name="Comma 4 2 2 3 2 9" xfId="4609" xr:uid="{64139DCF-8F58-4CBF-B37C-6374C06E2E45}"/>
    <cellStyle name="Comma 4 2 2 3 3" xfId="678" xr:uid="{00000000-0005-0000-0000-0000EA000000}"/>
    <cellStyle name="Comma 4 2 2 3 3 2" xfId="1547" xr:uid="{7CEA3975-C866-41E7-9155-8C0011911377}"/>
    <cellStyle name="Comma 4 2 2 3 3 2 2" xfId="7167" xr:uid="{3F8E9261-A4FC-42F5-B791-EA9CAD12680B}"/>
    <cellStyle name="Comma 4 2 2 3 3 3" xfId="5022" xr:uid="{CAC721A2-D47E-42F7-B121-A73DC1EFBAE4}"/>
    <cellStyle name="Comma 4 2 2 3 4" xfId="1131" xr:uid="{38E2741A-8E0D-49A0-A078-0C29137DAA3C}"/>
    <cellStyle name="Comma 4 2 2 3 4 2" xfId="3365" xr:uid="{966889B2-4F0F-490B-9D50-07F531E0A24A}"/>
    <cellStyle name="Comma 4 2 2 3 4 2 2" xfId="7580" xr:uid="{1F7C3A6F-41A1-41BB-8711-7F612A16FB87}"/>
    <cellStyle name="Comma 4 2 2 3 4 3" xfId="5435" xr:uid="{A38BE4E3-18D3-4D39-BF95-3131136EB830}"/>
    <cellStyle name="Comma 4 2 2 3 5" xfId="1962" xr:uid="{E8E298D8-EDF4-49F6-9DA5-7173F4D4A3B6}"/>
    <cellStyle name="Comma 4 2 2 3 5 2" xfId="3778" xr:uid="{A274C1B5-24AD-4820-823A-EE5C06327665}"/>
    <cellStyle name="Comma 4 2 2 3 5 2 2" xfId="7993" xr:uid="{CE82B867-B278-4FE8-9225-9A4B6EEF7D94}"/>
    <cellStyle name="Comma 4 2 2 3 5 3" xfId="5848" xr:uid="{869B6D35-FFCB-4714-BA94-BAE38C810C85}"/>
    <cellStyle name="Comma 4 2 2 3 6" xfId="2375" xr:uid="{7FF21A42-BD33-41D8-A2F6-857A63876EE9}"/>
    <cellStyle name="Comma 4 2 2 3 6 2" xfId="4191" xr:uid="{6B040700-E673-40B9-9A7D-FF5231C4B84C}"/>
    <cellStyle name="Comma 4 2 2 3 6 2 2" xfId="8406" xr:uid="{B35819D9-B8F5-44FB-A708-4AF63D4F9283}"/>
    <cellStyle name="Comma 4 2 2 3 6 3" xfId="6261" xr:uid="{DC06D4E7-EDE8-42D0-ACA2-80BE1343E614}"/>
    <cellStyle name="Comma 4 2 2 3 7" xfId="2810" xr:uid="{1AD84BC1-AA87-49FE-829E-8F3AE34B6E6B}"/>
    <cellStyle name="Comma 4 2 2 3 7 2" xfId="6674" xr:uid="{F6154105-4105-45B7-9A0D-24140CD65F05}"/>
    <cellStyle name="Comma 4 2 2 3 8" xfId="2801" xr:uid="{DF84BB07-4D94-4E7E-9B12-D753CBB3AE99}"/>
    <cellStyle name="Comma 4 2 2 3 9" xfId="3188" xr:uid="{5B2CFE10-E24B-4026-83DC-CB1C0DA1F588}"/>
    <cellStyle name="Comma 4 2 2 3 9 2" xfId="6991" xr:uid="{0507DB94-CCA8-49E3-8E97-465460F55C8B}"/>
    <cellStyle name="Comma 4 2 2 4" xfId="134" xr:uid="{00000000-0005-0000-0000-0000EB000000}"/>
    <cellStyle name="Comma 4 2 2 4 2" xfId="680" xr:uid="{00000000-0005-0000-0000-0000EC000000}"/>
    <cellStyle name="Comma 4 2 2 4 2 2" xfId="1549" xr:uid="{241D5A60-F1E6-4553-AB05-D2972B25615B}"/>
    <cellStyle name="Comma 4 2 2 4 2 2 2" xfId="7169" xr:uid="{47E8DC98-7E9D-44DC-9C23-D20CB120F17F}"/>
    <cellStyle name="Comma 4 2 2 4 2 3" xfId="5024" xr:uid="{F52C7B57-FDEA-42B2-B6EE-14152DDAFEF5}"/>
    <cellStyle name="Comma 4 2 2 4 3" xfId="1133" xr:uid="{34B9D550-4A02-4016-B3D9-873423BA4DF3}"/>
    <cellStyle name="Comma 4 2 2 4 3 2" xfId="3367" xr:uid="{CAC8B27A-1A74-48D8-8A2A-85806E887753}"/>
    <cellStyle name="Comma 4 2 2 4 3 2 2" xfId="7582" xr:uid="{06E2ED9B-EA9A-4BBF-9B81-E93005560186}"/>
    <cellStyle name="Comma 4 2 2 4 3 3" xfId="5437" xr:uid="{529F538D-7CF8-412B-A6DA-183265014E04}"/>
    <cellStyle name="Comma 4 2 2 4 4" xfId="1964" xr:uid="{84B5B9F9-21E7-4662-B3E4-D31846F06BB7}"/>
    <cellStyle name="Comma 4 2 2 4 4 2" xfId="3780" xr:uid="{8B6B341C-3C10-4B63-AC4D-010854A96350}"/>
    <cellStyle name="Comma 4 2 2 4 4 2 2" xfId="7995" xr:uid="{7AD05E98-4CC7-4B8E-9F70-B19658E88171}"/>
    <cellStyle name="Comma 4 2 2 4 4 3" xfId="5850" xr:uid="{C25229D8-7673-4109-AE19-6F6E0E44D564}"/>
    <cellStyle name="Comma 4 2 2 4 5" xfId="2377" xr:uid="{FB5A71FD-90FC-4B7F-BE20-0FDA13A3DCF6}"/>
    <cellStyle name="Comma 4 2 2 4 5 2" xfId="4193" xr:uid="{37D0CE0E-4B31-4BDC-85D3-A97CE4F447CC}"/>
    <cellStyle name="Comma 4 2 2 4 5 2 2" xfId="8408" xr:uid="{3FF43130-689B-469F-8775-7C8D25ED1E22}"/>
    <cellStyle name="Comma 4 2 2 4 5 3" xfId="6263" xr:uid="{A1C55861-622E-421A-87E5-E5D7CC6C6EC0}"/>
    <cellStyle name="Comma 4 2 2 4 6" xfId="2812" xr:uid="{55282A30-46B6-40B7-AA81-0DC42B461A46}"/>
    <cellStyle name="Comma 4 2 2 4 6 2" xfId="6676" xr:uid="{96E58C6D-AA98-4E18-AD0B-4B2F304A827A}"/>
    <cellStyle name="Comma 4 2 2 4 7" xfId="2799" xr:uid="{68A3CCEA-E2AC-4329-B049-A94FAFA902E3}"/>
    <cellStyle name="Comma 4 2 2 4 8" xfId="3190" xr:uid="{8B1C5D23-0833-4181-81DA-FFAD9C17A930}"/>
    <cellStyle name="Comma 4 2 2 4 8 2" xfId="6993" xr:uid="{6974CC67-4CC2-4515-AE33-3234E9C47DF6}"/>
    <cellStyle name="Comma 4 2 2 4 9" xfId="4610" xr:uid="{33D2F1B1-C612-4F32-8BEE-D27C8F016693}"/>
    <cellStyle name="Comma 4 2 2 5" xfId="135" xr:uid="{00000000-0005-0000-0000-0000ED000000}"/>
    <cellStyle name="Comma 4 2 2 5 2" xfId="681" xr:uid="{00000000-0005-0000-0000-0000EE000000}"/>
    <cellStyle name="Comma 4 2 2 5 2 2" xfId="1550" xr:uid="{AF9F913D-A5E2-44B7-8B03-CB1F4F169728}"/>
    <cellStyle name="Comma 4 2 2 5 2 2 2" xfId="7170" xr:uid="{259E085C-86D9-489C-94FF-43D498F4CAA5}"/>
    <cellStyle name="Comma 4 2 2 5 2 3" xfId="5025" xr:uid="{5F0438A1-5B80-4D51-B5E7-B298C547676E}"/>
    <cellStyle name="Comma 4 2 2 5 3" xfId="1134" xr:uid="{16AA1C28-3524-4591-AA3B-8BA08A52CAE5}"/>
    <cellStyle name="Comma 4 2 2 5 3 2" xfId="3368" xr:uid="{6C974A68-EE41-4A23-88AE-635542739CDE}"/>
    <cellStyle name="Comma 4 2 2 5 3 2 2" xfId="7583" xr:uid="{0C4B859B-6C7C-4C13-B9DD-02DC8DE93272}"/>
    <cellStyle name="Comma 4 2 2 5 3 3" xfId="5438" xr:uid="{9BA82E54-FB47-4ED7-A52D-753790AE697C}"/>
    <cellStyle name="Comma 4 2 2 5 4" xfId="1965" xr:uid="{6774B357-D8E4-496E-AC87-58ACE93B603C}"/>
    <cellStyle name="Comma 4 2 2 5 4 2" xfId="3781" xr:uid="{5A85C313-7D28-439F-B6CA-EC3A265490C4}"/>
    <cellStyle name="Comma 4 2 2 5 4 2 2" xfId="7996" xr:uid="{B63C42DA-B339-447C-B333-30881ACF3424}"/>
    <cellStyle name="Comma 4 2 2 5 4 3" xfId="5851" xr:uid="{15DFE388-BA99-4F39-B3BF-1075C48E0F76}"/>
    <cellStyle name="Comma 4 2 2 5 5" xfId="2378" xr:uid="{19271AEC-D019-4476-9BDB-8E8A87FEE96C}"/>
    <cellStyle name="Comma 4 2 2 5 5 2" xfId="4194" xr:uid="{5CD9705A-6D86-4FFF-BE33-BEC616F12D93}"/>
    <cellStyle name="Comma 4 2 2 5 5 2 2" xfId="8409" xr:uid="{F4231CF3-84FE-421F-BFC8-363C3E14B202}"/>
    <cellStyle name="Comma 4 2 2 5 5 3" xfId="6264" xr:uid="{04E4E11A-C4B1-47CE-BFDD-291AD1BE46F3}"/>
    <cellStyle name="Comma 4 2 2 5 6" xfId="2813" xr:uid="{31ADE1E3-C48F-435A-9250-C6C4F7019A98}"/>
    <cellStyle name="Comma 4 2 2 5 6 2" xfId="6677" xr:uid="{79FD05CE-544A-4DAE-8434-492661A9C4F9}"/>
    <cellStyle name="Comma 4 2 2 5 7" xfId="2798" xr:uid="{73029C48-70F0-4B76-BF9C-60DBCD63B086}"/>
    <cellStyle name="Comma 4 2 2 5 8" xfId="3191" xr:uid="{FE29A44E-2AD0-443A-B504-4A14979D4D82}"/>
    <cellStyle name="Comma 4 2 2 5 8 2" xfId="6994" xr:uid="{2FF2A985-067E-4B71-8C9B-73D23B15139D}"/>
    <cellStyle name="Comma 4 2 2 5 9" xfId="4611" xr:uid="{8D628F69-54D7-41E5-B2FB-4499ED7B6A58}"/>
    <cellStyle name="Comma 4 2 3" xfId="136" xr:uid="{00000000-0005-0000-0000-0000EF000000}"/>
    <cellStyle name="Comma 4 2 3 10" xfId="3192" xr:uid="{8059A935-1C0D-4A7B-B714-EBB73AA6CC9E}"/>
    <cellStyle name="Comma 4 2 3 10 2" xfId="6995" xr:uid="{3FCA8743-85A2-4438-9557-DDDA60F9AE0B}"/>
    <cellStyle name="Comma 4 2 3 11" xfId="4612" xr:uid="{C5C9537D-8932-4ACB-8FF5-949C4C49534B}"/>
    <cellStyle name="Comma 4 2 3 2" xfId="137" xr:uid="{00000000-0005-0000-0000-0000F0000000}"/>
    <cellStyle name="Comma 4 2 3 2 10" xfId="4613" xr:uid="{37F6283B-E0E7-4A38-8968-C7BB63BDDF4E}"/>
    <cellStyle name="Comma 4 2 3 2 2" xfId="138" xr:uid="{00000000-0005-0000-0000-0000F1000000}"/>
    <cellStyle name="Comma 4 2 3 2 2 2" xfId="684" xr:uid="{00000000-0005-0000-0000-0000F2000000}"/>
    <cellStyle name="Comma 4 2 3 2 2 2 2" xfId="1553" xr:uid="{5B2F6D8F-E4C6-49D2-B169-767A80BF1592}"/>
    <cellStyle name="Comma 4 2 3 2 2 2 2 2" xfId="7173" xr:uid="{4983C4BB-8FC5-4175-91C1-41690A17D9D7}"/>
    <cellStyle name="Comma 4 2 3 2 2 2 3" xfId="5028" xr:uid="{BB65C7A2-DFEE-4BEB-9B3B-8B35FA4C8983}"/>
    <cellStyle name="Comma 4 2 3 2 2 3" xfId="1137" xr:uid="{498D0D26-FD26-4726-88D6-30B783A639D2}"/>
    <cellStyle name="Comma 4 2 3 2 2 3 2" xfId="3371" xr:uid="{3D6D0FDD-C5ED-4A8D-9821-B5CF5F193F0E}"/>
    <cellStyle name="Comma 4 2 3 2 2 3 2 2" xfId="7586" xr:uid="{CB18CF25-6075-4B5E-A3AB-566FD34AF4B2}"/>
    <cellStyle name="Comma 4 2 3 2 2 3 3" xfId="5441" xr:uid="{FFF52BCF-25C7-4628-8C66-16A3FC688E4E}"/>
    <cellStyle name="Comma 4 2 3 2 2 4" xfId="1968" xr:uid="{14463738-B7EE-4474-851B-B7D84BB3714E}"/>
    <cellStyle name="Comma 4 2 3 2 2 4 2" xfId="3784" xr:uid="{6E92B74A-9D1C-4E76-A9FC-F30A00C8C7E2}"/>
    <cellStyle name="Comma 4 2 3 2 2 4 2 2" xfId="7999" xr:uid="{79D2ABA9-E92F-4007-866B-D324DF7D1216}"/>
    <cellStyle name="Comma 4 2 3 2 2 4 3" xfId="5854" xr:uid="{A29E8409-D8BC-44C0-99C8-6E9BEABCC081}"/>
    <cellStyle name="Comma 4 2 3 2 2 5" xfId="2381" xr:uid="{4070E365-B519-4E6B-A271-3540C31FE597}"/>
    <cellStyle name="Comma 4 2 3 2 2 5 2" xfId="4197" xr:uid="{7F8EBCEB-7B30-420D-8A5C-69497753AE58}"/>
    <cellStyle name="Comma 4 2 3 2 2 5 2 2" xfId="8412" xr:uid="{AA5BAE5B-102E-4A69-995E-8A496A6DB6DB}"/>
    <cellStyle name="Comma 4 2 3 2 2 5 3" xfId="6267" xr:uid="{67701E6E-CC47-4CDB-A2CF-C963C16FB613}"/>
    <cellStyle name="Comma 4 2 3 2 2 6" xfId="2816" xr:uid="{E2BF338B-7D67-4B36-BA62-BC0400CB9D3D}"/>
    <cellStyle name="Comma 4 2 3 2 2 6 2" xfId="6680" xr:uid="{06560E7A-E58B-4CEF-A7A2-2FEC8187DD86}"/>
    <cellStyle name="Comma 4 2 3 2 2 7" xfId="2795" xr:uid="{46717106-4E64-440E-891F-A5FB04063D2A}"/>
    <cellStyle name="Comma 4 2 3 2 2 8" xfId="3194" xr:uid="{5A1566FA-46D7-4E7B-BF95-8418839F4B66}"/>
    <cellStyle name="Comma 4 2 3 2 2 8 2" xfId="6997" xr:uid="{88D6CC33-8AFE-45F4-ADCC-D1A4DFE31E93}"/>
    <cellStyle name="Comma 4 2 3 2 2 9" xfId="4614" xr:uid="{7721B8D7-26C4-49E5-9F9C-3E693E325949}"/>
    <cellStyle name="Comma 4 2 3 2 3" xfId="683" xr:uid="{00000000-0005-0000-0000-0000F3000000}"/>
    <cellStyle name="Comma 4 2 3 2 3 2" xfId="1552" xr:uid="{5257A578-1B23-4E7E-A067-F8FF57761DDC}"/>
    <cellStyle name="Comma 4 2 3 2 3 2 2" xfId="7172" xr:uid="{AE55EFFD-9D1D-400C-9986-8B73887A3BF0}"/>
    <cellStyle name="Comma 4 2 3 2 3 3" xfId="5027" xr:uid="{21F6D454-36F3-4AF6-A315-1974CF083060}"/>
    <cellStyle name="Comma 4 2 3 2 4" xfId="1136" xr:uid="{45CD12D2-ACDA-4930-B964-1C0BC43DE740}"/>
    <cellStyle name="Comma 4 2 3 2 4 2" xfId="3370" xr:uid="{A24C35C3-6159-4762-B4C6-E9765A77FED2}"/>
    <cellStyle name="Comma 4 2 3 2 4 2 2" xfId="7585" xr:uid="{5E272A2F-797E-4D0C-B302-36F1D4D03BF7}"/>
    <cellStyle name="Comma 4 2 3 2 4 3" xfId="5440" xr:uid="{A1991BD0-A7F0-4874-BB3D-E58D1AEE33C8}"/>
    <cellStyle name="Comma 4 2 3 2 5" xfId="1967" xr:uid="{6084B2D3-CFB6-4BBA-A26F-5E88CEB9CF7F}"/>
    <cellStyle name="Comma 4 2 3 2 5 2" xfId="3783" xr:uid="{0CA6A9A8-BAA5-464F-92E6-301A70691C95}"/>
    <cellStyle name="Comma 4 2 3 2 5 2 2" xfId="7998" xr:uid="{1A66C843-23EB-4258-BCA6-7A467A937F91}"/>
    <cellStyle name="Comma 4 2 3 2 5 3" xfId="5853" xr:uid="{2FB48554-3C58-4282-B5EE-D94203B9FF64}"/>
    <cellStyle name="Comma 4 2 3 2 6" xfId="2380" xr:uid="{303F5AB1-40DF-4A0E-B370-46E635FB8EDE}"/>
    <cellStyle name="Comma 4 2 3 2 6 2" xfId="4196" xr:uid="{5A226F1A-5EF2-4BAC-848B-664B9F381ACA}"/>
    <cellStyle name="Comma 4 2 3 2 6 2 2" xfId="8411" xr:uid="{DE1B3EAF-2D07-4351-9057-C398BC11CC83}"/>
    <cellStyle name="Comma 4 2 3 2 6 3" xfId="6266" xr:uid="{CF6AEB74-718A-4D01-926D-A725CFE4C255}"/>
    <cellStyle name="Comma 4 2 3 2 7" xfId="2815" xr:uid="{0CD7D932-641C-4A32-BBD0-DCC2436B0D69}"/>
    <cellStyle name="Comma 4 2 3 2 7 2" xfId="6679" xr:uid="{31A56603-7981-4FE1-B28D-1D345F334C06}"/>
    <cellStyle name="Comma 4 2 3 2 8" xfId="2796" xr:uid="{55AD86B4-6FC0-4BB7-80EB-A7081C6FDB50}"/>
    <cellStyle name="Comma 4 2 3 2 9" xfId="3193" xr:uid="{6724A7B2-B4FC-42E5-A097-3E4178B3C7E9}"/>
    <cellStyle name="Comma 4 2 3 2 9 2" xfId="6996" xr:uid="{740929D9-28A8-4D19-934F-D6AF9F895E76}"/>
    <cellStyle name="Comma 4 2 3 3" xfId="139" xr:uid="{00000000-0005-0000-0000-0000F4000000}"/>
    <cellStyle name="Comma 4 2 3 3 2" xfId="685" xr:uid="{00000000-0005-0000-0000-0000F5000000}"/>
    <cellStyle name="Comma 4 2 3 3 2 2" xfId="1554" xr:uid="{E5C2B004-8BB7-49A9-BD8D-9914B93B4F19}"/>
    <cellStyle name="Comma 4 2 3 3 2 2 2" xfId="7174" xr:uid="{54D68776-EE2B-4486-ABFD-F3EA9BEF17FF}"/>
    <cellStyle name="Comma 4 2 3 3 2 3" xfId="5029" xr:uid="{D2DAE84C-F2DC-4EA2-A5CF-6E215131585F}"/>
    <cellStyle name="Comma 4 2 3 3 3" xfId="1138" xr:uid="{961A7818-4FFA-4D75-9542-A6DAADCC39A7}"/>
    <cellStyle name="Comma 4 2 3 3 3 2" xfId="3372" xr:uid="{B455374B-3E9C-4145-85A5-FE4FB1A7D613}"/>
    <cellStyle name="Comma 4 2 3 3 3 2 2" xfId="7587" xr:uid="{E4B19037-746B-467E-B568-89D4B5CC2D89}"/>
    <cellStyle name="Comma 4 2 3 3 3 3" xfId="5442" xr:uid="{62DE36FE-48BF-4FBE-BD4D-A8F259B941C1}"/>
    <cellStyle name="Comma 4 2 3 3 4" xfId="1969" xr:uid="{B443FFEC-41A1-4D78-BD7C-25644FD99704}"/>
    <cellStyle name="Comma 4 2 3 3 4 2" xfId="3785" xr:uid="{918AFFE5-2124-4C71-A780-BC6677506CBA}"/>
    <cellStyle name="Comma 4 2 3 3 4 2 2" xfId="8000" xr:uid="{CB627F0B-D70C-44A4-9CFE-7EF730BF1550}"/>
    <cellStyle name="Comma 4 2 3 3 4 3" xfId="5855" xr:uid="{DCE552E4-9C79-4A94-B9BE-11B38EAAA585}"/>
    <cellStyle name="Comma 4 2 3 3 5" xfId="2382" xr:uid="{163C6AC5-33D0-44FF-8610-553A9152C2B0}"/>
    <cellStyle name="Comma 4 2 3 3 5 2" xfId="4198" xr:uid="{26EE0E43-9D6C-4D8E-AF6D-FEFB6F0CA719}"/>
    <cellStyle name="Comma 4 2 3 3 5 2 2" xfId="8413" xr:uid="{A61C9656-9C53-4F75-91FF-1ADC59F2F3BF}"/>
    <cellStyle name="Comma 4 2 3 3 5 3" xfId="6268" xr:uid="{7CF9912A-E34E-4C29-86B8-D2ED8D856866}"/>
    <cellStyle name="Comma 4 2 3 3 6" xfId="2817" xr:uid="{39131EDB-CBBA-4508-BDD8-411273E745AF}"/>
    <cellStyle name="Comma 4 2 3 3 6 2" xfId="6681" xr:uid="{4DBCD988-FDEE-422F-A346-50861C8DF3A2}"/>
    <cellStyle name="Comma 4 2 3 3 7" xfId="2794" xr:uid="{C923E8A4-2149-41C4-8B3E-1BDA3621A9C3}"/>
    <cellStyle name="Comma 4 2 3 3 8" xfId="3195" xr:uid="{94D94D68-296C-43FC-AB1C-D739825B8AA1}"/>
    <cellStyle name="Comma 4 2 3 3 8 2" xfId="6998" xr:uid="{8FA69F44-0F63-4E88-8C21-6D370ED300E9}"/>
    <cellStyle name="Comma 4 2 3 3 9" xfId="4615" xr:uid="{98A773E0-65D1-444B-8260-1ED4AEB03994}"/>
    <cellStyle name="Comma 4 2 3 4" xfId="682" xr:uid="{00000000-0005-0000-0000-0000F6000000}"/>
    <cellStyle name="Comma 4 2 3 4 2" xfId="1551" xr:uid="{06B7AB78-5239-4376-871C-BCC34126F800}"/>
    <cellStyle name="Comma 4 2 3 4 2 2" xfId="7171" xr:uid="{C89AFBFC-FAA9-487D-9F5C-202B55A6109C}"/>
    <cellStyle name="Comma 4 2 3 4 3" xfId="5026" xr:uid="{99BC1CDA-5EFC-41AF-A67A-5643F0E1F207}"/>
    <cellStyle name="Comma 4 2 3 5" xfId="1135" xr:uid="{E0AD46BE-0B2D-40A1-ACC1-AED52334E3DD}"/>
    <cellStyle name="Comma 4 2 3 5 2" xfId="3369" xr:uid="{C39DEDE2-0865-4D13-A90A-64BC946D5AE9}"/>
    <cellStyle name="Comma 4 2 3 5 2 2" xfId="7584" xr:uid="{D77F0BFA-5300-4E5F-AFB2-B225C6A580DB}"/>
    <cellStyle name="Comma 4 2 3 5 3" xfId="5439" xr:uid="{E45F5281-CF58-4316-B989-24A9445BE181}"/>
    <cellStyle name="Comma 4 2 3 6" xfId="1966" xr:uid="{BF9BC6A0-6B1D-432A-BEC4-2074BF6CE38B}"/>
    <cellStyle name="Comma 4 2 3 6 2" xfId="3782" xr:uid="{FCF64F9D-86A7-4F15-A858-2B116C79E87A}"/>
    <cellStyle name="Comma 4 2 3 6 2 2" xfId="7997" xr:uid="{E6F5E0EE-0588-4820-B853-13D16DD82DFF}"/>
    <cellStyle name="Comma 4 2 3 6 3" xfId="5852" xr:uid="{814CF8DE-2D0D-4A9B-804D-5547BEB5A9AB}"/>
    <cellStyle name="Comma 4 2 3 7" xfId="2379" xr:uid="{C0EE1BBF-720D-48F3-A50C-C58A06CF1319}"/>
    <cellStyle name="Comma 4 2 3 7 2" xfId="4195" xr:uid="{7EC5AF33-0A87-490D-BCF9-06941C2048E1}"/>
    <cellStyle name="Comma 4 2 3 7 2 2" xfId="8410" xr:uid="{3A63944F-43FF-4BE8-9F4E-EA1D14EBBDD7}"/>
    <cellStyle name="Comma 4 2 3 7 3" xfId="6265" xr:uid="{4CFD5424-78EA-413D-AEF5-59BD8582D93F}"/>
    <cellStyle name="Comma 4 2 3 8" xfId="2814" xr:uid="{FA3CDEE5-7677-4811-91FC-AD874EA3441F}"/>
    <cellStyle name="Comma 4 2 3 8 2" xfId="6678" xr:uid="{93B4F2E9-15C8-4EBC-BAE4-1BC8CEB5F423}"/>
    <cellStyle name="Comma 4 2 3 9" xfId="2797" xr:uid="{96596023-E718-4266-A5F7-28A06545D8F6}"/>
    <cellStyle name="Comma 4 2 4" xfId="140" xr:uid="{00000000-0005-0000-0000-0000F7000000}"/>
    <cellStyle name="Comma 4 2 4 10" xfId="4616" xr:uid="{DDB4F185-32CD-4F7D-A8A1-077CB44A24FC}"/>
    <cellStyle name="Comma 4 2 4 2" xfId="141" xr:uid="{00000000-0005-0000-0000-0000F8000000}"/>
    <cellStyle name="Comma 4 2 4 2 2" xfId="687" xr:uid="{00000000-0005-0000-0000-0000F9000000}"/>
    <cellStyle name="Comma 4 2 4 2 2 2" xfId="1556" xr:uid="{DCB42784-E7FC-4212-B194-7BC2199BB39B}"/>
    <cellStyle name="Comma 4 2 4 2 2 2 2" xfId="7176" xr:uid="{21487BAF-9267-4C10-A45F-85A2517C3CBF}"/>
    <cellStyle name="Comma 4 2 4 2 2 3" xfId="5031" xr:uid="{40BC4270-86EF-4484-90A0-81D8D8DB24F2}"/>
    <cellStyle name="Comma 4 2 4 2 3" xfId="1140" xr:uid="{6F2D6571-B663-4925-BE0C-153C0EBAC032}"/>
    <cellStyle name="Comma 4 2 4 2 3 2" xfId="3374" xr:uid="{7839B3A6-007C-4930-9AF4-B3364D37D518}"/>
    <cellStyle name="Comma 4 2 4 2 3 2 2" xfId="7589" xr:uid="{7E78453A-6863-4A47-B26D-7D8A465E46BA}"/>
    <cellStyle name="Comma 4 2 4 2 3 3" xfId="5444" xr:uid="{3470EAF9-120E-4ED3-B8CC-0260C4121E7A}"/>
    <cellStyle name="Comma 4 2 4 2 4" xfId="1971" xr:uid="{0CEAEBE2-6CF8-4593-BAA9-EB44FFF65355}"/>
    <cellStyle name="Comma 4 2 4 2 4 2" xfId="3787" xr:uid="{8A33616B-F4C5-4F4D-AF40-1F2CF8D587E9}"/>
    <cellStyle name="Comma 4 2 4 2 4 2 2" xfId="8002" xr:uid="{D433E50F-37B1-4E57-9141-1D9E3D47352D}"/>
    <cellStyle name="Comma 4 2 4 2 4 3" xfId="5857" xr:uid="{69E06C48-1E82-45DE-9784-060DA26164E9}"/>
    <cellStyle name="Comma 4 2 4 2 5" xfId="2384" xr:uid="{44E38D52-000F-4B81-872F-B4EE278F55D6}"/>
    <cellStyle name="Comma 4 2 4 2 5 2" xfId="4200" xr:uid="{A39EEB3A-EE07-4651-8B43-BF98CBCE4221}"/>
    <cellStyle name="Comma 4 2 4 2 5 2 2" xfId="8415" xr:uid="{6036F84F-6357-416D-A5FE-74E364407C56}"/>
    <cellStyle name="Comma 4 2 4 2 5 3" xfId="6270" xr:uid="{328145D6-E4E0-4E52-904D-48CBD980165C}"/>
    <cellStyle name="Comma 4 2 4 2 6" xfId="2819" xr:uid="{B27352B6-B334-4BE5-8DCF-AF5B1B729C46}"/>
    <cellStyle name="Comma 4 2 4 2 6 2" xfId="6683" xr:uid="{1217060E-3F57-475C-B8F3-0619ED59D8CE}"/>
    <cellStyle name="Comma 4 2 4 2 7" xfId="2792" xr:uid="{11E8787F-9475-4108-8053-3A383A68F9D1}"/>
    <cellStyle name="Comma 4 2 4 2 8" xfId="3197" xr:uid="{53C5B73E-CECE-4DEC-AF0B-2B527866C007}"/>
    <cellStyle name="Comma 4 2 4 2 8 2" xfId="7000" xr:uid="{93E59AE3-0EBF-4797-8481-EFD81EC8E512}"/>
    <cellStyle name="Comma 4 2 4 2 9" xfId="4617" xr:uid="{FEC0D172-2F53-4CFD-9BD6-ED572E298C68}"/>
    <cellStyle name="Comma 4 2 4 3" xfId="686" xr:uid="{00000000-0005-0000-0000-0000FA000000}"/>
    <cellStyle name="Comma 4 2 4 3 2" xfId="1555" xr:uid="{ED421065-6454-4F2C-8F0F-5E0F49E62189}"/>
    <cellStyle name="Comma 4 2 4 3 2 2" xfId="7175" xr:uid="{37ADC3AF-7DFB-45CD-ABD1-BF124B90D396}"/>
    <cellStyle name="Comma 4 2 4 3 3" xfId="5030" xr:uid="{B0E2DBCC-6554-468C-B055-B03A53AF725E}"/>
    <cellStyle name="Comma 4 2 4 4" xfId="1139" xr:uid="{6DAF466E-99D3-4332-8A3E-F24C445B711A}"/>
    <cellStyle name="Comma 4 2 4 4 2" xfId="3373" xr:uid="{B1DC1C86-E561-4FF2-A2DE-4FF0893F6059}"/>
    <cellStyle name="Comma 4 2 4 4 2 2" xfId="7588" xr:uid="{945722C9-E086-4C9A-AA55-F01DDAD3AD6B}"/>
    <cellStyle name="Comma 4 2 4 4 3" xfId="5443" xr:uid="{5D61F9F1-5087-4109-BE6C-07C02C098624}"/>
    <cellStyle name="Comma 4 2 4 5" xfId="1970" xr:uid="{3402A890-2652-4CF9-970E-27CC6542F6DA}"/>
    <cellStyle name="Comma 4 2 4 5 2" xfId="3786" xr:uid="{5C8986A4-666D-4C2F-9ABE-AF3D35FDB81C}"/>
    <cellStyle name="Comma 4 2 4 5 2 2" xfId="8001" xr:uid="{8E35337B-7A9C-4267-9CD6-F008AD5ED199}"/>
    <cellStyle name="Comma 4 2 4 5 3" xfId="5856" xr:uid="{E726ECD7-0933-4220-A354-A860CE11F148}"/>
    <cellStyle name="Comma 4 2 4 6" xfId="2383" xr:uid="{3C07F76B-A743-49EA-B0AE-48F93AC5E5F8}"/>
    <cellStyle name="Comma 4 2 4 6 2" xfId="4199" xr:uid="{0D760E90-5AE6-4C00-9E04-9452AE63EDA8}"/>
    <cellStyle name="Comma 4 2 4 6 2 2" xfId="8414" xr:uid="{3C9FCC5C-613D-41F8-B2A6-A32D0270C106}"/>
    <cellStyle name="Comma 4 2 4 6 3" xfId="6269" xr:uid="{457D7A23-4552-496C-AC63-54FE8E77DAAD}"/>
    <cellStyle name="Comma 4 2 4 7" xfId="2818" xr:uid="{27861572-6FDC-4610-B210-798F63831F1A}"/>
    <cellStyle name="Comma 4 2 4 7 2" xfId="6682" xr:uid="{14CA2E1C-7681-4936-9C2A-94E4A2C94FCF}"/>
    <cellStyle name="Comma 4 2 4 8" xfId="2793" xr:uid="{A2703BBB-1081-40B1-89E8-76D5FF748670}"/>
    <cellStyle name="Comma 4 2 4 9" xfId="3196" xr:uid="{245C3BBA-F93A-49A7-9C0A-B5675F00DB1C}"/>
    <cellStyle name="Comma 4 2 4 9 2" xfId="6999" xr:uid="{2B2E0942-4583-440F-AF71-F4562639FBAA}"/>
    <cellStyle name="Comma 4 2 5" xfId="142" xr:uid="{00000000-0005-0000-0000-0000FB000000}"/>
    <cellStyle name="Comma 4 2 5 2" xfId="688" xr:uid="{00000000-0005-0000-0000-0000FC000000}"/>
    <cellStyle name="Comma 4 2 5 2 2" xfId="1557" xr:uid="{429C0446-9D4A-4AAE-90B2-BEABB96BA76C}"/>
    <cellStyle name="Comma 4 2 5 2 2 2" xfId="7177" xr:uid="{BDC46E1F-6B20-46A3-A60B-F5E157CFFE10}"/>
    <cellStyle name="Comma 4 2 5 2 3" xfId="5032" xr:uid="{C940D5D4-38BC-4AF4-B464-694F384796F0}"/>
    <cellStyle name="Comma 4 2 5 3" xfId="1141" xr:uid="{65AE1983-5234-4836-B33E-AA64FBE1F44A}"/>
    <cellStyle name="Comma 4 2 5 3 2" xfId="3375" xr:uid="{E85FC972-639A-4622-8E02-CFE2D8AA3C64}"/>
    <cellStyle name="Comma 4 2 5 3 2 2" xfId="7590" xr:uid="{6E28BE14-7CA3-4709-AE3F-FFE134B6AD6D}"/>
    <cellStyle name="Comma 4 2 5 3 3" xfId="5445" xr:uid="{F2DFAE27-72CF-4526-86D2-DB58C040C986}"/>
    <cellStyle name="Comma 4 2 5 4" xfId="1972" xr:uid="{283CF7F1-5C38-481C-930A-2EB2A4E38E76}"/>
    <cellStyle name="Comma 4 2 5 4 2" xfId="3788" xr:uid="{4564ED63-EF6B-4C2C-AFE2-F40319AE4180}"/>
    <cellStyle name="Comma 4 2 5 4 2 2" xfId="8003" xr:uid="{AEF3BD95-479B-4F76-AC38-75A6B4263ECE}"/>
    <cellStyle name="Comma 4 2 5 4 3" xfId="5858" xr:uid="{294BBAA5-C0D3-4867-911A-8F53B0CD6F5D}"/>
    <cellStyle name="Comma 4 2 5 5" xfId="2385" xr:uid="{85AD9A54-75CF-4C58-A6BA-28A353A05F4B}"/>
    <cellStyle name="Comma 4 2 5 5 2" xfId="4201" xr:uid="{A2D2F5D6-3FAE-4948-9E4A-86CE9230ED4B}"/>
    <cellStyle name="Comma 4 2 5 5 2 2" xfId="8416" xr:uid="{D375A75B-23AE-4687-B145-A25FF8658B83}"/>
    <cellStyle name="Comma 4 2 5 5 3" xfId="6271" xr:uid="{3FC04402-4F08-419E-B3A6-44FCE0D8E7E4}"/>
    <cellStyle name="Comma 4 2 5 6" xfId="2820" xr:uid="{928193AA-350A-41C8-BF3A-BFA45C4DACD2}"/>
    <cellStyle name="Comma 4 2 5 6 2" xfId="6684" xr:uid="{A1905177-48E2-4F96-BC32-EAFEB5E47621}"/>
    <cellStyle name="Comma 4 2 5 7" xfId="2791" xr:uid="{4033D691-F4A8-434F-B8CA-483737069A6B}"/>
    <cellStyle name="Comma 4 2 5 8" xfId="3198" xr:uid="{B9F7883C-F705-4DEF-A421-BB1C515B6AF9}"/>
    <cellStyle name="Comma 4 2 5 8 2" xfId="7001" xr:uid="{248B71D4-1448-48A6-8714-7EBA8D7BEE38}"/>
    <cellStyle name="Comma 4 2 5 9" xfId="4618" xr:uid="{0009F0CA-A620-4A35-982D-4B3F2BC06A92}"/>
    <cellStyle name="Comma 4 2 6" xfId="143" xr:uid="{00000000-0005-0000-0000-0000FD000000}"/>
    <cellStyle name="Comma 4 2 6 2" xfId="689" xr:uid="{00000000-0005-0000-0000-0000FE000000}"/>
    <cellStyle name="Comma 4 2 6 2 2" xfId="1558" xr:uid="{52DF248C-8FA4-4522-8AF4-D7625F997129}"/>
    <cellStyle name="Comma 4 2 6 2 2 2" xfId="7178" xr:uid="{04D21100-49A6-43D1-A0F6-C901092578E0}"/>
    <cellStyle name="Comma 4 2 6 2 3" xfId="5033" xr:uid="{086E09E0-4CE0-4870-87FA-8207719818B2}"/>
    <cellStyle name="Comma 4 2 6 3" xfId="1142" xr:uid="{A3D61A22-EA16-439E-972A-A53F52E8EE39}"/>
    <cellStyle name="Comma 4 2 6 3 2" xfId="3376" xr:uid="{CB07824E-B84D-4A48-9F7B-3932C78895BC}"/>
    <cellStyle name="Comma 4 2 6 3 2 2" xfId="7591" xr:uid="{C4623ACC-2E2A-4BC8-B203-35EDF2C59846}"/>
    <cellStyle name="Comma 4 2 6 3 3" xfId="5446" xr:uid="{BC148DA8-12E3-41C8-935D-5851A5D59088}"/>
    <cellStyle name="Comma 4 2 6 4" xfId="1973" xr:uid="{1560E585-C61B-4A15-A579-8AC7DF643238}"/>
    <cellStyle name="Comma 4 2 6 4 2" xfId="3789" xr:uid="{DB015AF1-B127-44D5-A2B7-103CDEDAB151}"/>
    <cellStyle name="Comma 4 2 6 4 2 2" xfId="8004" xr:uid="{91EBB78E-4361-4EB1-8B82-9897725ACAFE}"/>
    <cellStyle name="Comma 4 2 6 4 3" xfId="5859" xr:uid="{5E0319ED-FE0A-4E6E-9A7A-4A1A72B2CABD}"/>
    <cellStyle name="Comma 4 2 6 5" xfId="2386" xr:uid="{F1CCC0A4-6349-4262-8F0F-FEA2A82381C2}"/>
    <cellStyle name="Comma 4 2 6 5 2" xfId="4202" xr:uid="{ED4725FB-4FBF-4BBF-831D-C5CACAFD7A9B}"/>
    <cellStyle name="Comma 4 2 6 5 2 2" xfId="8417" xr:uid="{007268DD-F00B-438F-9054-FA41FABE237A}"/>
    <cellStyle name="Comma 4 2 6 5 3" xfId="6272" xr:uid="{746BA148-ED57-487C-842E-E1CD6CE989BB}"/>
    <cellStyle name="Comma 4 2 6 6" xfId="2821" xr:uid="{939CBC97-6D9A-4CBB-ABEE-98D6F07E9369}"/>
    <cellStyle name="Comma 4 2 6 6 2" xfId="6685" xr:uid="{0D6597B8-0BF3-4AAD-860D-DB77CA1F0B9B}"/>
    <cellStyle name="Comma 4 2 6 7" xfId="2790" xr:uid="{7F2A0678-801D-459C-BF13-E5DE274B8194}"/>
    <cellStyle name="Comma 4 2 6 8" xfId="3199" xr:uid="{4344F0A2-69B9-45F4-BDA8-1AD52458FB41}"/>
    <cellStyle name="Comma 4 2 6 8 2" xfId="7002" xr:uid="{989E0C68-305C-48D6-8CF8-BD9D88B87A9E}"/>
    <cellStyle name="Comma 4 2 6 9" xfId="4619" xr:uid="{8D16BBF4-45C6-462A-825D-03CD2246EA18}"/>
    <cellStyle name="Comma 4 3" xfId="144" xr:uid="{00000000-0005-0000-0000-0000FF000000}"/>
    <cellStyle name="Comma 4 3 2" xfId="145" xr:uid="{00000000-0005-0000-0000-000000010000}"/>
    <cellStyle name="Comma 4 3 2 10" xfId="3200" xr:uid="{3FBD83A8-F8A3-41B7-B821-5E4399F6BAA7}"/>
    <cellStyle name="Comma 4 3 2 10 2" xfId="7003" xr:uid="{A352DEF2-1607-4EBA-A953-38CF84CDA6DF}"/>
    <cellStyle name="Comma 4 3 2 11" xfId="4620" xr:uid="{B2BE33DC-D03F-42D5-82FD-D2BC17A5CCCE}"/>
    <cellStyle name="Comma 4 3 2 2" xfId="146" xr:uid="{00000000-0005-0000-0000-000001010000}"/>
    <cellStyle name="Comma 4 3 2 2 10" xfId="4621" xr:uid="{BFE0B5D6-E8E4-460F-95FA-74BB39F17AD5}"/>
    <cellStyle name="Comma 4 3 2 2 2" xfId="147" xr:uid="{00000000-0005-0000-0000-000002010000}"/>
    <cellStyle name="Comma 4 3 2 2 2 2" xfId="692" xr:uid="{00000000-0005-0000-0000-000003010000}"/>
    <cellStyle name="Comma 4 3 2 2 2 2 2" xfId="1561" xr:uid="{A5FAF57D-F52A-4884-9DF2-2E1F7C74E0F9}"/>
    <cellStyle name="Comma 4 3 2 2 2 2 2 2" xfId="7181" xr:uid="{79B32362-7DB4-44BC-B3EF-46EE97926BA8}"/>
    <cellStyle name="Comma 4 3 2 2 2 2 3" xfId="5036" xr:uid="{20C8ADC9-405C-4EDF-986E-B5EDEED80FCB}"/>
    <cellStyle name="Comma 4 3 2 2 2 3" xfId="1145" xr:uid="{0C11427A-B72C-44A9-B3C7-A04737E08662}"/>
    <cellStyle name="Comma 4 3 2 2 2 3 2" xfId="3379" xr:uid="{E10EB980-6D67-4DC5-9410-9071D7CDA487}"/>
    <cellStyle name="Comma 4 3 2 2 2 3 2 2" xfId="7594" xr:uid="{19AB760F-2926-48DA-B47B-50D9BB2EE589}"/>
    <cellStyle name="Comma 4 3 2 2 2 3 3" xfId="5449" xr:uid="{5783E168-AF23-486C-A15C-12C11D968734}"/>
    <cellStyle name="Comma 4 3 2 2 2 4" xfId="1976" xr:uid="{679A6D94-4532-47D1-A333-FADFA26CD1F2}"/>
    <cellStyle name="Comma 4 3 2 2 2 4 2" xfId="3792" xr:uid="{7BC4605E-B3F0-4BAB-8BCE-D172CBAEFC12}"/>
    <cellStyle name="Comma 4 3 2 2 2 4 2 2" xfId="8007" xr:uid="{C587EE3C-973E-4D0B-A0C8-2FDA5B9F16CA}"/>
    <cellStyle name="Comma 4 3 2 2 2 4 3" xfId="5862" xr:uid="{0F12AA6A-20B8-44D9-8C2D-A788F3E25030}"/>
    <cellStyle name="Comma 4 3 2 2 2 5" xfId="2389" xr:uid="{D179795F-FF60-43E9-92F6-12C4FF5F4AC1}"/>
    <cellStyle name="Comma 4 3 2 2 2 5 2" xfId="4205" xr:uid="{CDBFAB14-63F7-4909-897B-14825092C0EE}"/>
    <cellStyle name="Comma 4 3 2 2 2 5 2 2" xfId="8420" xr:uid="{F974B79E-6DAF-4083-858E-235E5145795D}"/>
    <cellStyle name="Comma 4 3 2 2 2 5 3" xfId="6275" xr:uid="{D9A1DC37-E183-4890-89EB-5748CF2F5EB8}"/>
    <cellStyle name="Comma 4 3 2 2 2 6" xfId="2824" xr:uid="{C2064BD9-FDA4-47C8-9103-161F5A4E9790}"/>
    <cellStyle name="Comma 4 3 2 2 2 6 2" xfId="6688" xr:uid="{72A9CDE0-AFD9-41D5-942C-7765D65E25F3}"/>
    <cellStyle name="Comma 4 3 2 2 2 7" xfId="2787" xr:uid="{62976EF9-2976-4EA3-BC83-5861E56B7946}"/>
    <cellStyle name="Comma 4 3 2 2 2 8" xfId="3202" xr:uid="{25197F9E-295E-4E3F-811D-B405E1DFB4DD}"/>
    <cellStyle name="Comma 4 3 2 2 2 8 2" xfId="7005" xr:uid="{CE645A05-E90E-45AD-B062-9FDD1496A175}"/>
    <cellStyle name="Comma 4 3 2 2 2 9" xfId="4622" xr:uid="{D91F5A78-8ABC-40D2-A314-13D45D1B244E}"/>
    <cellStyle name="Comma 4 3 2 2 3" xfId="691" xr:uid="{00000000-0005-0000-0000-000004010000}"/>
    <cellStyle name="Comma 4 3 2 2 3 2" xfId="1560" xr:uid="{24BB713B-9335-408A-8257-FB741F32DC0C}"/>
    <cellStyle name="Comma 4 3 2 2 3 2 2" xfId="7180" xr:uid="{7545F4C8-8B5F-4E53-9707-BCF62EB1EC66}"/>
    <cellStyle name="Comma 4 3 2 2 3 3" xfId="5035" xr:uid="{B4D0D071-1D1A-4C28-82B0-1AE03F6690A7}"/>
    <cellStyle name="Comma 4 3 2 2 4" xfId="1144" xr:uid="{DD3784F7-0DC4-4C32-B77D-43F97BDF9181}"/>
    <cellStyle name="Comma 4 3 2 2 4 2" xfId="3378" xr:uid="{16174133-CF98-447D-9386-F5A404492035}"/>
    <cellStyle name="Comma 4 3 2 2 4 2 2" xfId="7593" xr:uid="{6B67C496-5A55-4E19-9DA2-96571C9EF448}"/>
    <cellStyle name="Comma 4 3 2 2 4 3" xfId="5448" xr:uid="{61BA23A0-1E20-4E66-8284-706485B3AABA}"/>
    <cellStyle name="Comma 4 3 2 2 5" xfId="1975" xr:uid="{F8FD7D25-0271-433D-9E3D-456855B70019}"/>
    <cellStyle name="Comma 4 3 2 2 5 2" xfId="3791" xr:uid="{8684FDB8-7EF4-43C3-9053-7A31D50F1042}"/>
    <cellStyle name="Comma 4 3 2 2 5 2 2" xfId="8006" xr:uid="{BF92B4CE-F95F-4AB3-9620-16741E5C4C4F}"/>
    <cellStyle name="Comma 4 3 2 2 5 3" xfId="5861" xr:uid="{56DF6533-BAF5-43FA-9C6E-04678788E1FD}"/>
    <cellStyle name="Comma 4 3 2 2 6" xfId="2388" xr:uid="{BF5EAB30-5BC7-4526-A945-D59C762F2530}"/>
    <cellStyle name="Comma 4 3 2 2 6 2" xfId="4204" xr:uid="{A37685C7-73AE-441F-A0FC-CE73605279AA}"/>
    <cellStyle name="Comma 4 3 2 2 6 2 2" xfId="8419" xr:uid="{BAF277EC-6337-4FD9-A619-341C43F9DF6F}"/>
    <cellStyle name="Comma 4 3 2 2 6 3" xfId="6274" xr:uid="{D8B1FBD9-93E2-496D-91E9-1007A9CAF912}"/>
    <cellStyle name="Comma 4 3 2 2 7" xfId="2823" xr:uid="{A87FA38D-0C9D-4147-85FD-778BB519D7F2}"/>
    <cellStyle name="Comma 4 3 2 2 7 2" xfId="6687" xr:uid="{B5F9CCC0-0197-4977-9093-90229E59ADAF}"/>
    <cellStyle name="Comma 4 3 2 2 8" xfId="2788" xr:uid="{E5C95DA4-9753-420E-B433-C1E95DA775E4}"/>
    <cellStyle name="Comma 4 3 2 2 9" xfId="3201" xr:uid="{337BB580-F1BF-4E72-899A-7C532C65CD10}"/>
    <cellStyle name="Comma 4 3 2 2 9 2" xfId="7004" xr:uid="{A3868258-3D20-4AC0-91A6-9D698C4D3651}"/>
    <cellStyle name="Comma 4 3 2 3" xfId="148" xr:uid="{00000000-0005-0000-0000-000005010000}"/>
    <cellStyle name="Comma 4 3 2 3 2" xfId="693" xr:uid="{00000000-0005-0000-0000-000006010000}"/>
    <cellStyle name="Comma 4 3 2 3 2 2" xfId="1562" xr:uid="{60B5BD7F-83C6-4047-8A92-F076A4A09D7B}"/>
    <cellStyle name="Comma 4 3 2 3 2 2 2" xfId="7182" xr:uid="{EC9F2EBF-9843-498E-99EC-9847743C2965}"/>
    <cellStyle name="Comma 4 3 2 3 2 3" xfId="5037" xr:uid="{F0A1D89A-7AEC-4598-B5E5-24974F6E5015}"/>
    <cellStyle name="Comma 4 3 2 3 3" xfId="1146" xr:uid="{B2410517-A446-43F0-B9B7-955B8E6676A4}"/>
    <cellStyle name="Comma 4 3 2 3 3 2" xfId="3380" xr:uid="{49ECE7A5-1B25-43BF-8D16-CCF7EB9D8C6C}"/>
    <cellStyle name="Comma 4 3 2 3 3 2 2" xfId="7595" xr:uid="{71D7B5F1-D531-46CF-8133-51AFEB40FE51}"/>
    <cellStyle name="Comma 4 3 2 3 3 3" xfId="5450" xr:uid="{1364E834-76DB-4FB6-B724-4110B50C61A7}"/>
    <cellStyle name="Comma 4 3 2 3 4" xfId="1977" xr:uid="{94744A7C-8B88-4F79-8E78-851878F489E2}"/>
    <cellStyle name="Comma 4 3 2 3 4 2" xfId="3793" xr:uid="{1C126152-A5AF-411D-A629-49E52AD4235F}"/>
    <cellStyle name="Comma 4 3 2 3 4 2 2" xfId="8008" xr:uid="{B163E841-0BC4-4456-B630-C43184500378}"/>
    <cellStyle name="Comma 4 3 2 3 4 3" xfId="5863" xr:uid="{0882AA58-AE65-4140-942C-5008F6B39373}"/>
    <cellStyle name="Comma 4 3 2 3 5" xfId="2390" xr:uid="{DCCAF661-16C2-45A7-8073-D60E63936B7C}"/>
    <cellStyle name="Comma 4 3 2 3 5 2" xfId="4206" xr:uid="{99953207-8F3C-4D92-8B8C-BEAE9C04B6D7}"/>
    <cellStyle name="Comma 4 3 2 3 5 2 2" xfId="8421" xr:uid="{FAD72BFA-C601-47F7-A19F-D31981F0E6AA}"/>
    <cellStyle name="Comma 4 3 2 3 5 3" xfId="6276" xr:uid="{2A9286A3-E353-4AF0-BB52-FC329F25D876}"/>
    <cellStyle name="Comma 4 3 2 3 6" xfId="2825" xr:uid="{E74EBBF9-C5CB-4B36-8E27-6D80E04CA3A9}"/>
    <cellStyle name="Comma 4 3 2 3 6 2" xfId="6689" xr:uid="{795CD386-88AA-4A59-9837-DD65CA40E4B7}"/>
    <cellStyle name="Comma 4 3 2 3 7" xfId="2786" xr:uid="{425022D9-BA2F-4F14-A58B-0B569697977A}"/>
    <cellStyle name="Comma 4 3 2 3 8" xfId="3203" xr:uid="{4AE086E5-E165-42FD-84DB-C1459F4CB271}"/>
    <cellStyle name="Comma 4 3 2 3 8 2" xfId="7006" xr:uid="{8D43FFBE-B0E4-4FB4-AF6C-4B83969E530D}"/>
    <cellStyle name="Comma 4 3 2 3 9" xfId="4623" xr:uid="{40B8EF49-D56A-4373-BA03-09875356DBD1}"/>
    <cellStyle name="Comma 4 3 2 4" xfId="690" xr:uid="{00000000-0005-0000-0000-000007010000}"/>
    <cellStyle name="Comma 4 3 2 4 2" xfId="1559" xr:uid="{90513A9A-6867-4E7F-9F94-56A73032F152}"/>
    <cellStyle name="Comma 4 3 2 4 2 2" xfId="7179" xr:uid="{CB3351CD-8389-40BC-92CE-9CF5CE9A014A}"/>
    <cellStyle name="Comma 4 3 2 4 3" xfId="5034" xr:uid="{965F9383-DDD2-4024-80C1-5384FCE79592}"/>
    <cellStyle name="Comma 4 3 2 5" xfId="1143" xr:uid="{63C14B71-650A-406C-A586-F83D90594C20}"/>
    <cellStyle name="Comma 4 3 2 5 2" xfId="3377" xr:uid="{7211F6A1-D969-4491-A1CA-7ACACC801C8E}"/>
    <cellStyle name="Comma 4 3 2 5 2 2" xfId="7592" xr:uid="{D8B220DE-CCBD-4C87-9BC4-3BD911DF32F5}"/>
    <cellStyle name="Comma 4 3 2 5 3" xfId="5447" xr:uid="{1F2F2BC8-A58C-4BB3-81DC-9A6B0FB8557F}"/>
    <cellStyle name="Comma 4 3 2 6" xfId="1974" xr:uid="{97CF15FE-BBDD-4CA6-8268-83A12BD638EB}"/>
    <cellStyle name="Comma 4 3 2 6 2" xfId="3790" xr:uid="{33A585D0-1E82-4DFA-9709-3FCDB4633442}"/>
    <cellStyle name="Comma 4 3 2 6 2 2" xfId="8005" xr:uid="{54EBB0EF-FE9B-45F8-8492-C80EAB348D5C}"/>
    <cellStyle name="Comma 4 3 2 6 3" xfId="5860" xr:uid="{BD96B472-76FA-401B-A6A6-693968DBCB90}"/>
    <cellStyle name="Comma 4 3 2 7" xfId="2387" xr:uid="{591FB7E7-B641-4518-B0B8-52460A7D580A}"/>
    <cellStyle name="Comma 4 3 2 7 2" xfId="4203" xr:uid="{E0AB8256-5432-4E66-B897-BF168487AFD2}"/>
    <cellStyle name="Comma 4 3 2 7 2 2" xfId="8418" xr:uid="{35D180DD-9592-4817-A152-F1496DA594E3}"/>
    <cellStyle name="Comma 4 3 2 7 3" xfId="6273" xr:uid="{03111FCF-24C8-4F92-912B-A2FBAC8CB469}"/>
    <cellStyle name="Comma 4 3 2 8" xfId="2822" xr:uid="{FDC3C86C-47F9-4536-863F-964B28C3E3A0}"/>
    <cellStyle name="Comma 4 3 2 8 2" xfId="6686" xr:uid="{D77BEEDB-AB81-4100-BAEF-3716F15F6DAA}"/>
    <cellStyle name="Comma 4 3 2 9" xfId="2789" xr:uid="{07F5C2F1-EEFA-4557-873B-B6BB5108DA4F}"/>
    <cellStyle name="Comma 4 3 3" xfId="149" xr:uid="{00000000-0005-0000-0000-000008010000}"/>
    <cellStyle name="Comma 4 3 3 10" xfId="4624" xr:uid="{C84E8DAD-FF31-4186-AD1C-B1DCB4C04CE2}"/>
    <cellStyle name="Comma 4 3 3 2" xfId="150" xr:uid="{00000000-0005-0000-0000-000009010000}"/>
    <cellStyle name="Comma 4 3 3 2 2" xfId="695" xr:uid="{00000000-0005-0000-0000-00000A010000}"/>
    <cellStyle name="Comma 4 3 3 2 2 2" xfId="1564" xr:uid="{7890BD3C-37DD-44A1-92E7-3A12804EEACC}"/>
    <cellStyle name="Comma 4 3 3 2 2 2 2" xfId="7184" xr:uid="{3958DF66-3A06-4D5A-AEDC-80C90D843240}"/>
    <cellStyle name="Comma 4 3 3 2 2 3" xfId="5039" xr:uid="{E7EDA120-EAF4-4CEF-BB85-90476FB2416C}"/>
    <cellStyle name="Comma 4 3 3 2 3" xfId="1148" xr:uid="{148250F1-E5C1-402E-BBBC-10B4E48E4754}"/>
    <cellStyle name="Comma 4 3 3 2 3 2" xfId="3382" xr:uid="{4FBC1BB0-6048-4D64-A147-33E1411E94D8}"/>
    <cellStyle name="Comma 4 3 3 2 3 2 2" xfId="7597" xr:uid="{205DD9C5-2745-4E5D-B241-25F34FD6AA92}"/>
    <cellStyle name="Comma 4 3 3 2 3 3" xfId="5452" xr:uid="{7A534B08-230E-4833-BC7C-39131A37DF2C}"/>
    <cellStyle name="Comma 4 3 3 2 4" xfId="1979" xr:uid="{226A2B99-3F65-4379-8679-64BD9C95CF58}"/>
    <cellStyle name="Comma 4 3 3 2 4 2" xfId="3795" xr:uid="{95C60B97-C297-4FC6-B83B-4F6AB964EF7C}"/>
    <cellStyle name="Comma 4 3 3 2 4 2 2" xfId="8010" xr:uid="{0693B0E2-8B08-411C-9292-0FF80C860DD0}"/>
    <cellStyle name="Comma 4 3 3 2 4 3" xfId="5865" xr:uid="{2FA27243-550C-4475-AC19-8D00FA2AE56C}"/>
    <cellStyle name="Comma 4 3 3 2 5" xfId="2392" xr:uid="{6DEE25EC-0723-47CA-92F8-90188585DB81}"/>
    <cellStyle name="Comma 4 3 3 2 5 2" xfId="4208" xr:uid="{2DB750B1-3B03-41A7-8B4D-BCE1AC0374CD}"/>
    <cellStyle name="Comma 4 3 3 2 5 2 2" xfId="8423" xr:uid="{329F2DB1-348F-4B06-9682-751987BE4A28}"/>
    <cellStyle name="Comma 4 3 3 2 5 3" xfId="6278" xr:uid="{CA257F8D-029A-4842-AB62-469542B9F4D8}"/>
    <cellStyle name="Comma 4 3 3 2 6" xfId="2827" xr:uid="{BCDD2D73-F081-465D-A462-CEA529B5FC2F}"/>
    <cellStyle name="Comma 4 3 3 2 6 2" xfId="6691" xr:uid="{2FC1A761-0A62-4310-BF84-2A57A867E09B}"/>
    <cellStyle name="Comma 4 3 3 2 7" xfId="2784" xr:uid="{A043615A-ED66-4E2B-B2C8-419C7D61948B}"/>
    <cellStyle name="Comma 4 3 3 2 8" xfId="3205" xr:uid="{E6B315AB-4EDF-4407-B736-6E00B80782DF}"/>
    <cellStyle name="Comma 4 3 3 2 8 2" xfId="7008" xr:uid="{71136A63-6AA5-4453-B78B-F9872E9EE6F1}"/>
    <cellStyle name="Comma 4 3 3 2 9" xfId="4625" xr:uid="{B743C50C-5CF4-4EB0-A66C-415221BCE43A}"/>
    <cellStyle name="Comma 4 3 3 3" xfId="694" xr:uid="{00000000-0005-0000-0000-00000B010000}"/>
    <cellStyle name="Comma 4 3 3 3 2" xfId="1563" xr:uid="{E82BEB67-1BAB-4773-9582-727F811A7823}"/>
    <cellStyle name="Comma 4 3 3 3 2 2" xfId="7183" xr:uid="{F03C2D74-96D5-4FB1-9E14-7FC804CE2BE4}"/>
    <cellStyle name="Comma 4 3 3 3 3" xfId="5038" xr:uid="{17640688-E03E-4E4D-B102-4452121CE060}"/>
    <cellStyle name="Comma 4 3 3 4" xfId="1147" xr:uid="{C091169C-BCFA-4900-A957-8B845F4C7385}"/>
    <cellStyle name="Comma 4 3 3 4 2" xfId="3381" xr:uid="{6A61C24F-D5E8-4127-BF28-9B919B1EF034}"/>
    <cellStyle name="Comma 4 3 3 4 2 2" xfId="7596" xr:uid="{303F80CF-CC4F-41CE-B565-796C881C6970}"/>
    <cellStyle name="Comma 4 3 3 4 3" xfId="5451" xr:uid="{319DC3DE-D49B-4043-BF54-73A5329C1739}"/>
    <cellStyle name="Comma 4 3 3 5" xfId="1978" xr:uid="{D9B5B209-1BCA-4994-A268-AE9E744A9051}"/>
    <cellStyle name="Comma 4 3 3 5 2" xfId="3794" xr:uid="{54AFEE34-BE02-47D5-84ED-AD9AFCF492F9}"/>
    <cellStyle name="Comma 4 3 3 5 2 2" xfId="8009" xr:uid="{2D78DBD5-9106-49EF-A726-5740ECF4D819}"/>
    <cellStyle name="Comma 4 3 3 5 3" xfId="5864" xr:uid="{CF2FF7A1-12E8-47A7-AA49-78ADAD284508}"/>
    <cellStyle name="Comma 4 3 3 6" xfId="2391" xr:uid="{8356F45F-3605-46E2-941F-BF0971FF91C9}"/>
    <cellStyle name="Comma 4 3 3 6 2" xfId="4207" xr:uid="{6DA64412-3682-4AB3-B9A3-40DF79B4DCC0}"/>
    <cellStyle name="Comma 4 3 3 6 2 2" xfId="8422" xr:uid="{BA1A0BD8-54DC-4265-ACB4-88BB09F53063}"/>
    <cellStyle name="Comma 4 3 3 6 3" xfId="6277" xr:uid="{BFE34295-9D38-4669-A430-DB4836F4591F}"/>
    <cellStyle name="Comma 4 3 3 7" xfId="2826" xr:uid="{252366C6-7A46-4DF1-A42A-2E92129A88B4}"/>
    <cellStyle name="Comma 4 3 3 7 2" xfId="6690" xr:uid="{1C8B88E9-E5A7-40F0-8EA7-E4E8D78B3652}"/>
    <cellStyle name="Comma 4 3 3 8" xfId="2785" xr:uid="{41521FE1-EE3A-4695-B360-5876F89A228B}"/>
    <cellStyle name="Comma 4 3 3 9" xfId="3204" xr:uid="{C5E9DC71-46AC-458F-927B-9C5CC8E6FB22}"/>
    <cellStyle name="Comma 4 3 3 9 2" xfId="7007" xr:uid="{22BDDEF6-CA0A-4BEC-8E8C-879FE23E9781}"/>
    <cellStyle name="Comma 4 3 4" xfId="151" xr:uid="{00000000-0005-0000-0000-00000C010000}"/>
    <cellStyle name="Comma 4 3 4 2" xfId="696" xr:uid="{00000000-0005-0000-0000-00000D010000}"/>
    <cellStyle name="Comma 4 3 4 2 2" xfId="1565" xr:uid="{DC5977B2-69B5-4793-A346-44212E0DE727}"/>
    <cellStyle name="Comma 4 3 4 2 2 2" xfId="7185" xr:uid="{8850701C-3AD6-4757-A3D7-CC9F1857C9A6}"/>
    <cellStyle name="Comma 4 3 4 2 3" xfId="5040" xr:uid="{FD415AE1-C6A9-4BEE-8AD3-B373FC695F22}"/>
    <cellStyle name="Comma 4 3 4 3" xfId="1149" xr:uid="{64679238-5CF9-4DF8-8887-A0CCEBDC3A62}"/>
    <cellStyle name="Comma 4 3 4 3 2" xfId="3383" xr:uid="{30536C7B-DD40-4686-82EE-F97B728EFDE1}"/>
    <cellStyle name="Comma 4 3 4 3 2 2" xfId="7598" xr:uid="{82D0CD0B-5F9C-4754-BB13-A1F6F8667EFF}"/>
    <cellStyle name="Comma 4 3 4 3 3" xfId="5453" xr:uid="{C31687FA-AF6F-46D0-A991-56DB89C2C9FE}"/>
    <cellStyle name="Comma 4 3 4 4" xfId="1980" xr:uid="{077C5501-F1BC-4562-9396-60495F709BA9}"/>
    <cellStyle name="Comma 4 3 4 4 2" xfId="3796" xr:uid="{32F48388-4407-48D8-A8E1-63C66CF2CE5A}"/>
    <cellStyle name="Comma 4 3 4 4 2 2" xfId="8011" xr:uid="{1596E74B-619E-4209-A260-AF405F4C8835}"/>
    <cellStyle name="Comma 4 3 4 4 3" xfId="5866" xr:uid="{276D6B1E-B9CD-4634-A5EE-E9F64FF08EC5}"/>
    <cellStyle name="Comma 4 3 4 5" xfId="2393" xr:uid="{08693B72-CDC9-4E4F-9604-61CEDA1C9543}"/>
    <cellStyle name="Comma 4 3 4 5 2" xfId="4209" xr:uid="{C1C0F546-28CF-406E-BFF7-E6B3C3885D19}"/>
    <cellStyle name="Comma 4 3 4 5 2 2" xfId="8424" xr:uid="{E8C04239-B441-4DE1-9AF7-FE77B627FBDC}"/>
    <cellStyle name="Comma 4 3 4 5 3" xfId="6279" xr:uid="{94685217-4CB0-4C6C-AA0E-20F634A2C43F}"/>
    <cellStyle name="Comma 4 3 4 6" xfId="2828" xr:uid="{31BB92D3-3D0A-443E-A55B-1F9B2979E60F}"/>
    <cellStyle name="Comma 4 3 4 6 2" xfId="6692" xr:uid="{48639929-7A61-41BA-B8AE-E47EE2D0D0FF}"/>
    <cellStyle name="Comma 4 3 4 7" xfId="3124" xr:uid="{E5D7997B-1096-4EED-830F-8EAFF41AB916}"/>
    <cellStyle name="Comma 4 3 4 8" xfId="3206" xr:uid="{8DF7B7A4-95A1-4A59-8453-29EA965B49F9}"/>
    <cellStyle name="Comma 4 3 4 8 2" xfId="7009" xr:uid="{36F0029F-080D-4379-B772-4CACE639B1D6}"/>
    <cellStyle name="Comma 4 3 4 9" xfId="4626" xr:uid="{9E863DDC-E263-4FB4-A6DD-F6465DE3A6FE}"/>
    <cellStyle name="Comma 4 3 5" xfId="152" xr:uid="{00000000-0005-0000-0000-00000E010000}"/>
    <cellStyle name="Comma 4 3 5 2" xfId="697" xr:uid="{00000000-0005-0000-0000-00000F010000}"/>
    <cellStyle name="Comma 4 3 5 2 2" xfId="1566" xr:uid="{9E30FFAE-1E92-47DD-AAF7-736AC9ACC886}"/>
    <cellStyle name="Comma 4 3 5 2 2 2" xfId="7186" xr:uid="{A8055870-078D-4C85-9FB5-B1C3EBA3F032}"/>
    <cellStyle name="Comma 4 3 5 2 3" xfId="5041" xr:uid="{96171784-5B24-4A1D-BC32-1F1688D07D20}"/>
    <cellStyle name="Comma 4 3 5 3" xfId="1150" xr:uid="{54DE50F0-BB4A-4CE0-A400-F29497592974}"/>
    <cellStyle name="Comma 4 3 5 3 2" xfId="3384" xr:uid="{E2686257-4EE7-4663-9374-58CB453EAFE9}"/>
    <cellStyle name="Comma 4 3 5 3 2 2" xfId="7599" xr:uid="{EC8AD29B-3110-4129-A889-3E14EA2303AF}"/>
    <cellStyle name="Comma 4 3 5 3 3" xfId="5454" xr:uid="{AF3CD626-C9A8-4F74-B57C-0BB32A01E3A0}"/>
    <cellStyle name="Comma 4 3 5 4" xfId="1981" xr:uid="{8CEE5BFF-6FD6-49A1-8F81-F25E4C66E68F}"/>
    <cellStyle name="Comma 4 3 5 4 2" xfId="3797" xr:uid="{F30F2620-B7D5-43AB-87DA-EC731B7A8148}"/>
    <cellStyle name="Comma 4 3 5 4 2 2" xfId="8012" xr:uid="{C08E8BE9-2122-44B6-9F98-55119D7F68BE}"/>
    <cellStyle name="Comma 4 3 5 4 3" xfId="5867" xr:uid="{B2884058-9DA2-47CE-B0E3-E1FC2695C87C}"/>
    <cellStyle name="Comma 4 3 5 5" xfId="2394" xr:uid="{66DE5F7E-63D1-4014-A191-B882E0212DFD}"/>
    <cellStyle name="Comma 4 3 5 5 2" xfId="4210" xr:uid="{097D8243-F4BE-4A02-96EE-D5337EF47E3B}"/>
    <cellStyle name="Comma 4 3 5 5 2 2" xfId="8425" xr:uid="{13F2340D-D2DD-47FC-9071-AD0798B8EF09}"/>
    <cellStyle name="Comma 4 3 5 5 3" xfId="6280" xr:uid="{07C74F59-66B5-4579-BD3F-BBE21E3E45AB}"/>
    <cellStyle name="Comma 4 3 5 6" xfId="2829" xr:uid="{9D8D8309-81BB-496C-9FF1-3F6859FD4572}"/>
    <cellStyle name="Comma 4 3 5 6 2" xfId="6693" xr:uid="{C5AFE327-C96A-4CA1-904A-B87BD4CCC42A}"/>
    <cellStyle name="Comma 4 3 5 7" xfId="3125" xr:uid="{ED1F57C4-45A1-488B-89B5-772CFB2A26D3}"/>
    <cellStyle name="Comma 4 3 5 8" xfId="3207" xr:uid="{A4ABE1E7-BE6B-4FE0-873E-49AA66E0427F}"/>
    <cellStyle name="Comma 4 3 5 8 2" xfId="7010" xr:uid="{DE7EBFC9-66C2-4E1A-B078-6EDFF6E92F03}"/>
    <cellStyle name="Comma 4 3 5 9" xfId="4627" xr:uid="{BB9DA00D-BDB0-43A5-A5A5-D17A46F1B91C}"/>
    <cellStyle name="Comma 4 4" xfId="153" xr:uid="{00000000-0005-0000-0000-000010010000}"/>
    <cellStyle name="Comma 4 4 10" xfId="3208" xr:uid="{CF15509D-AC75-43BE-B2EC-DE1486BEEF0E}"/>
    <cellStyle name="Comma 4 4 10 2" xfId="7011" xr:uid="{966EC74D-FDD2-4F98-8886-D8A29ACCC3CF}"/>
    <cellStyle name="Comma 4 4 11" xfId="4628" xr:uid="{DA6B63FB-4E94-4DAC-9415-0733B879F46F}"/>
    <cellStyle name="Comma 4 4 2" xfId="154" xr:uid="{00000000-0005-0000-0000-000011010000}"/>
    <cellStyle name="Comma 4 4 2 10" xfId="4629" xr:uid="{62D54A97-9EC2-428C-A604-C25574F274BB}"/>
    <cellStyle name="Comma 4 4 2 2" xfId="155" xr:uid="{00000000-0005-0000-0000-000012010000}"/>
    <cellStyle name="Comma 4 4 2 2 2" xfId="700" xr:uid="{00000000-0005-0000-0000-000013010000}"/>
    <cellStyle name="Comma 4 4 2 2 2 2" xfId="1569" xr:uid="{478BDB78-AF28-41C5-B07D-A4979A377BA4}"/>
    <cellStyle name="Comma 4 4 2 2 2 2 2" xfId="7189" xr:uid="{8BB06D4F-4FA6-4154-A1D8-257D31418DC9}"/>
    <cellStyle name="Comma 4 4 2 2 2 3" xfId="5044" xr:uid="{C9F8A18F-938E-4730-B498-85F52BD2A816}"/>
    <cellStyle name="Comma 4 4 2 2 3" xfId="1153" xr:uid="{DA96ECE2-8B3F-4443-8AA0-2D26F3A587DD}"/>
    <cellStyle name="Comma 4 4 2 2 3 2" xfId="3387" xr:uid="{7C974715-C0B9-498B-9BB3-C3422606E6FC}"/>
    <cellStyle name="Comma 4 4 2 2 3 2 2" xfId="7602" xr:uid="{90940E4E-89B6-467E-A4DC-DBF7F3586A26}"/>
    <cellStyle name="Comma 4 4 2 2 3 3" xfId="5457" xr:uid="{55FE7CF7-3B82-4E03-ADE8-778F9487A15B}"/>
    <cellStyle name="Comma 4 4 2 2 4" xfId="1984" xr:uid="{C6D99CB0-3A0D-4F36-B330-A767A6141912}"/>
    <cellStyle name="Comma 4 4 2 2 4 2" xfId="3800" xr:uid="{03E8C68D-5EA9-4164-A89A-485C5A12836B}"/>
    <cellStyle name="Comma 4 4 2 2 4 2 2" xfId="8015" xr:uid="{5AB30421-B5E3-4B89-818A-4F0A5768368F}"/>
    <cellStyle name="Comma 4 4 2 2 4 3" xfId="5870" xr:uid="{92C36B28-7194-4862-9C32-A79CECEF963A}"/>
    <cellStyle name="Comma 4 4 2 2 5" xfId="2397" xr:uid="{E970C10E-3F29-4871-A1E8-AE822A8F7510}"/>
    <cellStyle name="Comma 4 4 2 2 5 2" xfId="4213" xr:uid="{FDDC9622-7F9C-4083-961B-524729CBA541}"/>
    <cellStyle name="Comma 4 4 2 2 5 2 2" xfId="8428" xr:uid="{C8910320-BC60-4B0B-96BD-C05BEDABA8CA}"/>
    <cellStyle name="Comma 4 4 2 2 5 3" xfId="6283" xr:uid="{3AEDECB4-9519-4CCB-A08B-7362522D39B0}"/>
    <cellStyle name="Comma 4 4 2 2 6" xfId="2832" xr:uid="{11E78792-8A1E-4688-A455-77D69DD963E8}"/>
    <cellStyle name="Comma 4 4 2 2 6 2" xfId="6696" xr:uid="{FEB98EC2-D4E1-4905-80D1-4775C5A920D9}"/>
    <cellStyle name="Comma 4 4 2 2 7" xfId="3128" xr:uid="{3E2EBF85-1CBA-45A5-BF18-0F94D5D74C24}"/>
    <cellStyle name="Comma 4 4 2 2 8" xfId="3210" xr:uid="{BECF163E-F991-4DC3-98DF-C0064335E454}"/>
    <cellStyle name="Comma 4 4 2 2 8 2" xfId="7013" xr:uid="{4B8BB7F4-58D5-4F3C-85E3-33849222E6B5}"/>
    <cellStyle name="Comma 4 4 2 2 9" xfId="4630" xr:uid="{377329E1-9336-4051-9A67-F3CCA6F1E535}"/>
    <cellStyle name="Comma 4 4 2 3" xfId="699" xr:uid="{00000000-0005-0000-0000-000014010000}"/>
    <cellStyle name="Comma 4 4 2 3 2" xfId="1568" xr:uid="{B7A7631E-4EBA-4277-B83C-1363F5BDCF55}"/>
    <cellStyle name="Comma 4 4 2 3 2 2" xfId="7188" xr:uid="{6B93D358-6855-418A-AD73-1161E20FD16C}"/>
    <cellStyle name="Comma 4 4 2 3 3" xfId="5043" xr:uid="{237C7AEF-032A-4D6D-A77B-B041E3E88FDC}"/>
    <cellStyle name="Comma 4 4 2 4" xfId="1152" xr:uid="{3F7765BE-C62A-4C5A-9171-31BB9BB3BF82}"/>
    <cellStyle name="Comma 4 4 2 4 2" xfId="3386" xr:uid="{802EA63F-FA74-4AE8-9799-00E966A1A118}"/>
    <cellStyle name="Comma 4 4 2 4 2 2" xfId="7601" xr:uid="{F02653C8-523E-4A3F-82D6-CFCA3793B7F0}"/>
    <cellStyle name="Comma 4 4 2 4 3" xfId="5456" xr:uid="{93C861AC-8EF3-42A3-88C0-81C3D44A87F0}"/>
    <cellStyle name="Comma 4 4 2 5" xfId="1983" xr:uid="{C9DA3544-7311-48AD-BAC4-F993A45AB2CA}"/>
    <cellStyle name="Comma 4 4 2 5 2" xfId="3799" xr:uid="{908751AC-F231-4AAA-940A-8D30803D69C1}"/>
    <cellStyle name="Comma 4 4 2 5 2 2" xfId="8014" xr:uid="{323EC05E-073F-44D3-A93E-E4FA4707E00E}"/>
    <cellStyle name="Comma 4 4 2 5 3" xfId="5869" xr:uid="{876A9D46-5B66-4107-86F3-A7CCE98690C3}"/>
    <cellStyle name="Comma 4 4 2 6" xfId="2396" xr:uid="{B189D82F-9DAC-4C54-92C6-95EE84F93280}"/>
    <cellStyle name="Comma 4 4 2 6 2" xfId="4212" xr:uid="{385221DC-EAD4-4D30-8D8B-04C6EE06D3F4}"/>
    <cellStyle name="Comma 4 4 2 6 2 2" xfId="8427" xr:uid="{8884971C-498D-488F-BEE4-1A6818722E06}"/>
    <cellStyle name="Comma 4 4 2 6 3" xfId="6282" xr:uid="{A30DAC2D-609C-4D37-A198-2169C0243D49}"/>
    <cellStyle name="Comma 4 4 2 7" xfId="2831" xr:uid="{8ACD0DC2-AD77-49BF-BE9C-0F45558414E6}"/>
    <cellStyle name="Comma 4 4 2 7 2" xfId="6695" xr:uid="{5D3BA811-DA7B-4087-8DC8-E7119CE70A14}"/>
    <cellStyle name="Comma 4 4 2 8" xfId="3127" xr:uid="{1F5BEBF6-679A-4B5F-B91D-32DD926341B7}"/>
    <cellStyle name="Comma 4 4 2 9" xfId="3209" xr:uid="{878EC1EB-01D8-47BF-9831-8D3CA17B5E0A}"/>
    <cellStyle name="Comma 4 4 2 9 2" xfId="7012" xr:uid="{AB71BC55-603B-4D81-8B16-6013857F4519}"/>
    <cellStyle name="Comma 4 4 3" xfId="156" xr:uid="{00000000-0005-0000-0000-000015010000}"/>
    <cellStyle name="Comma 4 4 3 2" xfId="701" xr:uid="{00000000-0005-0000-0000-000016010000}"/>
    <cellStyle name="Comma 4 4 3 2 2" xfId="1570" xr:uid="{06F80D7E-4C2A-4698-B794-B992D2364A62}"/>
    <cellStyle name="Comma 4 4 3 2 2 2" xfId="7190" xr:uid="{94ED7624-B8D3-442C-9762-A05CF74D16EF}"/>
    <cellStyle name="Comma 4 4 3 2 3" xfId="5045" xr:uid="{BB266351-7D9D-4C19-8A06-85ECE850DDA2}"/>
    <cellStyle name="Comma 4 4 3 3" xfId="1154" xr:uid="{7CD5ACE9-EBA9-493A-9A8A-56D9B6D856AD}"/>
    <cellStyle name="Comma 4 4 3 3 2" xfId="3388" xr:uid="{73A2C7D1-7B2A-463E-991B-73817793B786}"/>
    <cellStyle name="Comma 4 4 3 3 2 2" xfId="7603" xr:uid="{E769616F-B0AB-4913-988D-7B90FDCBBF36}"/>
    <cellStyle name="Comma 4 4 3 3 3" xfId="5458" xr:uid="{C3640A42-DCE0-4121-BD1B-2CFC8F9B170F}"/>
    <cellStyle name="Comma 4 4 3 4" xfId="1985" xr:uid="{E2C8DA37-4FA0-41EF-BA29-5742437C78EB}"/>
    <cellStyle name="Comma 4 4 3 4 2" xfId="3801" xr:uid="{99712E15-1213-44CC-87AD-594F4241A4D5}"/>
    <cellStyle name="Comma 4 4 3 4 2 2" xfId="8016" xr:uid="{A742A335-76BE-4884-80CC-AD437FEED789}"/>
    <cellStyle name="Comma 4 4 3 4 3" xfId="5871" xr:uid="{BB1F5E07-080A-4CB7-9874-C7675331A2DF}"/>
    <cellStyle name="Comma 4 4 3 5" xfId="2398" xr:uid="{9840DF9D-1ED2-49E6-BE5E-257D3DCC99FE}"/>
    <cellStyle name="Comma 4 4 3 5 2" xfId="4214" xr:uid="{0053C1A6-CC44-4BD2-BA5D-5AD99333176C}"/>
    <cellStyle name="Comma 4 4 3 5 2 2" xfId="8429" xr:uid="{D1A91C37-7FBB-4322-82F6-1AD7E84DBB5F}"/>
    <cellStyle name="Comma 4 4 3 5 3" xfId="6284" xr:uid="{EA6AAFA7-1C11-4D66-9180-0C0F37CD9687}"/>
    <cellStyle name="Comma 4 4 3 6" xfId="2833" xr:uid="{4B8FE8F5-FD38-44BA-B5F3-81A596606E4D}"/>
    <cellStyle name="Comma 4 4 3 6 2" xfId="6697" xr:uid="{05B4E3BD-63B1-4F24-8B59-105832F52734}"/>
    <cellStyle name="Comma 4 4 3 7" xfId="3129" xr:uid="{0566507D-538C-4128-8618-2B85F07D671A}"/>
    <cellStyle name="Comma 4 4 3 8" xfId="3211" xr:uid="{907EA78B-E4C3-4D6C-B020-0D6D2F7474C5}"/>
    <cellStyle name="Comma 4 4 3 8 2" xfId="7014" xr:uid="{BE4417F3-78E3-4183-8739-6AA397C376BB}"/>
    <cellStyle name="Comma 4 4 3 9" xfId="4631" xr:uid="{713A17A7-A0DC-477E-A5D2-E3A81A66EDEB}"/>
    <cellStyle name="Comma 4 4 4" xfId="698" xr:uid="{00000000-0005-0000-0000-000017010000}"/>
    <cellStyle name="Comma 4 4 4 2" xfId="1567" xr:uid="{0090A060-4448-4485-9D53-DAE658C2F1DE}"/>
    <cellStyle name="Comma 4 4 4 2 2" xfId="7187" xr:uid="{420DEA69-EF59-4E4D-8872-196031C369EB}"/>
    <cellStyle name="Comma 4 4 4 3" xfId="5042" xr:uid="{C39B8557-0460-44FD-9035-978095683F76}"/>
    <cellStyle name="Comma 4 4 5" xfId="1151" xr:uid="{865D3BD6-C030-48FD-93C3-3188FB4BCA97}"/>
    <cellStyle name="Comma 4 4 5 2" xfId="3385" xr:uid="{0CF4A49E-5CC9-47DF-98F3-D37A96A18ED8}"/>
    <cellStyle name="Comma 4 4 5 2 2" xfId="7600" xr:uid="{6C15D367-EB80-4123-ACA3-37565D1129B3}"/>
    <cellStyle name="Comma 4 4 5 3" xfId="5455" xr:uid="{F089D8A7-C59F-4F29-B8DD-B6A5FEA35138}"/>
    <cellStyle name="Comma 4 4 6" xfId="1982" xr:uid="{D4CD6FBE-CD1E-4C8D-9F06-821C918FB789}"/>
    <cellStyle name="Comma 4 4 6 2" xfId="3798" xr:uid="{26C2314B-25F6-4E6F-9EAF-13D911E17CCF}"/>
    <cellStyle name="Comma 4 4 6 2 2" xfId="8013" xr:uid="{FD700C76-31A1-46D2-8259-9C36D8A662BB}"/>
    <cellStyle name="Comma 4 4 6 3" xfId="5868" xr:uid="{E191C302-452A-41FF-9B66-4DAB5E9EF5A9}"/>
    <cellStyle name="Comma 4 4 7" xfId="2395" xr:uid="{892A3D92-C3C7-4157-A4CE-BF261F9BE64C}"/>
    <cellStyle name="Comma 4 4 7 2" xfId="4211" xr:uid="{CC378250-F6C1-4158-A386-344BB15CDFBF}"/>
    <cellStyle name="Comma 4 4 7 2 2" xfId="8426" xr:uid="{317EC8FE-4CAE-4E31-B01E-01A862B4A62B}"/>
    <cellStyle name="Comma 4 4 7 3" xfId="6281" xr:uid="{213FC577-2718-42A9-B185-F8BFBF5BF495}"/>
    <cellStyle name="Comma 4 4 8" xfId="2830" xr:uid="{A9234B97-580D-4370-A038-3BE7106B2CA8}"/>
    <cellStyle name="Comma 4 4 8 2" xfId="6694" xr:uid="{4545CBD8-4379-45D9-87D4-0A16159958E3}"/>
    <cellStyle name="Comma 4 4 9" xfId="3126" xr:uid="{25E6928A-058A-4CDC-B39D-4F064FD96480}"/>
    <cellStyle name="Comma 4 5" xfId="157" xr:uid="{00000000-0005-0000-0000-000018010000}"/>
    <cellStyle name="Comma 4 5 10" xfId="4632" xr:uid="{B275C368-4886-4746-BD5D-1C5E488FF3BB}"/>
    <cellStyle name="Comma 4 5 2" xfId="158" xr:uid="{00000000-0005-0000-0000-000019010000}"/>
    <cellStyle name="Comma 4 5 2 2" xfId="703" xr:uid="{00000000-0005-0000-0000-00001A010000}"/>
    <cellStyle name="Comma 4 5 2 2 2" xfId="1572" xr:uid="{1B015B45-169D-4BD4-9B2A-F290B13220E6}"/>
    <cellStyle name="Comma 4 5 2 2 2 2" xfId="7192" xr:uid="{9A20C30F-7E0D-4985-A00C-22BA59E7041D}"/>
    <cellStyle name="Comma 4 5 2 2 3" xfId="5047" xr:uid="{EBDD471B-3D38-44FE-AAB0-A638355D5F1C}"/>
    <cellStyle name="Comma 4 5 2 3" xfId="1156" xr:uid="{C3EA341D-89B8-40A0-B8C2-3136C6531872}"/>
    <cellStyle name="Comma 4 5 2 3 2" xfId="3390" xr:uid="{B7253D67-FAC2-40A9-AA8B-4F39963DB10B}"/>
    <cellStyle name="Comma 4 5 2 3 2 2" xfId="7605" xr:uid="{61B0DC96-931E-4F49-A500-7BE0143A3970}"/>
    <cellStyle name="Comma 4 5 2 3 3" xfId="5460" xr:uid="{47E40F61-0DB5-49A9-98C6-FED44D1C72F9}"/>
    <cellStyle name="Comma 4 5 2 4" xfId="1987" xr:uid="{7FB781A1-D076-4885-845A-E694474868A2}"/>
    <cellStyle name="Comma 4 5 2 4 2" xfId="3803" xr:uid="{1F39BDC8-1A9F-438E-8D52-83CEA676246B}"/>
    <cellStyle name="Comma 4 5 2 4 2 2" xfId="8018" xr:uid="{EF967802-9319-4532-8B32-93563A99D002}"/>
    <cellStyle name="Comma 4 5 2 4 3" xfId="5873" xr:uid="{484E6F69-5154-4EBD-B27F-3CC722CC2E32}"/>
    <cellStyle name="Comma 4 5 2 5" xfId="2400" xr:uid="{8A396DC6-27D3-4E40-9DC7-1F30D7E9C30D}"/>
    <cellStyle name="Comma 4 5 2 5 2" xfId="4216" xr:uid="{4EC59ED8-3A58-40E2-AE6A-B9B714BE8B32}"/>
    <cellStyle name="Comma 4 5 2 5 2 2" xfId="8431" xr:uid="{32989E59-A46C-4F87-A06E-C8E1CDB0C919}"/>
    <cellStyle name="Comma 4 5 2 5 3" xfId="6286" xr:uid="{BC447171-31E1-456C-9A49-51F14F190A0F}"/>
    <cellStyle name="Comma 4 5 2 6" xfId="2835" xr:uid="{B88BB81D-CE67-4124-A8FE-EDA77708145F}"/>
    <cellStyle name="Comma 4 5 2 6 2" xfId="6699" xr:uid="{108901E0-1B8D-4A40-AE7E-C6AA2DDA2E41}"/>
    <cellStyle name="Comma 4 5 2 7" xfId="3131" xr:uid="{6401BF08-2F4C-493F-9539-3AC8743331D2}"/>
    <cellStyle name="Comma 4 5 2 8" xfId="3213" xr:uid="{115E43B1-79DC-4644-9345-8B9AA2838C10}"/>
    <cellStyle name="Comma 4 5 2 8 2" xfId="7016" xr:uid="{54559437-0CDB-4332-85F4-F56AB01D5EFF}"/>
    <cellStyle name="Comma 4 5 2 9" xfId="4633" xr:uid="{C57F5744-84A9-49EE-8819-2A040428881B}"/>
    <cellStyle name="Comma 4 5 3" xfId="702" xr:uid="{00000000-0005-0000-0000-00001B010000}"/>
    <cellStyle name="Comma 4 5 3 2" xfId="1571" xr:uid="{5AFBE65C-9ED6-44AA-8635-7594C3FA8252}"/>
    <cellStyle name="Comma 4 5 3 2 2" xfId="7191" xr:uid="{A927999E-1E9D-4514-AF96-EE7999353228}"/>
    <cellStyle name="Comma 4 5 3 3" xfId="5046" xr:uid="{5C67F90D-7477-42DB-A2ED-08A26B5C3794}"/>
    <cellStyle name="Comma 4 5 4" xfId="1155" xr:uid="{1A998D33-5208-4E45-9A15-11245D217486}"/>
    <cellStyle name="Comma 4 5 4 2" xfId="3389" xr:uid="{0C520A7A-E1AE-4A6A-B489-C100EAF74656}"/>
    <cellStyle name="Comma 4 5 4 2 2" xfId="7604" xr:uid="{0748B6B0-468F-46C1-AF1B-008978A20404}"/>
    <cellStyle name="Comma 4 5 4 3" xfId="5459" xr:uid="{6E642B39-DCA2-4700-B4E3-01BB0F27E426}"/>
    <cellStyle name="Comma 4 5 5" xfId="1986" xr:uid="{9A1209CA-AB24-4C44-9A8B-75BA1611CF9C}"/>
    <cellStyle name="Comma 4 5 5 2" xfId="3802" xr:uid="{FCB72A0B-9B1B-4A76-BECF-D3EFADC94B19}"/>
    <cellStyle name="Comma 4 5 5 2 2" xfId="8017" xr:uid="{93B12019-B3FC-4F00-957E-44FFFB1DD067}"/>
    <cellStyle name="Comma 4 5 5 3" xfId="5872" xr:uid="{604C0DC0-D386-4735-BABE-0868EE5B6EC7}"/>
    <cellStyle name="Comma 4 5 6" xfId="2399" xr:uid="{72044223-0647-4E21-9A5E-532955F597B2}"/>
    <cellStyle name="Comma 4 5 6 2" xfId="4215" xr:uid="{A9CF5C5C-1FEC-4167-B3C0-71B87DFE6851}"/>
    <cellStyle name="Comma 4 5 6 2 2" xfId="8430" xr:uid="{420D6AB7-01C1-4219-9B4B-D272EB4C8AD5}"/>
    <cellStyle name="Comma 4 5 6 3" xfId="6285" xr:uid="{BBD91CC8-D71C-4FD3-9BAD-7E9054F25E22}"/>
    <cellStyle name="Comma 4 5 7" xfId="2834" xr:uid="{7A28CAD4-21F7-4C1F-8676-492B91581956}"/>
    <cellStyle name="Comma 4 5 7 2" xfId="6698" xr:uid="{B6E6E3FB-21EC-4479-97BC-0A9AB3EAB313}"/>
    <cellStyle name="Comma 4 5 8" xfId="3130" xr:uid="{A898ABFA-56A6-4949-BFB6-88727BE382C9}"/>
    <cellStyle name="Comma 4 5 9" xfId="3212" xr:uid="{8F3EF23A-8B41-40A8-8714-CBBCE85D3B21}"/>
    <cellStyle name="Comma 4 5 9 2" xfId="7015" xr:uid="{CCA323BF-23A1-421B-B935-A0D8A19DEF27}"/>
    <cellStyle name="Comma 4 6" xfId="159" xr:uid="{00000000-0005-0000-0000-00001C010000}"/>
    <cellStyle name="Comma 4 6 2" xfId="704" xr:uid="{00000000-0005-0000-0000-00001D010000}"/>
    <cellStyle name="Comma 4 6 2 2" xfId="1573" xr:uid="{CB3CB843-31C6-42EA-903C-2ED1AC8845E0}"/>
    <cellStyle name="Comma 4 6 2 2 2" xfId="7193" xr:uid="{4E8682A3-416E-4A6A-98D7-E4645E0F2F8B}"/>
    <cellStyle name="Comma 4 6 2 3" xfId="5048" xr:uid="{862618E7-47AD-420A-A293-109624EDF759}"/>
    <cellStyle name="Comma 4 6 3" xfId="1157" xr:uid="{D7279111-9F2D-48E4-BE1E-F8203E29FBBB}"/>
    <cellStyle name="Comma 4 6 3 2" xfId="3391" xr:uid="{1EEFC09D-CC9C-4AB3-85C6-1C4959724638}"/>
    <cellStyle name="Comma 4 6 3 2 2" xfId="7606" xr:uid="{64B01E1D-76C7-423E-A1F5-1C1C25E74180}"/>
    <cellStyle name="Comma 4 6 3 3" xfId="5461" xr:uid="{ACB519D2-795B-4BB7-BF9D-922EC736DA7D}"/>
    <cellStyle name="Comma 4 6 4" xfId="1988" xr:uid="{0C49A8E8-5185-4AA4-B52A-C4E70B4A16AF}"/>
    <cellStyle name="Comma 4 6 4 2" xfId="3804" xr:uid="{47009486-42CF-4D43-8EBE-FAE382DA2A91}"/>
    <cellStyle name="Comma 4 6 4 2 2" xfId="8019" xr:uid="{C74CD3C3-FED6-4FCB-B253-588313EC9F3E}"/>
    <cellStyle name="Comma 4 6 4 3" xfId="5874" xr:uid="{C4CE1F50-374E-4B27-8161-F9ECF564B6EA}"/>
    <cellStyle name="Comma 4 6 5" xfId="2401" xr:uid="{74446EA3-7BA9-422A-BC19-57EB3CA61745}"/>
    <cellStyle name="Comma 4 6 5 2" xfId="4217" xr:uid="{C97129F7-6BD7-40F3-8878-E5A0BF1421DE}"/>
    <cellStyle name="Comma 4 6 5 2 2" xfId="8432" xr:uid="{986D8824-673B-4888-B4A0-449D53ACF4EA}"/>
    <cellStyle name="Comma 4 6 5 3" xfId="6287" xr:uid="{AB9640DA-502E-4251-9A49-C508FE9CFFF4}"/>
    <cellStyle name="Comma 4 6 6" xfId="2836" xr:uid="{F263863E-F8FF-4DC1-9919-6D5BF5493DD9}"/>
    <cellStyle name="Comma 4 6 6 2" xfId="6700" xr:uid="{06B17342-62D9-4CDA-B675-9345013EA0A5}"/>
    <cellStyle name="Comma 4 6 7" xfId="3132" xr:uid="{C5082354-3F11-4419-A3E7-7C7513CD93ED}"/>
    <cellStyle name="Comma 4 6 8" xfId="3214" xr:uid="{CDEB568B-DE49-49D3-B02C-8EA861933666}"/>
    <cellStyle name="Comma 4 6 8 2" xfId="7017" xr:uid="{1EE1D817-37BA-42E3-8373-CF61AA19C0AF}"/>
    <cellStyle name="Comma 4 6 9" xfId="4634" xr:uid="{570B002B-8521-4CF0-A835-31725ACD20DB}"/>
    <cellStyle name="Comma 4 7" xfId="160" xr:uid="{00000000-0005-0000-0000-00001E010000}"/>
    <cellStyle name="Comma 4 7 2" xfId="705" xr:uid="{00000000-0005-0000-0000-00001F010000}"/>
    <cellStyle name="Comma 4 7 2 2" xfId="1574" xr:uid="{04438356-3441-44D9-AC6C-E0F4CF0CDA4F}"/>
    <cellStyle name="Comma 4 7 2 2 2" xfId="7194" xr:uid="{76D9F820-9CE4-4ABA-826E-8047D0E0CA6C}"/>
    <cellStyle name="Comma 4 7 2 3" xfId="5049" xr:uid="{42786050-D093-4910-84EA-639D2936ABAE}"/>
    <cellStyle name="Comma 4 7 3" xfId="1158" xr:uid="{CE008015-631D-4574-97E5-BB13539B45FC}"/>
    <cellStyle name="Comma 4 7 3 2" xfId="3392" xr:uid="{C894FF08-D47C-4D28-81C9-2F7B35121432}"/>
    <cellStyle name="Comma 4 7 3 2 2" xfId="7607" xr:uid="{65A7CAED-187C-430E-9150-F4B259D4E616}"/>
    <cellStyle name="Comma 4 7 3 3" xfId="5462" xr:uid="{E7BA7CA8-A83B-4511-B75E-E7F5BB6F9B25}"/>
    <cellStyle name="Comma 4 7 4" xfId="1989" xr:uid="{96588755-35C7-415E-88B0-D836045813B8}"/>
    <cellStyle name="Comma 4 7 4 2" xfId="3805" xr:uid="{4F4CC6C0-A722-42AC-B40B-7B986D3FA156}"/>
    <cellStyle name="Comma 4 7 4 2 2" xfId="8020" xr:uid="{F88CE811-74DD-4292-A3B2-4DBD0626196E}"/>
    <cellStyle name="Comma 4 7 4 3" xfId="5875" xr:uid="{83E1E580-A483-4320-A3DE-19D93E6F1674}"/>
    <cellStyle name="Comma 4 7 5" xfId="2402" xr:uid="{A53FDCD6-692C-4CE6-829E-BE6F6F17145D}"/>
    <cellStyle name="Comma 4 7 5 2" xfId="4218" xr:uid="{CD468D83-64A1-4F8F-A569-06A1E8EA9083}"/>
    <cellStyle name="Comma 4 7 5 2 2" xfId="8433" xr:uid="{F5BCE994-5878-49F9-ADAB-8D91E3EA36C5}"/>
    <cellStyle name="Comma 4 7 5 3" xfId="6288" xr:uid="{BCE2A249-CDE9-476E-BCCE-EB522348552C}"/>
    <cellStyle name="Comma 4 7 6" xfId="2837" xr:uid="{DE9DFB49-5D56-4077-8073-60975D13298E}"/>
    <cellStyle name="Comma 4 7 6 2" xfId="6701" xr:uid="{24F93645-1564-4205-A5E0-6879566FE533}"/>
    <cellStyle name="Comma 4 7 7" xfId="3133" xr:uid="{16729E0D-4EBE-47B3-BB6A-C5D9D9D7D79B}"/>
    <cellStyle name="Comma 4 7 8" xfId="3215" xr:uid="{99D1BF6B-40E9-4778-BA57-362138EA600E}"/>
    <cellStyle name="Comma 4 7 8 2" xfId="7018" xr:uid="{809DB307-DC7A-414A-8143-E8A049DF7392}"/>
    <cellStyle name="Comma 4 7 9" xfId="4635" xr:uid="{5BFD331D-101E-451C-893C-1C891D85A389}"/>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5" xr:uid="{3E6ABD14-3E93-43F5-8292-D0E80C17B887}"/>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2 3" xfId="1860" xr:uid="{D9AE5745-E6D1-48CF-AFF0-DCB9BBC8D93F}"/>
    <cellStyle name="Currency 13" xfId="3134" xr:uid="{0E473025-B537-4DCB-814B-461F6685AB51}"/>
    <cellStyle name="Currency 13 2" xfId="4504" xr:uid="{D1EC5B5B-5204-42A5-9ED1-78711FF28AA1}"/>
    <cellStyle name="Currency 13 3" xfId="2870" xr:uid="{D364DC03-FF71-4D0C-8F18-B5B179F2F9ED}"/>
    <cellStyle name="Currency 14" xfId="4506" xr:uid="{678A7798-B63B-46E4-87B8-B6937F1B63CB}"/>
    <cellStyle name="Currency 14 2" xfId="8720" xr:uid="{66C12556-0A98-447D-8C09-814A179A0FA8}"/>
    <cellStyle name="Currency 14 3" xfId="8723" xr:uid="{730F1642-D17A-488B-9E7D-6F1696B9E41C}"/>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3216" xr:uid="{8593FDF9-AE7F-4177-AAEC-1785800E7FC4}"/>
    <cellStyle name="Currency 3 2 2 10 2" xfId="7019" xr:uid="{DA8351FE-576C-471E-B8B1-7547911F0F4C}"/>
    <cellStyle name="Currency 3 2 2 11" xfId="4636" xr:uid="{8E384334-66E8-49A7-AE0D-15D125DC46A1}"/>
    <cellStyle name="Currency 3 2 2 2" xfId="180" xr:uid="{00000000-0005-0000-0000-00003D010000}"/>
    <cellStyle name="Currency 3 2 2 2 10" xfId="4637" xr:uid="{9D8F333E-D7E0-42C8-984A-C34635D1799E}"/>
    <cellStyle name="Currency 3 2 2 2 2" xfId="181" xr:uid="{00000000-0005-0000-0000-00003E010000}"/>
    <cellStyle name="Currency 3 2 2 2 2 2" xfId="717" xr:uid="{00000000-0005-0000-0000-00003F010000}"/>
    <cellStyle name="Currency 3 2 2 2 2 2 2" xfId="1577" xr:uid="{2A61BECB-21E1-4FF0-896B-EC9301EA6D18}"/>
    <cellStyle name="Currency 3 2 2 2 2 2 2 2" xfId="7197" xr:uid="{51D548E3-109B-452B-A590-E30B5834D0DC}"/>
    <cellStyle name="Currency 3 2 2 2 2 2 3" xfId="5052" xr:uid="{1D5CEBF0-9904-4E99-AEB5-00323D524A8B}"/>
    <cellStyle name="Currency 3 2 2 2 2 3" xfId="1161" xr:uid="{B18EDAE8-FB3A-4D33-8E42-4EDD376D9D9D}"/>
    <cellStyle name="Currency 3 2 2 2 2 3 2" xfId="3395" xr:uid="{44B04F87-84E0-4797-A828-37FD0738DA46}"/>
    <cellStyle name="Currency 3 2 2 2 2 3 2 2" xfId="7610" xr:uid="{F616C14C-8966-49D5-8378-7B5EB2DD9DD4}"/>
    <cellStyle name="Currency 3 2 2 2 2 3 3" xfId="5465" xr:uid="{3B39BD6E-36A4-4D96-ABBE-30000E783352}"/>
    <cellStyle name="Currency 3 2 2 2 2 4" xfId="1992" xr:uid="{60A942EF-B20B-4C86-A2A3-C894F271796D}"/>
    <cellStyle name="Currency 3 2 2 2 2 4 2" xfId="3808" xr:uid="{4F3B2A0A-6AD8-4135-814B-9331D791F649}"/>
    <cellStyle name="Currency 3 2 2 2 2 4 2 2" xfId="8023" xr:uid="{F8035AD5-2369-4A0D-96F1-DE95808F5F2D}"/>
    <cellStyle name="Currency 3 2 2 2 2 4 3" xfId="5878" xr:uid="{C0CAC70F-359B-4B43-8F97-26FC15AE5A20}"/>
    <cellStyle name="Currency 3 2 2 2 2 5" xfId="2405" xr:uid="{0056F63F-A7F1-4BEE-B683-9624D0275CBE}"/>
    <cellStyle name="Currency 3 2 2 2 2 5 2" xfId="4221" xr:uid="{C7FA4F10-BDBB-47B9-B532-84986C2F7041}"/>
    <cellStyle name="Currency 3 2 2 2 2 5 2 2" xfId="8436" xr:uid="{6CAB1517-8B06-4F92-A6CF-FACFF1D80001}"/>
    <cellStyle name="Currency 3 2 2 2 2 5 3" xfId="6291" xr:uid="{D52B7B45-15CF-458E-8F11-0A6A761B328B}"/>
    <cellStyle name="Currency 3 2 2 2 2 6" xfId="2840" xr:uid="{26DC606D-B4D8-4AA9-A36C-88FFE5167E2E}"/>
    <cellStyle name="Currency 3 2 2 2 2 6 2" xfId="6704" xr:uid="{46884E1F-FCB0-4135-B042-A30A1F8E5360}"/>
    <cellStyle name="Currency 3 2 2 2 2 7" xfId="3137" xr:uid="{34C324D9-CEFF-4670-86A3-272CE9963F6B}"/>
    <cellStyle name="Currency 3 2 2 2 2 8" xfId="3218" xr:uid="{02FE2D14-0202-4478-857B-56BD21EF49BB}"/>
    <cellStyle name="Currency 3 2 2 2 2 8 2" xfId="7021" xr:uid="{B2F64407-117F-4975-94B3-FB533488345F}"/>
    <cellStyle name="Currency 3 2 2 2 2 9" xfId="4638" xr:uid="{8E08C779-DAD2-42E7-A327-2C871EB97483}"/>
    <cellStyle name="Currency 3 2 2 2 3" xfId="716" xr:uid="{00000000-0005-0000-0000-000040010000}"/>
    <cellStyle name="Currency 3 2 2 2 3 2" xfId="1576" xr:uid="{B1DD56A2-2427-41DB-87C5-17646B24B167}"/>
    <cellStyle name="Currency 3 2 2 2 3 2 2" xfId="7196" xr:uid="{2F5E80FC-181C-42A2-8095-0852443D0231}"/>
    <cellStyle name="Currency 3 2 2 2 3 3" xfId="5051" xr:uid="{B7D3D377-C3EA-4392-B7F0-EE95031A3C59}"/>
    <cellStyle name="Currency 3 2 2 2 4" xfId="1160" xr:uid="{F27C070E-2AD2-4868-9151-F60B4BEFB32B}"/>
    <cellStyle name="Currency 3 2 2 2 4 2" xfId="3394" xr:uid="{F5864153-B3B6-4841-9E5E-05BA9BC373E2}"/>
    <cellStyle name="Currency 3 2 2 2 4 2 2" xfId="7609" xr:uid="{0E9DF0EA-B30A-4598-8BFE-F6EB6D5CEC44}"/>
    <cellStyle name="Currency 3 2 2 2 4 3" xfId="5464" xr:uid="{FCB7294C-9ECC-4041-9D49-59D0A18A80FA}"/>
    <cellStyle name="Currency 3 2 2 2 5" xfId="1991" xr:uid="{9F1C3D6F-6A00-4C2F-982F-82A211EF0705}"/>
    <cellStyle name="Currency 3 2 2 2 5 2" xfId="3807" xr:uid="{F94DC302-C5CB-4383-A6E7-A60C59CF824C}"/>
    <cellStyle name="Currency 3 2 2 2 5 2 2" xfId="8022" xr:uid="{69C121DB-A13A-435F-9E1B-7F85A0F8FA80}"/>
    <cellStyle name="Currency 3 2 2 2 5 3" xfId="5877" xr:uid="{F53A7D41-396F-4E75-AF4C-36DD96F7144B}"/>
    <cellStyle name="Currency 3 2 2 2 6" xfId="2404" xr:uid="{56433D58-1851-47D9-88E7-D007F5E186AF}"/>
    <cellStyle name="Currency 3 2 2 2 6 2" xfId="4220" xr:uid="{7EB913FE-66D5-456E-8DE8-5BE769269F23}"/>
    <cellStyle name="Currency 3 2 2 2 6 2 2" xfId="8435" xr:uid="{C060B464-4606-45FD-9FBB-EE6587E05564}"/>
    <cellStyle name="Currency 3 2 2 2 6 3" xfId="6290" xr:uid="{06E59875-DBBE-4F6E-84AD-5E770EF82A36}"/>
    <cellStyle name="Currency 3 2 2 2 7" xfId="2839" xr:uid="{E27FBCC0-2EDB-49FE-A558-3661EB9DC457}"/>
    <cellStyle name="Currency 3 2 2 2 7 2" xfId="6703" xr:uid="{7F9B6227-0498-4E16-943E-B424A342AE32}"/>
    <cellStyle name="Currency 3 2 2 2 8" xfId="3136" xr:uid="{454122F6-FC27-407A-9A87-7528224AFB75}"/>
    <cellStyle name="Currency 3 2 2 2 9" xfId="3217" xr:uid="{F148A099-0415-48E3-9BA9-C3FC32AD9645}"/>
    <cellStyle name="Currency 3 2 2 2 9 2" xfId="7020" xr:uid="{7ABCE72E-8DF6-4554-BF62-94053709B824}"/>
    <cellStyle name="Currency 3 2 2 3" xfId="182" xr:uid="{00000000-0005-0000-0000-000041010000}"/>
    <cellStyle name="Currency 3 2 2 3 2" xfId="718" xr:uid="{00000000-0005-0000-0000-000042010000}"/>
    <cellStyle name="Currency 3 2 2 3 2 2" xfId="1578" xr:uid="{5BF1B9A3-55CE-43C6-B717-BDBDAC6DE481}"/>
    <cellStyle name="Currency 3 2 2 3 2 2 2" xfId="7198" xr:uid="{8A969979-9FB6-45A6-A05A-DA7829B345E2}"/>
    <cellStyle name="Currency 3 2 2 3 2 3" xfId="5053" xr:uid="{9864A63D-B644-4728-A2C4-6D64D26485DB}"/>
    <cellStyle name="Currency 3 2 2 3 3" xfId="1162" xr:uid="{D416CEEE-AAF7-450E-B6E2-974927451C1B}"/>
    <cellStyle name="Currency 3 2 2 3 3 2" xfId="3396" xr:uid="{F5651A71-D3FA-4FA7-B22F-29155F83ADF3}"/>
    <cellStyle name="Currency 3 2 2 3 3 2 2" xfId="7611" xr:uid="{388129D3-40C0-4B2B-97F5-A28204C3DC35}"/>
    <cellStyle name="Currency 3 2 2 3 3 3" xfId="5466" xr:uid="{AC29746E-0B7E-4C0D-A90C-40100383837B}"/>
    <cellStyle name="Currency 3 2 2 3 4" xfId="1993" xr:uid="{78EF1BAE-A067-4C8A-8818-F07371A96EB7}"/>
    <cellStyle name="Currency 3 2 2 3 4 2" xfId="3809" xr:uid="{8A66AA7C-ADEA-4EC1-ABD2-DEC12C0BEE12}"/>
    <cellStyle name="Currency 3 2 2 3 4 2 2" xfId="8024" xr:uid="{02AA4A64-AA88-4523-92CF-9D62D668BA9C}"/>
    <cellStyle name="Currency 3 2 2 3 4 3" xfId="5879" xr:uid="{3AAF5EA4-3BBE-4AC7-945C-2FD210D2CBE3}"/>
    <cellStyle name="Currency 3 2 2 3 5" xfId="2406" xr:uid="{E109CBAE-82D6-4FAD-88CD-9553DD6C9059}"/>
    <cellStyle name="Currency 3 2 2 3 5 2" xfId="4222" xr:uid="{74A6E109-710A-42AC-8A41-2649C214592A}"/>
    <cellStyle name="Currency 3 2 2 3 5 2 2" xfId="8437" xr:uid="{8FD12C14-61BB-4F8F-8FE3-81E8D40FEA0E}"/>
    <cellStyle name="Currency 3 2 2 3 5 3" xfId="6292" xr:uid="{AA8D6D87-0943-4903-B3BB-23AFCEC3FFF8}"/>
    <cellStyle name="Currency 3 2 2 3 6" xfId="2841" xr:uid="{4D53C457-4E84-4D97-8F29-35BCB0A451B6}"/>
    <cellStyle name="Currency 3 2 2 3 6 2" xfId="6705" xr:uid="{C9993EBF-A89E-494B-A783-A8E13D7BE74E}"/>
    <cellStyle name="Currency 3 2 2 3 7" xfId="3138" xr:uid="{DCD70277-8756-4476-B064-392DE0DAD608}"/>
    <cellStyle name="Currency 3 2 2 3 8" xfId="3219" xr:uid="{41270585-406C-4F0C-AEBF-91FB170E27EE}"/>
    <cellStyle name="Currency 3 2 2 3 8 2" xfId="7022" xr:uid="{468DC37B-7FF8-4DA7-88DB-E784B4DC0658}"/>
    <cellStyle name="Currency 3 2 2 3 9" xfId="4639" xr:uid="{60E4A5B2-E82E-4741-A04F-9163CB936AEB}"/>
    <cellStyle name="Currency 3 2 2 4" xfId="715" xr:uid="{00000000-0005-0000-0000-000043010000}"/>
    <cellStyle name="Currency 3 2 2 4 2" xfId="1575" xr:uid="{00E3B60A-91FC-475A-9A95-9B0184E1E52C}"/>
    <cellStyle name="Currency 3 2 2 4 2 2" xfId="7195" xr:uid="{1B421798-54FD-4605-A7B8-78A79373958B}"/>
    <cellStyle name="Currency 3 2 2 4 3" xfId="5050" xr:uid="{AFB9B3BB-251D-4CE2-8ADF-3070A76CA01A}"/>
    <cellStyle name="Currency 3 2 2 5" xfId="1159" xr:uid="{9BECE777-2225-4638-9364-8649CF7E60C3}"/>
    <cellStyle name="Currency 3 2 2 5 2" xfId="3393" xr:uid="{53903561-44FD-45B4-8CDB-CCFE66BBC5E0}"/>
    <cellStyle name="Currency 3 2 2 5 2 2" xfId="7608" xr:uid="{35DC2791-1ABC-404F-B1C4-BE031CD5721D}"/>
    <cellStyle name="Currency 3 2 2 5 3" xfId="5463" xr:uid="{1B411973-B262-4386-9AB2-2AEFDC2EC0A7}"/>
    <cellStyle name="Currency 3 2 2 6" xfId="1990" xr:uid="{2157B94D-CF7C-495A-B3E4-3AC92A36BCED}"/>
    <cellStyle name="Currency 3 2 2 6 2" xfId="3806" xr:uid="{909CAF93-0397-46EE-8452-157ACC36852E}"/>
    <cellStyle name="Currency 3 2 2 6 2 2" xfId="8021" xr:uid="{77C92420-9616-4A03-9AD3-FA2DB1F2C24B}"/>
    <cellStyle name="Currency 3 2 2 6 3" xfId="5876" xr:uid="{515B0AC4-0EDF-4028-A138-BD951D7A465D}"/>
    <cellStyle name="Currency 3 2 2 7" xfId="2403" xr:uid="{2B88C39A-B477-49F4-8E62-6876C88A6369}"/>
    <cellStyle name="Currency 3 2 2 7 2" xfId="4219" xr:uid="{985E052A-B1D3-402D-8A53-4FE11269826B}"/>
    <cellStyle name="Currency 3 2 2 7 2 2" xfId="8434" xr:uid="{6D12586C-7B31-40A4-B632-69A93D9C2A8E}"/>
    <cellStyle name="Currency 3 2 2 7 3" xfId="6289" xr:uid="{8C33DEAF-AB3E-46D3-8AF3-4343C3706501}"/>
    <cellStyle name="Currency 3 2 2 8" xfId="2838" xr:uid="{A84269AF-0197-40BB-A224-29845EFC765F}"/>
    <cellStyle name="Currency 3 2 2 8 2" xfId="6702" xr:uid="{50389C0F-5BD4-4AF9-B9D4-82E2ED533A28}"/>
    <cellStyle name="Currency 3 2 2 9" xfId="3135" xr:uid="{1A8E3F30-4EB2-4051-AF3D-7BA752ED1A60}"/>
    <cellStyle name="Currency 3 2 3" xfId="183" xr:uid="{00000000-0005-0000-0000-000044010000}"/>
    <cellStyle name="Currency 3 2 3 10" xfId="4640" xr:uid="{801036A7-B803-4DA1-8240-F4E74C290DFE}"/>
    <cellStyle name="Currency 3 2 3 2" xfId="184" xr:uid="{00000000-0005-0000-0000-000045010000}"/>
    <cellStyle name="Currency 3 2 3 2 2" xfId="720" xr:uid="{00000000-0005-0000-0000-000046010000}"/>
    <cellStyle name="Currency 3 2 3 2 2 2" xfId="1580" xr:uid="{78F84C04-ED7D-4BEB-9E1F-A64F12055C48}"/>
    <cellStyle name="Currency 3 2 3 2 2 2 2" xfId="7200" xr:uid="{969B00F3-EA5F-4DA5-A595-605643E8CE7C}"/>
    <cellStyle name="Currency 3 2 3 2 2 3" xfId="5055" xr:uid="{1367DCD9-E892-4767-BB1E-CCE5F184911C}"/>
    <cellStyle name="Currency 3 2 3 2 3" xfId="1164" xr:uid="{B2141D67-948C-4B8F-9EAD-A5391E0703C5}"/>
    <cellStyle name="Currency 3 2 3 2 3 2" xfId="3398" xr:uid="{D530F674-F0EB-483B-B3AE-13BAC6196C1A}"/>
    <cellStyle name="Currency 3 2 3 2 3 2 2" xfId="7613" xr:uid="{E9EA3198-8B77-426D-8655-DA4F6B73D388}"/>
    <cellStyle name="Currency 3 2 3 2 3 3" xfId="5468" xr:uid="{66658F96-51C5-4BB1-9834-4F177DBD7FD1}"/>
    <cellStyle name="Currency 3 2 3 2 4" xfId="1995" xr:uid="{8D1C70CA-782E-4E4A-9B83-7CEB78521FBB}"/>
    <cellStyle name="Currency 3 2 3 2 4 2" xfId="3811" xr:uid="{5DD4FE76-567B-4B5D-89E4-14C5931258AC}"/>
    <cellStyle name="Currency 3 2 3 2 4 2 2" xfId="8026" xr:uid="{24333F7C-9FDA-4BEE-89CC-F8E945F5483E}"/>
    <cellStyle name="Currency 3 2 3 2 4 3" xfId="5881" xr:uid="{4A1A1D4D-644D-4A4A-AA37-8770475C56EE}"/>
    <cellStyle name="Currency 3 2 3 2 5" xfId="2408" xr:uid="{DEF35053-A231-4159-AAE0-7312185CA6F2}"/>
    <cellStyle name="Currency 3 2 3 2 5 2" xfId="4224" xr:uid="{A8378C33-E7B3-46FA-9EEF-5FD516BD34A7}"/>
    <cellStyle name="Currency 3 2 3 2 5 2 2" xfId="8439" xr:uid="{3B12AA10-B4CF-442E-BCEE-7136474BB3A3}"/>
    <cellStyle name="Currency 3 2 3 2 5 3" xfId="6294" xr:uid="{E98A69F5-B62C-4E1A-A257-DBF4BC43C05E}"/>
    <cellStyle name="Currency 3 2 3 2 6" xfId="2843" xr:uid="{C6C7239C-982A-4062-B0D7-7B0624EC766B}"/>
    <cellStyle name="Currency 3 2 3 2 6 2" xfId="6707" xr:uid="{027FCC60-E2E7-4BC6-90E7-99CED43DA56E}"/>
    <cellStyle name="Currency 3 2 3 2 7" xfId="3140" xr:uid="{73E284D6-7FCC-409D-889A-8217D1A7D5A2}"/>
    <cellStyle name="Currency 3 2 3 2 8" xfId="3221" xr:uid="{86F320F8-B335-4454-828D-7EBA4E291E8E}"/>
    <cellStyle name="Currency 3 2 3 2 8 2" xfId="7024" xr:uid="{59E872E8-D871-4F7C-A614-AD791AD927AE}"/>
    <cellStyle name="Currency 3 2 3 2 9" xfId="4641" xr:uid="{041B4BBD-457C-40D5-BAC4-F69D0968E202}"/>
    <cellStyle name="Currency 3 2 3 3" xfId="719" xr:uid="{00000000-0005-0000-0000-000047010000}"/>
    <cellStyle name="Currency 3 2 3 3 2" xfId="1579" xr:uid="{38F3B4AA-EE80-4EA2-8A41-89764E460EBD}"/>
    <cellStyle name="Currency 3 2 3 3 2 2" xfId="7199" xr:uid="{A913E095-640D-4CE8-8D3C-9D7AA5C651C5}"/>
    <cellStyle name="Currency 3 2 3 3 3" xfId="5054" xr:uid="{28DA21AD-960E-4AD5-B889-C553D108CD65}"/>
    <cellStyle name="Currency 3 2 3 4" xfId="1163" xr:uid="{70D13B53-B39A-4663-A4DA-4F49C01BA826}"/>
    <cellStyle name="Currency 3 2 3 4 2" xfId="3397" xr:uid="{269B039B-C587-4429-B1A7-DB257BB273EF}"/>
    <cellStyle name="Currency 3 2 3 4 2 2" xfId="7612" xr:uid="{234BB4BE-2D03-4A4A-B189-2CBC595D6C92}"/>
    <cellStyle name="Currency 3 2 3 4 3" xfId="5467" xr:uid="{FD44F6FC-0251-407C-AA5B-222A98A46B32}"/>
    <cellStyle name="Currency 3 2 3 5" xfId="1994" xr:uid="{EF22B945-A0E6-493E-B40F-D9734723E203}"/>
    <cellStyle name="Currency 3 2 3 5 2" xfId="3810" xr:uid="{DB8A24B8-96DF-4452-9134-D2D65072B35B}"/>
    <cellStyle name="Currency 3 2 3 5 2 2" xfId="8025" xr:uid="{2827E6BD-FE7B-4A91-AC7F-0E34CE1D622D}"/>
    <cellStyle name="Currency 3 2 3 5 3" xfId="5880" xr:uid="{9D52E8B9-346C-400F-9819-6E70B9A9555E}"/>
    <cellStyle name="Currency 3 2 3 6" xfId="2407" xr:uid="{04CCE630-A82E-4EA4-B246-5B9F3AC6764E}"/>
    <cellStyle name="Currency 3 2 3 6 2" xfId="4223" xr:uid="{E1838787-41EA-43AC-94F5-96AE442FCA3D}"/>
    <cellStyle name="Currency 3 2 3 6 2 2" xfId="8438" xr:uid="{3EEC524A-E0F8-4E03-8179-36BF02903919}"/>
    <cellStyle name="Currency 3 2 3 6 3" xfId="6293" xr:uid="{A2EA0D4A-0EFE-4B23-B93E-4CF866CFE901}"/>
    <cellStyle name="Currency 3 2 3 7" xfId="2842" xr:uid="{DDBDE48D-E927-4A35-9218-BA283EE0CEAC}"/>
    <cellStyle name="Currency 3 2 3 7 2" xfId="6706" xr:uid="{8357780D-0F1B-4CB9-B0DD-6615A16CAD82}"/>
    <cellStyle name="Currency 3 2 3 8" xfId="3139" xr:uid="{E24CEE9E-5B35-467C-B6B6-0F6344C3E3FF}"/>
    <cellStyle name="Currency 3 2 3 9" xfId="3220" xr:uid="{38D4498E-4712-4103-93F8-40B9393B0C41}"/>
    <cellStyle name="Currency 3 2 3 9 2" xfId="7023" xr:uid="{9AB28062-326F-41F0-B289-BC228A25A386}"/>
    <cellStyle name="Currency 3 2 4" xfId="185" xr:uid="{00000000-0005-0000-0000-000048010000}"/>
    <cellStyle name="Currency 3 2 4 2" xfId="721" xr:uid="{00000000-0005-0000-0000-000049010000}"/>
    <cellStyle name="Currency 3 2 4 2 2" xfId="1581" xr:uid="{8AEA1116-EE70-4FF5-B9A2-C2131EB8EABF}"/>
    <cellStyle name="Currency 3 2 4 2 2 2" xfId="7201" xr:uid="{CE79C6DB-E799-41BE-A34C-95CFCAB6DB02}"/>
    <cellStyle name="Currency 3 2 4 2 3" xfId="5056" xr:uid="{69B99821-05F3-4A19-9665-5E403338E4C9}"/>
    <cellStyle name="Currency 3 2 4 3" xfId="1165" xr:uid="{9AC7DA25-27F0-4F97-8521-64BF5AC30160}"/>
    <cellStyle name="Currency 3 2 4 3 2" xfId="3399" xr:uid="{C1E6E599-EC93-4FFC-BF60-DBABC20F67C4}"/>
    <cellStyle name="Currency 3 2 4 3 2 2" xfId="7614" xr:uid="{050BF385-5277-4DB2-84BA-A605DDC5B329}"/>
    <cellStyle name="Currency 3 2 4 3 3" xfId="5469" xr:uid="{83D9C1EE-3A05-4813-A16F-13EFC1A5747E}"/>
    <cellStyle name="Currency 3 2 4 4" xfId="1996" xr:uid="{A8A47B46-892F-498A-8050-11066A598A36}"/>
    <cellStyle name="Currency 3 2 4 4 2" xfId="3812" xr:uid="{F4564CA6-5DBF-4919-AD29-5E8D2A31575A}"/>
    <cellStyle name="Currency 3 2 4 4 2 2" xfId="8027" xr:uid="{E616357A-DC58-4D24-BEE7-33F47BC6CCCB}"/>
    <cellStyle name="Currency 3 2 4 4 3" xfId="5882" xr:uid="{91BAEAB0-EA95-4F68-A91E-D25839AB1557}"/>
    <cellStyle name="Currency 3 2 4 5" xfId="2409" xr:uid="{9E7AE46B-A175-4B6D-ABA0-C9758EBFAB47}"/>
    <cellStyle name="Currency 3 2 4 5 2" xfId="4225" xr:uid="{5107084D-6255-41AE-97DB-A63D7F45F530}"/>
    <cellStyle name="Currency 3 2 4 5 2 2" xfId="8440" xr:uid="{C19231AD-04C0-4B03-BE43-1CAA1288305A}"/>
    <cellStyle name="Currency 3 2 4 5 3" xfId="6295" xr:uid="{97BC2ED6-2C3E-4C72-ACFF-E3BDD185136E}"/>
    <cellStyle name="Currency 3 2 4 6" xfId="2844" xr:uid="{B4D9D693-67ED-430C-AE08-1C2CD86B7B04}"/>
    <cellStyle name="Currency 3 2 4 6 2" xfId="6708" xr:uid="{33F9D97C-B09F-44CF-BFF7-36FB7D8ADF0E}"/>
    <cellStyle name="Currency 3 2 4 7" xfId="3141" xr:uid="{DA90C54E-70A4-4689-94E8-3EBB2E9CBFFA}"/>
    <cellStyle name="Currency 3 2 4 8" xfId="3222" xr:uid="{DC0159AE-A17A-46ED-B1B6-E80F9D7EB298}"/>
    <cellStyle name="Currency 3 2 4 8 2" xfId="7025" xr:uid="{D4B4A889-CEBF-4A0F-B484-AFE6005D37D3}"/>
    <cellStyle name="Currency 3 2 4 9" xfId="4642" xr:uid="{DAA96F8B-87E4-4899-BAA0-DFD7A7028AD1}"/>
    <cellStyle name="Currency 3 2 5" xfId="186" xr:uid="{00000000-0005-0000-0000-00004A010000}"/>
    <cellStyle name="Currency 3 2 5 2" xfId="722" xr:uid="{00000000-0005-0000-0000-00004B010000}"/>
    <cellStyle name="Currency 3 2 5 2 2" xfId="1582" xr:uid="{69A0C8DC-39EF-47C4-9544-31E6B4C2C7A2}"/>
    <cellStyle name="Currency 3 2 5 2 2 2" xfId="7202" xr:uid="{A46F1A90-CFA2-429E-BEA6-5E092A6D3806}"/>
    <cellStyle name="Currency 3 2 5 2 3" xfId="5057" xr:uid="{13994935-5A4E-4771-826D-AC402FB4BD95}"/>
    <cellStyle name="Currency 3 2 5 3" xfId="1166" xr:uid="{499DAE4B-19F2-4629-B557-F810D4EEA6DF}"/>
    <cellStyle name="Currency 3 2 5 3 2" xfId="3400" xr:uid="{6A92CD8B-886F-46A0-8EBB-AFCBFE48AD2D}"/>
    <cellStyle name="Currency 3 2 5 3 2 2" xfId="7615" xr:uid="{41954B07-CB8A-437B-AD56-8BB11FE70702}"/>
    <cellStyle name="Currency 3 2 5 3 3" xfId="5470" xr:uid="{FB8092E8-E7CD-4B99-939D-1995F0B4616A}"/>
    <cellStyle name="Currency 3 2 5 4" xfId="1997" xr:uid="{FA673FCC-0A9E-47E5-8145-DD7585206873}"/>
    <cellStyle name="Currency 3 2 5 4 2" xfId="3813" xr:uid="{EA139B60-C76E-489F-BF0E-30FD4990D09F}"/>
    <cellStyle name="Currency 3 2 5 4 2 2" xfId="8028" xr:uid="{55717AF6-6B41-4FAA-A259-13C27A394297}"/>
    <cellStyle name="Currency 3 2 5 4 3" xfId="5883" xr:uid="{7EBA30D8-7185-44B0-880E-87AF6A7023B5}"/>
    <cellStyle name="Currency 3 2 5 5" xfId="2410" xr:uid="{EC1AEAC7-AD86-4C74-9D7B-3282106301B5}"/>
    <cellStyle name="Currency 3 2 5 5 2" xfId="4226" xr:uid="{5051418D-2995-4ABD-A657-285392667216}"/>
    <cellStyle name="Currency 3 2 5 5 2 2" xfId="8441" xr:uid="{D246F313-3F15-4630-9B91-A3A6AEE46B43}"/>
    <cellStyle name="Currency 3 2 5 5 3" xfId="6296" xr:uid="{293711BF-22E3-429A-8CF3-9DDF9F61EC2F}"/>
    <cellStyle name="Currency 3 2 5 6" xfId="2845" xr:uid="{DCBAD35A-F785-4BE0-9FEF-55A6159E1B74}"/>
    <cellStyle name="Currency 3 2 5 6 2" xfId="6709" xr:uid="{1B565971-C014-4D25-805C-F473FD265C75}"/>
    <cellStyle name="Currency 3 2 5 7" xfId="3142" xr:uid="{CCFAFA90-F95A-44F9-94E6-91CDEB2B8BBB}"/>
    <cellStyle name="Currency 3 2 5 8" xfId="3223" xr:uid="{4D62EC6D-45CB-4F92-824F-245FF21F76B4}"/>
    <cellStyle name="Currency 3 2 5 8 2" xfId="7026" xr:uid="{C5121147-9F41-4F8B-832F-B5EFBCA1728F}"/>
    <cellStyle name="Currency 3 2 5 9" xfId="4643" xr:uid="{0DC8A9E8-A16C-4BB0-AC85-3820483DFD12}"/>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3224" xr:uid="{98D5F83A-5A40-4CF0-BCBF-BFCD67F3B20F}"/>
    <cellStyle name="Currency 5 2 2 2 10 2" xfId="7027" xr:uid="{124F055D-7A53-4814-B6AA-DE752E1E53AD}"/>
    <cellStyle name="Currency 5 2 2 2 11" xfId="4644" xr:uid="{0C74B782-F701-48D6-9F06-351CE7E0DD24}"/>
    <cellStyle name="Currency 5 2 2 2 2" xfId="198" xr:uid="{00000000-0005-0000-0000-00005C010000}"/>
    <cellStyle name="Currency 5 2 2 2 2 10" xfId="4645" xr:uid="{6E8D8BD6-9C0F-416D-805E-AE13780FC13A}"/>
    <cellStyle name="Currency 5 2 2 2 2 2" xfId="199" xr:uid="{00000000-0005-0000-0000-00005D010000}"/>
    <cellStyle name="Currency 5 2 2 2 2 2 2" xfId="732" xr:uid="{00000000-0005-0000-0000-00005E010000}"/>
    <cellStyle name="Currency 5 2 2 2 2 2 2 2" xfId="1585" xr:uid="{7B483B5B-A17E-4ECA-86B7-37A1ADF24A7E}"/>
    <cellStyle name="Currency 5 2 2 2 2 2 2 2 2" xfId="7205" xr:uid="{09FF37D2-2A02-4D08-B24A-505F792FF9CF}"/>
    <cellStyle name="Currency 5 2 2 2 2 2 2 3" xfId="5060" xr:uid="{28471559-70F2-4035-ACB1-0936342B0BFB}"/>
    <cellStyle name="Currency 5 2 2 2 2 2 3" xfId="1169" xr:uid="{FEC50536-9B98-4DC1-8D17-7AA4E2AD909E}"/>
    <cellStyle name="Currency 5 2 2 2 2 2 3 2" xfId="3403" xr:uid="{FD2F2D74-6B6D-4038-B39E-2B1D80F90860}"/>
    <cellStyle name="Currency 5 2 2 2 2 2 3 2 2" xfId="7618" xr:uid="{FFC5CF60-8FB4-402E-AC6D-1A13BF6ABC1D}"/>
    <cellStyle name="Currency 5 2 2 2 2 2 3 3" xfId="5473" xr:uid="{53B5B3E0-6398-46A0-8AC0-63CF4B210FDD}"/>
    <cellStyle name="Currency 5 2 2 2 2 2 4" xfId="2000" xr:uid="{F086E0B4-2E57-46A0-9BFD-2CEEF4FC4B57}"/>
    <cellStyle name="Currency 5 2 2 2 2 2 4 2" xfId="3816" xr:uid="{D3ED097F-F81F-4164-B5EC-9C81533752D8}"/>
    <cellStyle name="Currency 5 2 2 2 2 2 4 2 2" xfId="8031" xr:uid="{6A705844-7427-4AF3-9F87-3474258DF2FC}"/>
    <cellStyle name="Currency 5 2 2 2 2 2 4 3" xfId="5886" xr:uid="{85A29FF3-D344-490E-9615-6930F03B8B6A}"/>
    <cellStyle name="Currency 5 2 2 2 2 2 5" xfId="2413" xr:uid="{F9E1CCDC-8C25-4453-A56E-E70AD715F136}"/>
    <cellStyle name="Currency 5 2 2 2 2 2 5 2" xfId="4229" xr:uid="{E345B4E9-A73E-40BD-822E-6EF369FE9DC2}"/>
    <cellStyle name="Currency 5 2 2 2 2 2 5 2 2" xfId="8444" xr:uid="{98D693C1-9C5B-4101-B50C-2426EA013641}"/>
    <cellStyle name="Currency 5 2 2 2 2 2 5 3" xfId="6299" xr:uid="{1E85C60B-8C7B-42D1-A2A2-95D746C1430F}"/>
    <cellStyle name="Currency 5 2 2 2 2 2 6" xfId="2848" xr:uid="{2EA96A33-1234-4418-8B77-C40172FEDAB9}"/>
    <cellStyle name="Currency 5 2 2 2 2 2 6 2" xfId="6712" xr:uid="{E8BFBEC5-DBC8-4398-A0E0-03CB65BA74B4}"/>
    <cellStyle name="Currency 5 2 2 2 2 2 7" xfId="3145" xr:uid="{8FB4CBDD-0FF2-44E2-A028-DA08408CABE0}"/>
    <cellStyle name="Currency 5 2 2 2 2 2 8" xfId="3226" xr:uid="{27483424-E318-4D28-B241-12E4D808C442}"/>
    <cellStyle name="Currency 5 2 2 2 2 2 8 2" xfId="7029" xr:uid="{B6832FDC-AA73-4C47-A180-FD0AFAD2C5B0}"/>
    <cellStyle name="Currency 5 2 2 2 2 2 9" xfId="4646" xr:uid="{9C63FDAF-2F4D-4A89-A2AF-638B5E58CDF4}"/>
    <cellStyle name="Currency 5 2 2 2 2 3" xfId="731" xr:uid="{00000000-0005-0000-0000-00005F010000}"/>
    <cellStyle name="Currency 5 2 2 2 2 3 2" xfId="1584" xr:uid="{0F0AC06C-74BD-443E-B90A-AC21674EEC3D}"/>
    <cellStyle name="Currency 5 2 2 2 2 3 2 2" xfId="7204" xr:uid="{A896C8E7-A638-4A86-B67C-66479755FA31}"/>
    <cellStyle name="Currency 5 2 2 2 2 3 3" xfId="5059" xr:uid="{4255DA67-4095-408F-8342-BB59234D9E6B}"/>
    <cellStyle name="Currency 5 2 2 2 2 4" xfId="1168" xr:uid="{7D762262-E471-477E-8C3F-4FDCA78B0B64}"/>
    <cellStyle name="Currency 5 2 2 2 2 4 2" xfId="3402" xr:uid="{EB9E9562-E0B0-4F78-92B8-B66B209DD91C}"/>
    <cellStyle name="Currency 5 2 2 2 2 4 2 2" xfId="7617" xr:uid="{C907A8F6-29CB-4ED4-9253-3617B60B2C6F}"/>
    <cellStyle name="Currency 5 2 2 2 2 4 3" xfId="5472" xr:uid="{BDFF0F60-D1F2-46AD-AC0A-EEBEA503363E}"/>
    <cellStyle name="Currency 5 2 2 2 2 5" xfId="1999" xr:uid="{9B566261-CCF6-49A3-BAFD-3048550C696E}"/>
    <cellStyle name="Currency 5 2 2 2 2 5 2" xfId="3815" xr:uid="{AA0F1C3B-4876-4F83-B830-E15959A3F7F9}"/>
    <cellStyle name="Currency 5 2 2 2 2 5 2 2" xfId="8030" xr:uid="{EAF104A8-6EF9-4CAB-8761-ACF059CFE3CD}"/>
    <cellStyle name="Currency 5 2 2 2 2 5 3" xfId="5885" xr:uid="{35242187-7FA5-467A-8966-B1DF0C3D1589}"/>
    <cellStyle name="Currency 5 2 2 2 2 6" xfId="2412" xr:uid="{249F6848-F559-4175-8B74-331760486E34}"/>
    <cellStyle name="Currency 5 2 2 2 2 6 2" xfId="4228" xr:uid="{F7A52004-D11E-48F6-9673-4021FC250407}"/>
    <cellStyle name="Currency 5 2 2 2 2 6 2 2" xfId="8443" xr:uid="{7AC1612A-C29A-4160-983C-AED189DB3A68}"/>
    <cellStyle name="Currency 5 2 2 2 2 6 3" xfId="6298" xr:uid="{708D7127-B265-494A-BA16-615CB43D21BA}"/>
    <cellStyle name="Currency 5 2 2 2 2 7" xfId="2847" xr:uid="{17C9AB37-5449-415F-A694-CB6879E19AC9}"/>
    <cellStyle name="Currency 5 2 2 2 2 7 2" xfId="6711" xr:uid="{418D8AAB-F8D1-47B6-A20D-CA4AC752C164}"/>
    <cellStyle name="Currency 5 2 2 2 2 8" xfId="3144" xr:uid="{57B632B1-915A-4370-A10C-F9B09C4A9F04}"/>
    <cellStyle name="Currency 5 2 2 2 2 9" xfId="3225" xr:uid="{108F7D1E-CA49-4365-9E08-B72D988E1112}"/>
    <cellStyle name="Currency 5 2 2 2 2 9 2" xfId="7028" xr:uid="{5BCC1298-3923-4141-8A60-70DE55F037E3}"/>
    <cellStyle name="Currency 5 2 2 2 3" xfId="200" xr:uid="{00000000-0005-0000-0000-000060010000}"/>
    <cellStyle name="Currency 5 2 2 2 3 2" xfId="733" xr:uid="{00000000-0005-0000-0000-000061010000}"/>
    <cellStyle name="Currency 5 2 2 2 3 2 2" xfId="1586" xr:uid="{CC3643A6-AEAE-42E8-89B0-7CC4FB482A95}"/>
    <cellStyle name="Currency 5 2 2 2 3 2 2 2" xfId="7206" xr:uid="{A67A847F-F2FA-40CE-AA01-54176FEE0628}"/>
    <cellStyle name="Currency 5 2 2 2 3 2 3" xfId="5061" xr:uid="{AA70C04A-250B-4025-BF6F-0E271F63211F}"/>
    <cellStyle name="Currency 5 2 2 2 3 3" xfId="1170" xr:uid="{6CB8E972-FD12-4BC4-B9B9-BC6F1232492B}"/>
    <cellStyle name="Currency 5 2 2 2 3 3 2" xfId="3404" xr:uid="{E04A5B31-0539-4B15-B148-D3C8E9A8BBF2}"/>
    <cellStyle name="Currency 5 2 2 2 3 3 2 2" xfId="7619" xr:uid="{63AFD000-5C54-4CCC-93AF-AA7681BF0C3E}"/>
    <cellStyle name="Currency 5 2 2 2 3 3 3" xfId="5474" xr:uid="{EED9A663-B088-4759-B5A3-29C8400AA127}"/>
    <cellStyle name="Currency 5 2 2 2 3 4" xfId="2001" xr:uid="{F930D48A-ECF5-47FF-86BE-A96136FB260E}"/>
    <cellStyle name="Currency 5 2 2 2 3 4 2" xfId="3817" xr:uid="{7579C7E6-E9B9-4079-B5A4-2C8B8C7CD83D}"/>
    <cellStyle name="Currency 5 2 2 2 3 4 2 2" xfId="8032" xr:uid="{149F0EBD-2D88-4D4F-957F-6B39AEC6D8E1}"/>
    <cellStyle name="Currency 5 2 2 2 3 4 3" xfId="5887" xr:uid="{70F54316-EEDC-4E40-A0C4-997A98A31CD0}"/>
    <cellStyle name="Currency 5 2 2 2 3 5" xfId="2414" xr:uid="{EDE2CA40-0008-40AF-B86F-756477C75E85}"/>
    <cellStyle name="Currency 5 2 2 2 3 5 2" xfId="4230" xr:uid="{994E98D3-3754-41DF-A44F-98CC010DC83F}"/>
    <cellStyle name="Currency 5 2 2 2 3 5 2 2" xfId="8445" xr:uid="{1A97C21C-1463-4CA0-922A-8F5D89BC9305}"/>
    <cellStyle name="Currency 5 2 2 2 3 5 3" xfId="6300" xr:uid="{5E257FC3-9272-487E-A6F0-B96B6FCA732E}"/>
    <cellStyle name="Currency 5 2 2 2 3 6" xfId="2849" xr:uid="{4DCB393A-B2CE-413E-860B-F783C03C0AD8}"/>
    <cellStyle name="Currency 5 2 2 2 3 6 2" xfId="6713" xr:uid="{9F805358-2007-46E9-81D0-EC6B4B358D0B}"/>
    <cellStyle name="Currency 5 2 2 2 3 7" xfId="3146" xr:uid="{F9F5398C-01F3-4167-96E4-D6226D0F4D21}"/>
    <cellStyle name="Currency 5 2 2 2 3 8" xfId="3227" xr:uid="{7217745A-FBAC-433B-933D-BBB5DDA0B176}"/>
    <cellStyle name="Currency 5 2 2 2 3 8 2" xfId="7030" xr:uid="{5E296BAC-D2AB-4E3A-A0CD-4B96E8C14C4C}"/>
    <cellStyle name="Currency 5 2 2 2 3 9" xfId="4647" xr:uid="{2DAF13B4-66B0-497A-A576-1837B4335E2A}"/>
    <cellStyle name="Currency 5 2 2 2 4" xfId="730" xr:uid="{00000000-0005-0000-0000-000062010000}"/>
    <cellStyle name="Currency 5 2 2 2 4 2" xfId="1583" xr:uid="{390CD188-858B-45EE-8BDB-72BA14593B03}"/>
    <cellStyle name="Currency 5 2 2 2 4 2 2" xfId="7203" xr:uid="{ECA76A8F-3256-474E-A987-8832066BF4C4}"/>
    <cellStyle name="Currency 5 2 2 2 4 3" xfId="5058" xr:uid="{742C840F-FAF0-4A3F-88FE-3DC5705B07FE}"/>
    <cellStyle name="Currency 5 2 2 2 5" xfId="1167" xr:uid="{A5FE5F67-ECE3-405E-8AB3-DF58737AA484}"/>
    <cellStyle name="Currency 5 2 2 2 5 2" xfId="3401" xr:uid="{32C6610F-E7A2-4DDE-8BC0-7C123F2286F6}"/>
    <cellStyle name="Currency 5 2 2 2 5 2 2" xfId="7616" xr:uid="{BD3EC038-22B7-4855-9D7F-AF113993AC66}"/>
    <cellStyle name="Currency 5 2 2 2 5 3" xfId="5471" xr:uid="{AE0339FB-136F-4A7C-ABE9-60CAFBAE80DF}"/>
    <cellStyle name="Currency 5 2 2 2 6" xfId="1998" xr:uid="{AAC2F584-CB11-4F45-BA8C-89B65E8CC9EC}"/>
    <cellStyle name="Currency 5 2 2 2 6 2" xfId="3814" xr:uid="{20D3B2AC-59FB-4D92-A7A0-C37648A26B42}"/>
    <cellStyle name="Currency 5 2 2 2 6 2 2" xfId="8029" xr:uid="{34095D0D-628A-4B9E-84F0-A5E25D1CAC6D}"/>
    <cellStyle name="Currency 5 2 2 2 6 3" xfId="5884" xr:uid="{9EDEAEC1-8547-4FD1-82B2-916E4443E21D}"/>
    <cellStyle name="Currency 5 2 2 2 7" xfId="2411" xr:uid="{78B56DEF-488D-48F2-A6DE-AD4816829759}"/>
    <cellStyle name="Currency 5 2 2 2 7 2" xfId="4227" xr:uid="{2DC32B4B-ECF2-40E2-960A-0787071F283E}"/>
    <cellStyle name="Currency 5 2 2 2 7 2 2" xfId="8442" xr:uid="{CEB5B392-6DA0-4F9E-902A-13544D8DECFA}"/>
    <cellStyle name="Currency 5 2 2 2 7 3" xfId="6297" xr:uid="{19627C25-B0F3-4835-AA4B-4F1A49E5B1CA}"/>
    <cellStyle name="Currency 5 2 2 2 8" xfId="2846" xr:uid="{D129DA58-B7D6-44C4-ADF9-FE5545928742}"/>
    <cellStyle name="Currency 5 2 2 2 8 2" xfId="6710" xr:uid="{6BB87B3D-5831-40A2-86F1-49C041645804}"/>
    <cellStyle name="Currency 5 2 2 2 9" xfId="3143" xr:uid="{2E3658E8-9005-44E8-BEEB-FFDA1773E302}"/>
    <cellStyle name="Currency 5 2 2 3" xfId="201" xr:uid="{00000000-0005-0000-0000-000063010000}"/>
    <cellStyle name="Currency 5 2 2 3 10" xfId="4648" xr:uid="{F809F4D5-1EF0-4300-AF35-CD5ECF9A27DD}"/>
    <cellStyle name="Currency 5 2 2 3 2" xfId="202" xr:uid="{00000000-0005-0000-0000-000064010000}"/>
    <cellStyle name="Currency 5 2 2 3 2 2" xfId="735" xr:uid="{00000000-0005-0000-0000-000065010000}"/>
    <cellStyle name="Currency 5 2 2 3 2 2 2" xfId="1588" xr:uid="{718F49B9-2CEC-429F-9AB3-FFE0A6AAEA1B}"/>
    <cellStyle name="Currency 5 2 2 3 2 2 2 2" xfId="7208" xr:uid="{92F22488-0B10-495B-957B-D1E6B49592DB}"/>
    <cellStyle name="Currency 5 2 2 3 2 2 3" xfId="5063" xr:uid="{B77D540F-53AD-42B7-B560-F7A94D1AB771}"/>
    <cellStyle name="Currency 5 2 2 3 2 3" xfId="1172" xr:uid="{FF0A9279-32F5-4B17-B43C-046FF6025DE4}"/>
    <cellStyle name="Currency 5 2 2 3 2 3 2" xfId="3406" xr:uid="{0A9E9C66-C69F-4CD5-AC5A-38E769E6F7A6}"/>
    <cellStyle name="Currency 5 2 2 3 2 3 2 2" xfId="7621" xr:uid="{D5DF0327-A371-442D-B293-3106EBF97ABF}"/>
    <cellStyle name="Currency 5 2 2 3 2 3 3" xfId="5476" xr:uid="{59F9232E-1E35-4B05-B918-6E3470C60497}"/>
    <cellStyle name="Currency 5 2 2 3 2 4" xfId="2003" xr:uid="{F4154F55-9F03-49CE-997A-A1066DC072BD}"/>
    <cellStyle name="Currency 5 2 2 3 2 4 2" xfId="3819" xr:uid="{DDA69BBD-80F3-4419-AD6A-37CEC9EE0EAC}"/>
    <cellStyle name="Currency 5 2 2 3 2 4 2 2" xfId="8034" xr:uid="{EDB8A087-C736-4541-A2F3-8E00386B9449}"/>
    <cellStyle name="Currency 5 2 2 3 2 4 3" xfId="5889" xr:uid="{4A46D243-5AFC-497B-978D-87BC5A596560}"/>
    <cellStyle name="Currency 5 2 2 3 2 5" xfId="2416" xr:uid="{60EFB694-B441-4B3F-8290-49685268CFD6}"/>
    <cellStyle name="Currency 5 2 2 3 2 5 2" xfId="4232" xr:uid="{22F154B7-9058-48B0-890D-02FB0859B7A8}"/>
    <cellStyle name="Currency 5 2 2 3 2 5 2 2" xfId="8447" xr:uid="{442A9278-3635-4F11-AB2E-AA8AAC66A74D}"/>
    <cellStyle name="Currency 5 2 2 3 2 5 3" xfId="6302" xr:uid="{4800E7EB-7154-49E2-868E-AFB433546783}"/>
    <cellStyle name="Currency 5 2 2 3 2 6" xfId="2851" xr:uid="{D86A49C3-DF8E-4E91-8254-D24D629E805F}"/>
    <cellStyle name="Currency 5 2 2 3 2 6 2" xfId="6715" xr:uid="{63ECA080-B51C-4879-B7FE-4DC420506747}"/>
    <cellStyle name="Currency 5 2 2 3 2 7" xfId="3148" xr:uid="{70BE75AB-9721-4AD6-871D-593C02E4971E}"/>
    <cellStyle name="Currency 5 2 2 3 2 8" xfId="3229" xr:uid="{9E68E30C-37F0-48B4-AF9A-94C7C819D053}"/>
    <cellStyle name="Currency 5 2 2 3 2 8 2" xfId="7032" xr:uid="{4FE60B30-4B8C-4EFA-BC4F-A96A730BF81A}"/>
    <cellStyle name="Currency 5 2 2 3 2 9" xfId="4649" xr:uid="{401251C1-AD00-4123-8ED0-50E3E444D989}"/>
    <cellStyle name="Currency 5 2 2 3 3" xfId="734" xr:uid="{00000000-0005-0000-0000-000066010000}"/>
    <cellStyle name="Currency 5 2 2 3 3 2" xfId="1587" xr:uid="{CAC343C9-7EC3-421E-9699-B5B867FCE580}"/>
    <cellStyle name="Currency 5 2 2 3 3 2 2" xfId="7207" xr:uid="{E7E715C0-DDE6-4C65-867C-2F5251FF7991}"/>
    <cellStyle name="Currency 5 2 2 3 3 3" xfId="5062" xr:uid="{56AD2935-4986-49EC-BA12-470080A8CA62}"/>
    <cellStyle name="Currency 5 2 2 3 4" xfId="1171" xr:uid="{EFF347EC-558B-4773-A24A-E3876534CB48}"/>
    <cellStyle name="Currency 5 2 2 3 4 2" xfId="3405" xr:uid="{233E982C-0484-458F-916B-6CC80CF342E9}"/>
    <cellStyle name="Currency 5 2 2 3 4 2 2" xfId="7620" xr:uid="{360F41C1-2ED6-4386-83A1-185C7B1E53B0}"/>
    <cellStyle name="Currency 5 2 2 3 4 3" xfId="5475" xr:uid="{6EEF73A6-CE3D-4103-AAD8-36426FCB3F77}"/>
    <cellStyle name="Currency 5 2 2 3 5" xfId="2002" xr:uid="{BC3D06C2-6E01-4873-91DD-5FF7AC171202}"/>
    <cellStyle name="Currency 5 2 2 3 5 2" xfId="3818" xr:uid="{28327BC3-6C34-4E0F-8DDC-30C578E49323}"/>
    <cellStyle name="Currency 5 2 2 3 5 2 2" xfId="8033" xr:uid="{57C00DCF-10FE-4465-A66D-E2673A56C1D0}"/>
    <cellStyle name="Currency 5 2 2 3 5 3" xfId="5888" xr:uid="{411139F0-E699-43E5-BA61-52248C3398F1}"/>
    <cellStyle name="Currency 5 2 2 3 6" xfId="2415" xr:uid="{DFD72B28-E47C-45E8-B161-EE819A8F5D72}"/>
    <cellStyle name="Currency 5 2 2 3 6 2" xfId="4231" xr:uid="{46920705-2594-4286-9EE2-2952836DB182}"/>
    <cellStyle name="Currency 5 2 2 3 6 2 2" xfId="8446" xr:uid="{774D675F-5D31-4098-B87C-0163943C2FE6}"/>
    <cellStyle name="Currency 5 2 2 3 6 3" xfId="6301" xr:uid="{0C1E6855-EC2A-4722-AA0E-DD3FA2A47F56}"/>
    <cellStyle name="Currency 5 2 2 3 7" xfId="2850" xr:uid="{9C44CB7B-E66B-44B8-B91E-63D822E5ADC9}"/>
    <cellStyle name="Currency 5 2 2 3 7 2" xfId="6714" xr:uid="{EEF4B013-448C-4769-9B0E-F92166E2FF61}"/>
    <cellStyle name="Currency 5 2 2 3 8" xfId="3147" xr:uid="{9CA05D2A-4FCD-4D2A-A07E-9B2500B8DC80}"/>
    <cellStyle name="Currency 5 2 2 3 9" xfId="3228" xr:uid="{6EB590A1-3A1C-4718-9E57-A18B4B584A0D}"/>
    <cellStyle name="Currency 5 2 2 3 9 2" xfId="7031" xr:uid="{911D0BB7-7EA3-4879-8DE2-54CEE0D39E56}"/>
    <cellStyle name="Currency 5 2 2 4" xfId="203" xr:uid="{00000000-0005-0000-0000-000067010000}"/>
    <cellStyle name="Currency 5 2 2 4 2" xfId="736" xr:uid="{00000000-0005-0000-0000-000068010000}"/>
    <cellStyle name="Currency 5 2 2 4 2 2" xfId="1589" xr:uid="{4E3DB755-FA14-476C-9F6D-B2A3BBF5C1E3}"/>
    <cellStyle name="Currency 5 2 2 4 2 2 2" xfId="7209" xr:uid="{97CA5C02-0947-499E-85DE-C54132DCFC5D}"/>
    <cellStyle name="Currency 5 2 2 4 2 3" xfId="5064" xr:uid="{B604C1D0-D8E9-4A2A-BBAE-1069DA462801}"/>
    <cellStyle name="Currency 5 2 2 4 3" xfId="1173" xr:uid="{83D247B0-CBD8-457A-B710-A70E8831D88C}"/>
    <cellStyle name="Currency 5 2 2 4 3 2" xfId="3407" xr:uid="{2748DD9E-DCEC-445B-98ED-36A6336F0FA7}"/>
    <cellStyle name="Currency 5 2 2 4 3 2 2" xfId="7622" xr:uid="{02B3B6DD-D8D3-4597-9EF5-C5D6EE483F7B}"/>
    <cellStyle name="Currency 5 2 2 4 3 3" xfId="5477" xr:uid="{BD02BB8C-4FCE-451D-92A4-DCD0FA559F33}"/>
    <cellStyle name="Currency 5 2 2 4 4" xfId="2004" xr:uid="{2EA1A642-DDF3-4CDC-AF05-B636D7A20677}"/>
    <cellStyle name="Currency 5 2 2 4 4 2" xfId="3820" xr:uid="{C5FD5FB3-6E77-416D-9004-5E8C7DD186DF}"/>
    <cellStyle name="Currency 5 2 2 4 4 2 2" xfId="8035" xr:uid="{D94ADDA8-9437-47D0-96B7-A42A4B013C29}"/>
    <cellStyle name="Currency 5 2 2 4 4 3" xfId="5890" xr:uid="{454687CF-05BB-469F-BAEE-9CED21AD4C2A}"/>
    <cellStyle name="Currency 5 2 2 4 5" xfId="2417" xr:uid="{0B6A0B36-5825-4C48-B329-7568B03D2B1B}"/>
    <cellStyle name="Currency 5 2 2 4 5 2" xfId="4233" xr:uid="{A523482B-BEF2-4C90-9ED2-E22E729A60C4}"/>
    <cellStyle name="Currency 5 2 2 4 5 2 2" xfId="8448" xr:uid="{D462891F-C9F3-44D5-9BFA-0CF2789CB3EB}"/>
    <cellStyle name="Currency 5 2 2 4 5 3" xfId="6303" xr:uid="{8C9D6739-1D48-4F9C-886C-1163DB6D7D14}"/>
    <cellStyle name="Currency 5 2 2 4 6" xfId="2852" xr:uid="{D6BA3FF5-A323-482C-B517-EEB29B5409AC}"/>
    <cellStyle name="Currency 5 2 2 4 6 2" xfId="6716" xr:uid="{E0D480F3-491F-424D-A10F-2BADB3641304}"/>
    <cellStyle name="Currency 5 2 2 4 7" xfId="3149" xr:uid="{E1850103-EE12-45C1-A6D9-5D023D0D63F0}"/>
    <cellStyle name="Currency 5 2 2 4 8" xfId="3230" xr:uid="{329C52FB-DB20-4B4D-A3C9-278EA4910553}"/>
    <cellStyle name="Currency 5 2 2 4 8 2" xfId="7033" xr:uid="{3A6E1A5F-F717-4362-9867-B8948A656248}"/>
    <cellStyle name="Currency 5 2 2 4 9" xfId="4650" xr:uid="{13175483-0AE9-4579-B236-9DCAC6AEEDF9}"/>
    <cellStyle name="Currency 5 2 2 5" xfId="204" xr:uid="{00000000-0005-0000-0000-000069010000}"/>
    <cellStyle name="Currency 5 2 2 5 2" xfId="737" xr:uid="{00000000-0005-0000-0000-00006A010000}"/>
    <cellStyle name="Currency 5 2 2 5 2 2" xfId="1590" xr:uid="{B9AC9434-AB25-4284-8A71-D97E581B9A6F}"/>
    <cellStyle name="Currency 5 2 2 5 2 2 2" xfId="7210" xr:uid="{8F0C3149-0C20-4FE5-8A42-4C24B1F11851}"/>
    <cellStyle name="Currency 5 2 2 5 2 3" xfId="5065" xr:uid="{4857843D-CCCB-408F-94A0-31D1FADC1624}"/>
    <cellStyle name="Currency 5 2 2 5 3" xfId="1174" xr:uid="{B5909683-E7BA-4149-9F0F-88DA1A61DC69}"/>
    <cellStyle name="Currency 5 2 2 5 3 2" xfId="3408" xr:uid="{64D461F9-C0E0-4193-9600-1B36B9AFB0C9}"/>
    <cellStyle name="Currency 5 2 2 5 3 2 2" xfId="7623" xr:uid="{4390A2B8-7AB0-498D-A94E-738373648494}"/>
    <cellStyle name="Currency 5 2 2 5 3 3" xfId="5478" xr:uid="{CCF4E0DF-31DD-44FE-8F3D-8CD37A59157D}"/>
    <cellStyle name="Currency 5 2 2 5 4" xfId="2005" xr:uid="{023FA3B3-E392-4916-BE17-420E6A985E9A}"/>
    <cellStyle name="Currency 5 2 2 5 4 2" xfId="3821" xr:uid="{93ED01C3-68C8-4E30-B90E-D500803C46AE}"/>
    <cellStyle name="Currency 5 2 2 5 4 2 2" xfId="8036" xr:uid="{EBA7CB1B-8F97-4291-AFF7-94BDE2841C7E}"/>
    <cellStyle name="Currency 5 2 2 5 4 3" xfId="5891" xr:uid="{BC92AA77-9360-411B-AACC-206A150E3876}"/>
    <cellStyle name="Currency 5 2 2 5 5" xfId="2418" xr:uid="{7EEF29B5-D6B2-441F-9525-33C45D60B611}"/>
    <cellStyle name="Currency 5 2 2 5 5 2" xfId="4234" xr:uid="{9F482CB9-B604-4910-B3D1-9DC2A786768B}"/>
    <cellStyle name="Currency 5 2 2 5 5 2 2" xfId="8449" xr:uid="{52607CE4-C35A-4D92-A7C6-2E2C38513EC7}"/>
    <cellStyle name="Currency 5 2 2 5 5 3" xfId="6304" xr:uid="{D06B5C2D-28A3-4964-B018-656713D97490}"/>
    <cellStyle name="Currency 5 2 2 5 6" xfId="2853" xr:uid="{B5F075BC-3D92-40DA-9B32-D3151E05A904}"/>
    <cellStyle name="Currency 5 2 2 5 6 2" xfId="6717" xr:uid="{7F26F015-7D0B-48D6-B6C5-875D9F766C16}"/>
    <cellStyle name="Currency 5 2 2 5 7" xfId="3150" xr:uid="{DC099313-83F5-4141-A39C-D552E3D3EB17}"/>
    <cellStyle name="Currency 5 2 2 5 8" xfId="3231" xr:uid="{836C1DD0-76C6-45B2-8766-280EBD23697C}"/>
    <cellStyle name="Currency 5 2 2 5 8 2" xfId="7034" xr:uid="{7656CFAA-8B66-44A7-AA4C-41965EFD7903}"/>
    <cellStyle name="Currency 5 2 2 5 9" xfId="4651" xr:uid="{2BA3D465-2359-4572-B7F2-0CF83D9E4F7C}"/>
    <cellStyle name="Currency 5 2 3" xfId="205" xr:uid="{00000000-0005-0000-0000-00006B010000}"/>
    <cellStyle name="Currency 5 2 3 2" xfId="738" xr:uid="{00000000-0005-0000-0000-00006C010000}"/>
    <cellStyle name="Currency 5 2 4" xfId="206" xr:uid="{00000000-0005-0000-0000-00006D010000}"/>
    <cellStyle name="Currency 5 2 4 10" xfId="4652" xr:uid="{CDDF8646-F63A-4E1B-A843-3564A080AA27}"/>
    <cellStyle name="Currency 5 2 4 2" xfId="207" xr:uid="{00000000-0005-0000-0000-00006E010000}"/>
    <cellStyle name="Currency 5 2 4 2 2" xfId="740" xr:uid="{00000000-0005-0000-0000-00006F010000}"/>
    <cellStyle name="Currency 5 2 4 2 2 2" xfId="1592" xr:uid="{2A4D50EE-17C8-4800-9B95-226EDD6AA26A}"/>
    <cellStyle name="Currency 5 2 4 2 2 2 2" xfId="7212" xr:uid="{B64C2A8C-4E46-4F61-9E58-9A0ADE047EDE}"/>
    <cellStyle name="Currency 5 2 4 2 2 3" xfId="5067" xr:uid="{EA072F06-86BE-4151-A454-857660839C55}"/>
    <cellStyle name="Currency 5 2 4 2 3" xfId="1176" xr:uid="{7B631BFF-EC29-45D4-B1DB-E1BF4FF07282}"/>
    <cellStyle name="Currency 5 2 4 2 3 2" xfId="3410" xr:uid="{E3DC30CF-F8FB-4B46-80A5-818BA39C424A}"/>
    <cellStyle name="Currency 5 2 4 2 3 2 2" xfId="7625" xr:uid="{CCA43A1B-45A9-4A86-AAE6-B623F165DAA9}"/>
    <cellStyle name="Currency 5 2 4 2 3 3" xfId="5480" xr:uid="{08AD0B42-991A-446C-866A-EAEA16E5051F}"/>
    <cellStyle name="Currency 5 2 4 2 4" xfId="2007" xr:uid="{E637DB1B-E6DF-4C2B-9B7E-A984E07D3C12}"/>
    <cellStyle name="Currency 5 2 4 2 4 2" xfId="3823" xr:uid="{C7AE0848-0CD7-4C23-A624-7E29D8B5C02B}"/>
    <cellStyle name="Currency 5 2 4 2 4 2 2" xfId="8038" xr:uid="{07067298-C921-4C07-80A1-C0D69E8FC665}"/>
    <cellStyle name="Currency 5 2 4 2 4 3" xfId="5893" xr:uid="{1B5F39B4-8F82-4587-AE37-E7D4B4EEFFE8}"/>
    <cellStyle name="Currency 5 2 4 2 5" xfId="2420" xr:uid="{C73302B4-7B06-4CAF-BC72-EFD02B2B6227}"/>
    <cellStyle name="Currency 5 2 4 2 5 2" xfId="4236" xr:uid="{F28D10FE-56EB-4F3A-A6A5-BE3674642D3D}"/>
    <cellStyle name="Currency 5 2 4 2 5 2 2" xfId="8451" xr:uid="{578086FC-FE0A-4202-83B1-461D9928AD4B}"/>
    <cellStyle name="Currency 5 2 4 2 5 3" xfId="6306" xr:uid="{DB41F37C-286A-4DB3-AE89-F87B07627D6D}"/>
    <cellStyle name="Currency 5 2 4 2 6" xfId="2855" xr:uid="{D547178A-F5B8-47E8-86A9-D67889056085}"/>
    <cellStyle name="Currency 5 2 4 2 6 2" xfId="6719" xr:uid="{2E558A46-A6AF-4C76-9E11-F9EB22C88951}"/>
    <cellStyle name="Currency 5 2 4 2 7" xfId="3152" xr:uid="{69196BAE-6541-4608-90F3-192464B23608}"/>
    <cellStyle name="Currency 5 2 4 2 8" xfId="3233" xr:uid="{92CB9514-23E5-4A42-A324-AD12FA4543A4}"/>
    <cellStyle name="Currency 5 2 4 2 8 2" xfId="7036" xr:uid="{50587129-1A87-4D6A-884A-5AD9F782406C}"/>
    <cellStyle name="Currency 5 2 4 2 9" xfId="4653" xr:uid="{1EB3BA1A-6AA9-42A5-BB35-FE26E244161D}"/>
    <cellStyle name="Currency 5 2 4 3" xfId="739" xr:uid="{00000000-0005-0000-0000-000070010000}"/>
    <cellStyle name="Currency 5 2 4 3 2" xfId="1591" xr:uid="{4AA0D7EB-46DF-4CA6-AA84-A4C106A2CC4F}"/>
    <cellStyle name="Currency 5 2 4 3 2 2" xfId="7211" xr:uid="{52180017-80B4-4C6A-81A7-52D830F22BFF}"/>
    <cellStyle name="Currency 5 2 4 3 3" xfId="5066" xr:uid="{8C05B0FD-9997-4324-A721-8522C0CC62BA}"/>
    <cellStyle name="Currency 5 2 4 4" xfId="1175" xr:uid="{ED642EEE-A1EF-4498-9BA5-A5CCFDB80075}"/>
    <cellStyle name="Currency 5 2 4 4 2" xfId="3409" xr:uid="{CF431E19-F3C1-4B16-AA4C-B75B2A676FCC}"/>
    <cellStyle name="Currency 5 2 4 4 2 2" xfId="7624" xr:uid="{FC040465-016F-4E67-98E1-4FEE54F846A4}"/>
    <cellStyle name="Currency 5 2 4 4 3" xfId="5479" xr:uid="{60214D8B-AD90-4700-B960-616D2EC901E3}"/>
    <cellStyle name="Currency 5 2 4 5" xfId="2006" xr:uid="{F0DE3653-B293-406C-A398-733FDAA88693}"/>
    <cellStyle name="Currency 5 2 4 5 2" xfId="3822" xr:uid="{4D6587E6-5598-42C4-AE07-876A1E6530DF}"/>
    <cellStyle name="Currency 5 2 4 5 2 2" xfId="8037" xr:uid="{F24D3685-A972-40A2-B216-5B9A7804834D}"/>
    <cellStyle name="Currency 5 2 4 5 3" xfId="5892" xr:uid="{8C20FEF5-7DF2-490B-B9B5-5D285FE0C38A}"/>
    <cellStyle name="Currency 5 2 4 6" xfId="2419" xr:uid="{30730C73-B591-465C-94D9-1AD1975FC73C}"/>
    <cellStyle name="Currency 5 2 4 6 2" xfId="4235" xr:uid="{927E9E58-8AFE-4582-8586-6A17F8806E4D}"/>
    <cellStyle name="Currency 5 2 4 6 2 2" xfId="8450" xr:uid="{BAB9381C-6CC6-4627-9570-8C695C22C770}"/>
    <cellStyle name="Currency 5 2 4 6 3" xfId="6305" xr:uid="{9BEBDA99-A703-4E04-8516-3D680D844407}"/>
    <cellStyle name="Currency 5 2 4 7" xfId="2854" xr:uid="{5B55BBF2-8885-40E4-AF89-40E78A44EBE2}"/>
    <cellStyle name="Currency 5 2 4 7 2" xfId="6718" xr:uid="{9DCFB60C-7D77-48DC-B854-2D51815B19AD}"/>
    <cellStyle name="Currency 5 2 4 8" xfId="3151" xr:uid="{8E5D7DF0-7343-479D-AD0B-263BD412C243}"/>
    <cellStyle name="Currency 5 2 4 9" xfId="3232" xr:uid="{898EC56E-C51F-4591-905F-A293012F50B7}"/>
    <cellStyle name="Currency 5 2 4 9 2" xfId="7035" xr:uid="{72237F4E-2EA3-4AD5-AC0F-B2726B7712B6}"/>
    <cellStyle name="Currency 5 2 5" xfId="208" xr:uid="{00000000-0005-0000-0000-000071010000}"/>
    <cellStyle name="Currency 5 2 5 2" xfId="741" xr:uid="{00000000-0005-0000-0000-000072010000}"/>
    <cellStyle name="Currency 5 2 5 2 2" xfId="1593" xr:uid="{4C4433B7-D7D7-47C0-BE68-BBE60973AFC5}"/>
    <cellStyle name="Currency 5 2 5 2 2 2" xfId="7213" xr:uid="{A62DD7E3-6248-41F1-8CB5-4F5C52D243D7}"/>
    <cellStyle name="Currency 5 2 5 2 3" xfId="5068" xr:uid="{582C2639-2A31-4790-A075-B0A32DAFF3E5}"/>
    <cellStyle name="Currency 5 2 5 3" xfId="1177" xr:uid="{D38DF290-94F4-4EBE-B052-91FA921018EF}"/>
    <cellStyle name="Currency 5 2 5 3 2" xfId="3411" xr:uid="{C8321422-E823-44E2-A5A2-2766B5DEF328}"/>
    <cellStyle name="Currency 5 2 5 3 2 2" xfId="7626" xr:uid="{4336849E-86A2-4310-B9E3-CFA5507B7317}"/>
    <cellStyle name="Currency 5 2 5 3 3" xfId="5481" xr:uid="{A5635AB2-4F3F-4EEB-B0E9-2DDB83E5906D}"/>
    <cellStyle name="Currency 5 2 5 4" xfId="2008" xr:uid="{3F87E932-139A-4B90-BBB0-6099A7D7C6C9}"/>
    <cellStyle name="Currency 5 2 5 4 2" xfId="3824" xr:uid="{0DC335AD-1CD8-450A-9285-4BE6C3689557}"/>
    <cellStyle name="Currency 5 2 5 4 2 2" xfId="8039" xr:uid="{B6EC524C-1D9B-40AE-8364-A86B70A0B8E9}"/>
    <cellStyle name="Currency 5 2 5 4 3" xfId="5894" xr:uid="{314278E7-F45E-4B98-8458-7E9F6EBCDE76}"/>
    <cellStyle name="Currency 5 2 5 5" xfId="2421" xr:uid="{07CDB2E0-5A3C-4775-938D-D2E64E2CD182}"/>
    <cellStyle name="Currency 5 2 5 5 2" xfId="4237" xr:uid="{C9EF5CEB-28BC-4DF0-A8B1-ABBB9F65EED7}"/>
    <cellStyle name="Currency 5 2 5 5 2 2" xfId="8452" xr:uid="{7350A126-3290-456B-89E3-D6E162BC1094}"/>
    <cellStyle name="Currency 5 2 5 5 3" xfId="6307" xr:uid="{2AF46C78-33B6-48AA-9A68-600AE5881BC3}"/>
    <cellStyle name="Currency 5 2 5 6" xfId="2856" xr:uid="{B72F0428-C1C7-41F8-B16F-DE0A31855FA5}"/>
    <cellStyle name="Currency 5 2 5 6 2" xfId="6720" xr:uid="{E8D5C7D6-6D9A-4959-B53C-F03CC830B71F}"/>
    <cellStyle name="Currency 5 2 5 7" xfId="3153" xr:uid="{B43B303D-2F3B-4C96-AC9B-FEC439AAEE77}"/>
    <cellStyle name="Currency 5 2 5 8" xfId="3234" xr:uid="{903AD6F7-1829-4E33-9804-7BAE77238164}"/>
    <cellStyle name="Currency 5 2 5 8 2" xfId="7037" xr:uid="{92DA7BF4-CE89-43B6-998A-13B78430E8FB}"/>
    <cellStyle name="Currency 5 2 5 9" xfId="4654" xr:uid="{D6D47584-625B-4163-93F5-CBA506762C88}"/>
    <cellStyle name="Currency 5 2 6" xfId="209" xr:uid="{00000000-0005-0000-0000-000073010000}"/>
    <cellStyle name="Currency 5 2 6 2" xfId="742" xr:uid="{00000000-0005-0000-0000-000074010000}"/>
    <cellStyle name="Currency 5 2 6 2 2" xfId="1594" xr:uid="{A711555A-3B02-4448-B9F7-1D9ACA052C6D}"/>
    <cellStyle name="Currency 5 2 6 2 2 2" xfId="7214" xr:uid="{6FE4CC19-433F-4142-B627-71B0FA3A9EFD}"/>
    <cellStyle name="Currency 5 2 6 2 3" xfId="5069" xr:uid="{E7CFE7AE-A380-45B6-9C75-AEFC165D5654}"/>
    <cellStyle name="Currency 5 2 6 3" xfId="1178" xr:uid="{A14280E4-41D7-4287-A57F-FE09F9D8696E}"/>
    <cellStyle name="Currency 5 2 6 3 2" xfId="3412" xr:uid="{5D7CB790-07F0-4457-8FC9-50447AE3BCE5}"/>
    <cellStyle name="Currency 5 2 6 3 2 2" xfId="7627" xr:uid="{C204EE71-3FE3-4843-8EA2-B68600D5E81F}"/>
    <cellStyle name="Currency 5 2 6 3 3" xfId="5482" xr:uid="{AD3B6A7E-4377-4406-BE50-D0C0FE1EA370}"/>
    <cellStyle name="Currency 5 2 6 4" xfId="2009" xr:uid="{875DDA26-ED58-4A3E-9573-F688F32E9D0B}"/>
    <cellStyle name="Currency 5 2 6 4 2" xfId="3825" xr:uid="{B8811D72-FF9E-4265-8CC6-28EE0F778B14}"/>
    <cellStyle name="Currency 5 2 6 4 2 2" xfId="8040" xr:uid="{538E9677-B214-4809-A436-A0A958A98D73}"/>
    <cellStyle name="Currency 5 2 6 4 3" xfId="5895" xr:uid="{146D5F22-A222-406E-BC61-209447BF392E}"/>
    <cellStyle name="Currency 5 2 6 5" xfId="2422" xr:uid="{791219CB-BB0C-46ED-A149-C5FF3A7753C5}"/>
    <cellStyle name="Currency 5 2 6 5 2" xfId="4238" xr:uid="{CD4DE06C-5454-4419-AF7E-86A59A9CEA55}"/>
    <cellStyle name="Currency 5 2 6 5 2 2" xfId="8453" xr:uid="{98FCED55-EE30-4AD0-9431-1DA171264487}"/>
    <cellStyle name="Currency 5 2 6 5 3" xfId="6308" xr:uid="{DF6C55B9-0A54-41F0-B126-4DE1A8CD97C5}"/>
    <cellStyle name="Currency 5 2 6 6" xfId="2857" xr:uid="{FF97FE70-88E2-460C-8E97-522BE3DA63B8}"/>
    <cellStyle name="Currency 5 2 6 6 2" xfId="6721" xr:uid="{4E78197C-C860-4C24-AA3B-54FDA28D5211}"/>
    <cellStyle name="Currency 5 2 6 7" xfId="3154" xr:uid="{300B4C7E-EF45-430A-ABF5-CDF3EF375334}"/>
    <cellStyle name="Currency 5 2 6 8" xfId="3235" xr:uid="{2ED615F5-7B84-4CE0-B5EC-847A51689AE4}"/>
    <cellStyle name="Currency 5 2 6 8 2" xfId="7038" xr:uid="{C285DC6E-9A17-4793-8231-A576E7CEE041}"/>
    <cellStyle name="Currency 5 2 6 9" xfId="4655" xr:uid="{91AA9A1B-6424-44E9-88B6-3A7B9B213B8B}"/>
    <cellStyle name="Currency 5 2 7" xfId="729" xr:uid="{00000000-0005-0000-0000-000075010000}"/>
    <cellStyle name="Currency 5 3" xfId="210" xr:uid="{00000000-0005-0000-0000-000076010000}"/>
    <cellStyle name="Currency 5 3 2" xfId="211" xr:uid="{00000000-0005-0000-0000-000077010000}"/>
    <cellStyle name="Currency 5 3 2 10" xfId="3236" xr:uid="{735BD46D-0763-41EB-A0D3-FAE1A642CC26}"/>
    <cellStyle name="Currency 5 3 2 10 2" xfId="7039" xr:uid="{DA386A37-7CF6-43E9-B316-AA65A9FBFA17}"/>
    <cellStyle name="Currency 5 3 2 11" xfId="4656" xr:uid="{8322B6BA-E272-4E3B-96D8-A3487B8427A1}"/>
    <cellStyle name="Currency 5 3 2 2" xfId="212" xr:uid="{00000000-0005-0000-0000-000078010000}"/>
    <cellStyle name="Currency 5 3 2 2 10" xfId="4657" xr:uid="{2BF9FB5A-62E2-4BFA-B4EA-FD0E438D2713}"/>
    <cellStyle name="Currency 5 3 2 2 2" xfId="213" xr:uid="{00000000-0005-0000-0000-000079010000}"/>
    <cellStyle name="Currency 5 3 2 2 2 2" xfId="745" xr:uid="{00000000-0005-0000-0000-00007A010000}"/>
    <cellStyle name="Currency 5 3 2 2 2 2 2" xfId="1597" xr:uid="{FD1DA4A1-AE3C-41EC-A05C-6DEC9E2F4701}"/>
    <cellStyle name="Currency 5 3 2 2 2 2 2 2" xfId="7217" xr:uid="{FDBEDDBA-5D5F-4B64-8B59-815F913DEF3C}"/>
    <cellStyle name="Currency 5 3 2 2 2 2 3" xfId="5072" xr:uid="{998D9112-D248-4E97-A585-E12BABE226FE}"/>
    <cellStyle name="Currency 5 3 2 2 2 3" xfId="1181" xr:uid="{0435E7DF-B42C-4123-B18B-6A44DC6A3DED}"/>
    <cellStyle name="Currency 5 3 2 2 2 3 2" xfId="3415" xr:uid="{F834A0AD-7897-41A3-AB9B-58B1507E9065}"/>
    <cellStyle name="Currency 5 3 2 2 2 3 2 2" xfId="7630" xr:uid="{0A873766-7348-41AE-81F4-E6E7447A173E}"/>
    <cellStyle name="Currency 5 3 2 2 2 3 3" xfId="5485" xr:uid="{3EEC31D1-123F-457B-B53B-76A290223023}"/>
    <cellStyle name="Currency 5 3 2 2 2 4" xfId="2012" xr:uid="{289086FB-D1F4-45AA-9534-BDB7DB3C813C}"/>
    <cellStyle name="Currency 5 3 2 2 2 4 2" xfId="3828" xr:uid="{2891F74C-DAF4-4152-BD53-992C9F4F0878}"/>
    <cellStyle name="Currency 5 3 2 2 2 4 2 2" xfId="8043" xr:uid="{85664039-AA34-45E7-A22F-CC53F29B3CE1}"/>
    <cellStyle name="Currency 5 3 2 2 2 4 3" xfId="5898" xr:uid="{5ED9EB33-7FEA-49BF-9857-8A9905B53147}"/>
    <cellStyle name="Currency 5 3 2 2 2 5" xfId="2425" xr:uid="{F4586F38-2EE2-4943-BD50-5EEE6A8709FD}"/>
    <cellStyle name="Currency 5 3 2 2 2 5 2" xfId="4241" xr:uid="{F71BF339-D6D7-479C-8FBC-71FAF6CF9F00}"/>
    <cellStyle name="Currency 5 3 2 2 2 5 2 2" xfId="8456" xr:uid="{CD139832-2E1B-4DC9-BD17-9AD0018E6047}"/>
    <cellStyle name="Currency 5 3 2 2 2 5 3" xfId="6311" xr:uid="{848B9D1B-F9CC-4434-B9FD-03457C208784}"/>
    <cellStyle name="Currency 5 3 2 2 2 6" xfId="2860" xr:uid="{18AC48B8-DE9C-458B-A242-01B8E6B5F2AF}"/>
    <cellStyle name="Currency 5 3 2 2 2 6 2" xfId="6724" xr:uid="{24202E97-C9AC-43E3-A588-96C9043FF880}"/>
    <cellStyle name="Currency 5 3 2 2 2 7" xfId="3157" xr:uid="{0A36CFFB-354A-48DB-A2FE-2FC422ED012D}"/>
    <cellStyle name="Currency 5 3 2 2 2 8" xfId="3238" xr:uid="{8ADDA676-1D12-49B8-8C1C-11F409E195AD}"/>
    <cellStyle name="Currency 5 3 2 2 2 8 2" xfId="7041" xr:uid="{0456CDAE-AA65-418E-BAF1-F11C923CEEE4}"/>
    <cellStyle name="Currency 5 3 2 2 2 9" xfId="4658" xr:uid="{78EA8C00-0BED-4D4B-82B6-F3EC4B1D4D9F}"/>
    <cellStyle name="Currency 5 3 2 2 3" xfId="744" xr:uid="{00000000-0005-0000-0000-00007B010000}"/>
    <cellStyle name="Currency 5 3 2 2 3 2" xfId="1596" xr:uid="{EC60E371-6F2D-4F96-8035-9247DE6993E1}"/>
    <cellStyle name="Currency 5 3 2 2 3 2 2" xfId="7216" xr:uid="{039220A3-1AF3-4C4F-AA53-39230C8DD2E8}"/>
    <cellStyle name="Currency 5 3 2 2 3 3" xfId="5071" xr:uid="{4ED4F2AA-6659-4CBD-8715-25BF2E28C559}"/>
    <cellStyle name="Currency 5 3 2 2 4" xfId="1180" xr:uid="{D0531F1E-B760-481E-B8D5-A169ED93224B}"/>
    <cellStyle name="Currency 5 3 2 2 4 2" xfId="3414" xr:uid="{587A8299-1C57-4965-9629-3817EEE5F512}"/>
    <cellStyle name="Currency 5 3 2 2 4 2 2" xfId="7629" xr:uid="{6EB3E7BD-8AA4-4266-BC29-A93CCE2BE0A3}"/>
    <cellStyle name="Currency 5 3 2 2 4 3" xfId="5484" xr:uid="{1F9D946B-DB59-406B-BFC3-065FB397C509}"/>
    <cellStyle name="Currency 5 3 2 2 5" xfId="2011" xr:uid="{009D69B9-9A96-453E-BFA4-BB072911E903}"/>
    <cellStyle name="Currency 5 3 2 2 5 2" xfId="3827" xr:uid="{1BAB8DA0-A24D-4EB3-9B07-ADFC8DD033FD}"/>
    <cellStyle name="Currency 5 3 2 2 5 2 2" xfId="8042" xr:uid="{1F409B62-4210-47E0-B1B1-A229EBE534ED}"/>
    <cellStyle name="Currency 5 3 2 2 5 3" xfId="5897" xr:uid="{39497CEC-5CD0-4A21-BE95-7BEA2F474258}"/>
    <cellStyle name="Currency 5 3 2 2 6" xfId="2424" xr:uid="{809DA492-38B0-4196-98BF-0256B7819F18}"/>
    <cellStyle name="Currency 5 3 2 2 6 2" xfId="4240" xr:uid="{EFFC99CE-1012-4F1B-B04A-A63139CE437D}"/>
    <cellStyle name="Currency 5 3 2 2 6 2 2" xfId="8455" xr:uid="{DFE79E5D-CE07-448B-803D-D3D95D2AD768}"/>
    <cellStyle name="Currency 5 3 2 2 6 3" xfId="6310" xr:uid="{0C2D37A3-9C77-4ADB-9EA5-47269172DFE9}"/>
    <cellStyle name="Currency 5 3 2 2 7" xfId="2859" xr:uid="{3C8D8D49-ABD4-4889-8C97-2FA0FB3A833A}"/>
    <cellStyle name="Currency 5 3 2 2 7 2" xfId="6723" xr:uid="{A042183C-149B-4ED7-AFAD-0F1256AC82F0}"/>
    <cellStyle name="Currency 5 3 2 2 8" xfId="3156" xr:uid="{1EF6B7FE-0504-47BE-B342-5196A6D650DF}"/>
    <cellStyle name="Currency 5 3 2 2 9" xfId="3237" xr:uid="{A726BBF0-074A-4916-B520-1EFB63F6E328}"/>
    <cellStyle name="Currency 5 3 2 2 9 2" xfId="7040" xr:uid="{23D14B86-CE65-49C8-BC77-CBE040D253A9}"/>
    <cellStyle name="Currency 5 3 2 3" xfId="214" xr:uid="{00000000-0005-0000-0000-00007C010000}"/>
    <cellStyle name="Currency 5 3 2 3 2" xfId="746" xr:uid="{00000000-0005-0000-0000-00007D010000}"/>
    <cellStyle name="Currency 5 3 2 3 2 2" xfId="1598" xr:uid="{95D96CD9-959E-4D53-9864-9821066CCAD3}"/>
    <cellStyle name="Currency 5 3 2 3 2 2 2" xfId="7218" xr:uid="{12CF996D-B4C6-4AC6-AB7E-349D5FFBEAE1}"/>
    <cellStyle name="Currency 5 3 2 3 2 3" xfId="5073" xr:uid="{936E9E05-E2BD-4B3B-9828-2B3445E9CEC8}"/>
    <cellStyle name="Currency 5 3 2 3 3" xfId="1182" xr:uid="{07792861-2812-4426-8B23-8A5E6E961C4A}"/>
    <cellStyle name="Currency 5 3 2 3 3 2" xfId="3416" xr:uid="{4ABD125C-4F25-45FF-968E-3B7992DF797F}"/>
    <cellStyle name="Currency 5 3 2 3 3 2 2" xfId="7631" xr:uid="{E8965256-24FB-4F39-B233-87DF46C3EE94}"/>
    <cellStyle name="Currency 5 3 2 3 3 3" xfId="5486" xr:uid="{18A6133E-35A0-495A-AF54-1CC669A3F9F0}"/>
    <cellStyle name="Currency 5 3 2 3 4" xfId="2013" xr:uid="{C68B56C3-EC96-4849-8ADC-1BDA509D7F13}"/>
    <cellStyle name="Currency 5 3 2 3 4 2" xfId="3829" xr:uid="{ABA1940C-FA5A-4711-8912-8FE0CD1D47E0}"/>
    <cellStyle name="Currency 5 3 2 3 4 2 2" xfId="8044" xr:uid="{1ABB0E9F-E57E-45E8-97B7-F1BDA32B4F0F}"/>
    <cellStyle name="Currency 5 3 2 3 4 3" xfId="5899" xr:uid="{F1722129-68BB-4FB3-9860-048E350C3BE0}"/>
    <cellStyle name="Currency 5 3 2 3 5" xfId="2426" xr:uid="{43CBA215-DBB9-43E8-9098-08DE7CB2AD53}"/>
    <cellStyle name="Currency 5 3 2 3 5 2" xfId="4242" xr:uid="{0C91AEEC-9574-41D7-9F35-E3BC4FAEEE5B}"/>
    <cellStyle name="Currency 5 3 2 3 5 2 2" xfId="8457" xr:uid="{874C6845-1444-4131-ACE1-812C4F4A6F30}"/>
    <cellStyle name="Currency 5 3 2 3 5 3" xfId="6312" xr:uid="{89E5C9C3-2688-4479-98DD-DCAB6B7AF639}"/>
    <cellStyle name="Currency 5 3 2 3 6" xfId="2861" xr:uid="{8B45AD0A-50FB-4916-B49E-6DF11497F8EB}"/>
    <cellStyle name="Currency 5 3 2 3 6 2" xfId="6725" xr:uid="{99D9122A-B1EF-43E0-9B0F-C18BDA64C91D}"/>
    <cellStyle name="Currency 5 3 2 3 7" xfId="3158" xr:uid="{F76DAC8D-85E5-46CD-9ACA-A82B0022527F}"/>
    <cellStyle name="Currency 5 3 2 3 8" xfId="3239" xr:uid="{2844A130-C4F7-4320-B25C-223B3ED37CB6}"/>
    <cellStyle name="Currency 5 3 2 3 8 2" xfId="7042" xr:uid="{87847687-D078-4B1B-8F2A-FF94757BC312}"/>
    <cellStyle name="Currency 5 3 2 3 9" xfId="4659" xr:uid="{2B401E50-8126-4F29-A8AE-397E6CA6F8CC}"/>
    <cellStyle name="Currency 5 3 2 4" xfId="743" xr:uid="{00000000-0005-0000-0000-00007E010000}"/>
    <cellStyle name="Currency 5 3 2 4 2" xfId="1595" xr:uid="{72A9C17E-AD3F-4D38-B719-D0F03F4C4161}"/>
    <cellStyle name="Currency 5 3 2 4 2 2" xfId="7215" xr:uid="{D91633C0-7592-4058-A614-55C15B0246DA}"/>
    <cellStyle name="Currency 5 3 2 4 3" xfId="5070" xr:uid="{6AD4C589-04E1-4D2A-A8A6-5776033BAD4C}"/>
    <cellStyle name="Currency 5 3 2 5" xfId="1179" xr:uid="{F5D78C1D-A805-4BD0-AF81-3FEE586DADBD}"/>
    <cellStyle name="Currency 5 3 2 5 2" xfId="3413" xr:uid="{6B2786FD-827E-4845-97FF-D7BD43EE5BEB}"/>
    <cellStyle name="Currency 5 3 2 5 2 2" xfId="7628" xr:uid="{C0D0A6FF-B7D3-4B69-A7EE-891633CF164A}"/>
    <cellStyle name="Currency 5 3 2 5 3" xfId="5483" xr:uid="{FB307526-5857-4128-B0DA-83CBAC1E7C86}"/>
    <cellStyle name="Currency 5 3 2 6" xfId="2010" xr:uid="{4B9F307C-6729-427B-B1DC-ECBE22EA3A67}"/>
    <cellStyle name="Currency 5 3 2 6 2" xfId="3826" xr:uid="{20934683-7423-4BAA-8467-A0BC78CA249A}"/>
    <cellStyle name="Currency 5 3 2 6 2 2" xfId="8041" xr:uid="{4BD507A7-8248-4AF6-8E76-B523FEA726BC}"/>
    <cellStyle name="Currency 5 3 2 6 3" xfId="5896" xr:uid="{B04D7DB6-DF87-4F50-A6ED-22C1712EDF72}"/>
    <cellStyle name="Currency 5 3 2 7" xfId="2423" xr:uid="{2050545E-3CCA-4C35-8237-5BD116C4E73C}"/>
    <cellStyle name="Currency 5 3 2 7 2" xfId="4239" xr:uid="{F2EC7955-3F37-4804-B6FA-425C4D5B8971}"/>
    <cellStyle name="Currency 5 3 2 7 2 2" xfId="8454" xr:uid="{5CDBFFFF-869D-4FD9-9954-7CD31ECCFD37}"/>
    <cellStyle name="Currency 5 3 2 7 3" xfId="6309" xr:uid="{46425454-248E-4333-BE3A-1B75060AF42D}"/>
    <cellStyle name="Currency 5 3 2 8" xfId="2858" xr:uid="{F252B556-BB6B-4FF1-9525-72EB51F994F9}"/>
    <cellStyle name="Currency 5 3 2 8 2" xfId="6722" xr:uid="{C2B4EE71-115E-4A38-8756-9EDF48E90218}"/>
    <cellStyle name="Currency 5 3 2 9" xfId="3155" xr:uid="{081CF7DE-59A9-418F-82A4-D85CA717BC02}"/>
    <cellStyle name="Currency 5 3 3" xfId="215" xr:uid="{00000000-0005-0000-0000-00007F010000}"/>
    <cellStyle name="Currency 5 3 3 10" xfId="4660" xr:uid="{D21048AE-D4DB-406F-B192-F042BE9077D3}"/>
    <cellStyle name="Currency 5 3 3 2" xfId="216" xr:uid="{00000000-0005-0000-0000-000080010000}"/>
    <cellStyle name="Currency 5 3 3 2 2" xfId="748" xr:uid="{00000000-0005-0000-0000-000081010000}"/>
    <cellStyle name="Currency 5 3 3 2 2 2" xfId="1600" xr:uid="{01C49FFA-020C-47C6-BE9F-1523D6027674}"/>
    <cellStyle name="Currency 5 3 3 2 2 2 2" xfId="7220" xr:uid="{F48EB14F-D1AD-4E3B-80F9-759FB8D68058}"/>
    <cellStyle name="Currency 5 3 3 2 2 3" xfId="5075" xr:uid="{33AE9C0D-7080-4B7C-84B0-3345EC3711DC}"/>
    <cellStyle name="Currency 5 3 3 2 3" xfId="1184" xr:uid="{A8CA296B-BB0B-4E96-B46E-E83176E8DA2A}"/>
    <cellStyle name="Currency 5 3 3 2 3 2" xfId="3418" xr:uid="{3ABA2192-6DFD-4485-A16B-0CC64EEC4DBF}"/>
    <cellStyle name="Currency 5 3 3 2 3 2 2" xfId="7633" xr:uid="{F852B94F-A93C-46C6-9E41-61702CACF079}"/>
    <cellStyle name="Currency 5 3 3 2 3 3" xfId="5488" xr:uid="{E87BB331-5E73-4922-9FE7-B7195EB83CAC}"/>
    <cellStyle name="Currency 5 3 3 2 4" xfId="2015" xr:uid="{A924B8D5-7013-4F53-848B-999A856CCC22}"/>
    <cellStyle name="Currency 5 3 3 2 4 2" xfId="3831" xr:uid="{6D49A40C-4C0A-46EA-A42E-F65A8F5FD478}"/>
    <cellStyle name="Currency 5 3 3 2 4 2 2" xfId="8046" xr:uid="{41BDC71E-82F3-407E-A6FD-02D7CB6A3CAA}"/>
    <cellStyle name="Currency 5 3 3 2 4 3" xfId="5901" xr:uid="{2ECC1306-7BBA-418E-BA1A-76064E94EFC4}"/>
    <cellStyle name="Currency 5 3 3 2 5" xfId="2428" xr:uid="{8E2A86ED-1E77-4FCC-87F3-F072880BE739}"/>
    <cellStyle name="Currency 5 3 3 2 5 2" xfId="4244" xr:uid="{4DB4A08E-EA8D-40B4-859B-0B812775522B}"/>
    <cellStyle name="Currency 5 3 3 2 5 2 2" xfId="8459" xr:uid="{FCDD6411-CE57-4557-986F-EF18A4F403E6}"/>
    <cellStyle name="Currency 5 3 3 2 5 3" xfId="6314" xr:uid="{132DCD50-0930-4410-BEF5-ED40D2EE0344}"/>
    <cellStyle name="Currency 5 3 3 2 6" xfId="2863" xr:uid="{1091AEA0-2CCA-4953-88F3-8B8C64058A0A}"/>
    <cellStyle name="Currency 5 3 3 2 6 2" xfId="6727" xr:uid="{7834C2AD-F4ED-4CC7-9302-818DFB2C6EB1}"/>
    <cellStyle name="Currency 5 3 3 2 7" xfId="3160" xr:uid="{5218CF49-5C24-4B53-A8F9-9EF9749574F2}"/>
    <cellStyle name="Currency 5 3 3 2 8" xfId="3241" xr:uid="{61CFB26D-CF17-4E16-893F-2C1DA49565CA}"/>
    <cellStyle name="Currency 5 3 3 2 8 2" xfId="7044" xr:uid="{2CF8991D-2EC3-4BF9-BE96-7F64C151D575}"/>
    <cellStyle name="Currency 5 3 3 2 9" xfId="4661" xr:uid="{75994BF4-B46B-4128-BAF8-AF32FE7DE473}"/>
    <cellStyle name="Currency 5 3 3 3" xfId="747" xr:uid="{00000000-0005-0000-0000-000082010000}"/>
    <cellStyle name="Currency 5 3 3 3 2" xfId="1599" xr:uid="{CDEB7C09-3021-4E5B-B84E-BF7B397660D7}"/>
    <cellStyle name="Currency 5 3 3 3 2 2" xfId="7219" xr:uid="{77093AE3-0FE8-42D1-B9CB-DD5B0BBE92C8}"/>
    <cellStyle name="Currency 5 3 3 3 3" xfId="5074" xr:uid="{18EEE32A-E287-495C-BEF4-4E25367F34FA}"/>
    <cellStyle name="Currency 5 3 3 4" xfId="1183" xr:uid="{3E82B573-44AA-41BD-8CCC-EF93EE23F70B}"/>
    <cellStyle name="Currency 5 3 3 4 2" xfId="3417" xr:uid="{D6FA3599-F5D1-4C19-88FB-CAE3F8AAAEF9}"/>
    <cellStyle name="Currency 5 3 3 4 2 2" xfId="7632" xr:uid="{876983CF-6604-4C03-AB54-B42BAFF88A74}"/>
    <cellStyle name="Currency 5 3 3 4 3" xfId="5487" xr:uid="{F0B99F9F-D71D-4BCA-A3B1-F707D5DC8F52}"/>
    <cellStyle name="Currency 5 3 3 5" xfId="2014" xr:uid="{78CDC124-967D-4FD7-A783-7C4F2CD122A4}"/>
    <cellStyle name="Currency 5 3 3 5 2" xfId="3830" xr:uid="{BD0DBDEC-2700-4E04-AEF2-AB832AABB01E}"/>
    <cellStyle name="Currency 5 3 3 5 2 2" xfId="8045" xr:uid="{E7199A8D-159B-48EE-A288-C205B45C768C}"/>
    <cellStyle name="Currency 5 3 3 5 3" xfId="5900" xr:uid="{8CC5FDCC-271C-4C25-96EE-7F78063F24F1}"/>
    <cellStyle name="Currency 5 3 3 6" xfId="2427" xr:uid="{2A239805-CCD1-4DDA-B260-75EDEC752998}"/>
    <cellStyle name="Currency 5 3 3 6 2" xfId="4243" xr:uid="{491A6794-6191-4868-84FB-F214752E25FB}"/>
    <cellStyle name="Currency 5 3 3 6 2 2" xfId="8458" xr:uid="{D7A51070-78DE-4A2F-B4AB-DEE10FC4C9F2}"/>
    <cellStyle name="Currency 5 3 3 6 3" xfId="6313" xr:uid="{41501937-8EF8-4FBF-BF0D-8C362C741205}"/>
    <cellStyle name="Currency 5 3 3 7" xfId="2862" xr:uid="{C0A67847-D1E5-4765-AC53-866A95999B90}"/>
    <cellStyle name="Currency 5 3 3 7 2" xfId="6726" xr:uid="{54435D2B-AF36-416C-B718-70E1111168B1}"/>
    <cellStyle name="Currency 5 3 3 8" xfId="3159" xr:uid="{904DDD61-2E52-4FBD-BF0F-681759D11EB2}"/>
    <cellStyle name="Currency 5 3 3 9" xfId="3240" xr:uid="{FB924CE6-C8DC-4BB3-A6C3-BBACF34973E5}"/>
    <cellStyle name="Currency 5 3 3 9 2" xfId="7043" xr:uid="{CF22AD08-6230-4544-89AA-4E4F49B4F949}"/>
    <cellStyle name="Currency 5 3 4" xfId="217" xr:uid="{00000000-0005-0000-0000-000083010000}"/>
    <cellStyle name="Currency 5 3 4 2" xfId="749" xr:uid="{00000000-0005-0000-0000-000084010000}"/>
    <cellStyle name="Currency 5 3 4 2 2" xfId="1601" xr:uid="{344D3F82-1C05-4F8F-B412-AC473FED2DA6}"/>
    <cellStyle name="Currency 5 3 4 2 2 2" xfId="7221" xr:uid="{ADB256C6-8ABB-4135-9755-AF5BC6A22809}"/>
    <cellStyle name="Currency 5 3 4 2 3" xfId="5076" xr:uid="{0873CD57-31AE-4DA0-800C-F2BC7D62F7C3}"/>
    <cellStyle name="Currency 5 3 4 3" xfId="1185" xr:uid="{E35A9270-7B00-4E1C-85BD-1F812E71E657}"/>
    <cellStyle name="Currency 5 3 4 3 2" xfId="3419" xr:uid="{A28A4F5D-4C1D-4100-8AA6-F39C282A746E}"/>
    <cellStyle name="Currency 5 3 4 3 2 2" xfId="7634" xr:uid="{822A0FDA-11DC-4994-A90C-52C456BF4221}"/>
    <cellStyle name="Currency 5 3 4 3 3" xfId="5489" xr:uid="{2DF13674-8102-4EA5-980D-53631E834C1B}"/>
    <cellStyle name="Currency 5 3 4 4" xfId="2016" xr:uid="{BE121D46-EC4B-48E7-A6C9-7F45E49F2AE7}"/>
    <cellStyle name="Currency 5 3 4 4 2" xfId="3832" xr:uid="{60A4F5AC-D65E-45AE-872D-1AF7A10FE6AB}"/>
    <cellStyle name="Currency 5 3 4 4 2 2" xfId="8047" xr:uid="{AC2F46B7-A80F-45C5-A01C-ED64721FB096}"/>
    <cellStyle name="Currency 5 3 4 4 3" xfId="5902" xr:uid="{9D6DABDC-CA07-4E05-B636-BB8836BB2CBA}"/>
    <cellStyle name="Currency 5 3 4 5" xfId="2429" xr:uid="{45147F2E-6607-43A0-8995-C9F7C17ED0F8}"/>
    <cellStyle name="Currency 5 3 4 5 2" xfId="4245" xr:uid="{A649A6FC-FE70-4138-A32F-42D03CD6A826}"/>
    <cellStyle name="Currency 5 3 4 5 2 2" xfId="8460" xr:uid="{07BD1CCE-8328-4C7B-BFAE-A68BBE266739}"/>
    <cellStyle name="Currency 5 3 4 5 3" xfId="6315" xr:uid="{33C12746-6BA3-43A8-85CB-36E89789B32E}"/>
    <cellStyle name="Currency 5 3 4 6" xfId="2864" xr:uid="{D68E1EDA-1737-441E-B3E7-46434C095D25}"/>
    <cellStyle name="Currency 5 3 4 6 2" xfId="6728" xr:uid="{C7B9DD4F-A5BA-4553-B411-D379E855D465}"/>
    <cellStyle name="Currency 5 3 4 7" xfId="3161" xr:uid="{15F6FF64-D2DE-451B-BAFD-E6EF1BCDA1B0}"/>
    <cellStyle name="Currency 5 3 4 8" xfId="3242" xr:uid="{FA9BBD71-6C4E-4E8E-948F-DE3A15852E8B}"/>
    <cellStyle name="Currency 5 3 4 8 2" xfId="7045" xr:uid="{DA52C83C-ACD3-4585-BA10-647A3861C673}"/>
    <cellStyle name="Currency 5 3 4 9" xfId="4662" xr:uid="{BAAB4CA2-D085-463A-9BA5-72E5A233DA6F}"/>
    <cellStyle name="Currency 5 3 5" xfId="218" xr:uid="{00000000-0005-0000-0000-000085010000}"/>
    <cellStyle name="Currency 5 3 5 2" xfId="750" xr:uid="{00000000-0005-0000-0000-000086010000}"/>
    <cellStyle name="Currency 5 3 5 2 2" xfId="1602" xr:uid="{D62ED74E-BA6A-4686-B586-80EF640DC149}"/>
    <cellStyle name="Currency 5 3 5 2 2 2" xfId="7222" xr:uid="{5FE686D8-31B8-41DC-B6FD-5E84ED826BB0}"/>
    <cellStyle name="Currency 5 3 5 2 3" xfId="5077" xr:uid="{3A7A9810-E508-4670-8C08-536859A408B3}"/>
    <cellStyle name="Currency 5 3 5 3" xfId="1186" xr:uid="{44AB1B7F-A3D3-49A1-A0E6-5CEE6FEAB5B6}"/>
    <cellStyle name="Currency 5 3 5 3 2" xfId="3420" xr:uid="{43B368F2-5270-41A5-9FFF-4488DE3CBB5B}"/>
    <cellStyle name="Currency 5 3 5 3 2 2" xfId="7635" xr:uid="{D5ECA80C-201E-4312-8668-B6CF50404996}"/>
    <cellStyle name="Currency 5 3 5 3 3" xfId="5490" xr:uid="{F266B88B-0D3D-49D7-B9BE-8F74FF59139E}"/>
    <cellStyle name="Currency 5 3 5 4" xfId="2017" xr:uid="{037A4A87-0619-4E3F-B9BC-428823484A89}"/>
    <cellStyle name="Currency 5 3 5 4 2" xfId="3833" xr:uid="{14719B4E-1224-4E31-8E4C-A1B4E9C86C09}"/>
    <cellStyle name="Currency 5 3 5 4 2 2" xfId="8048" xr:uid="{E2D1F598-F431-4EFD-B1F9-3E55EBE3A31D}"/>
    <cellStyle name="Currency 5 3 5 4 3" xfId="5903" xr:uid="{0813CF9B-36CB-4AE7-B0DD-9A05888BC0DD}"/>
    <cellStyle name="Currency 5 3 5 5" xfId="2430" xr:uid="{2901B58B-CF23-4B0A-820B-DBC7FA507181}"/>
    <cellStyle name="Currency 5 3 5 5 2" xfId="4246" xr:uid="{377EE69E-68C2-45FF-99C3-148C3FE002D9}"/>
    <cellStyle name="Currency 5 3 5 5 2 2" xfId="8461" xr:uid="{AA513FC8-A38D-4B7E-8D9F-56E72842AA79}"/>
    <cellStyle name="Currency 5 3 5 5 3" xfId="6316" xr:uid="{BE99C4BB-F059-4006-A20D-D040506DAF91}"/>
    <cellStyle name="Currency 5 3 5 6" xfId="2865" xr:uid="{93E53BBF-CB23-4D86-8738-575B4785C34B}"/>
    <cellStyle name="Currency 5 3 5 6 2" xfId="6729" xr:uid="{C6402B75-7174-4DDB-9B82-E05D68CF35EA}"/>
    <cellStyle name="Currency 5 3 5 7" xfId="3162" xr:uid="{8DD0470F-A351-4211-B2BF-47F7CA689CA0}"/>
    <cellStyle name="Currency 5 3 5 8" xfId="3243" xr:uid="{0CF0529E-15CF-46AF-844C-8C20D048F533}"/>
    <cellStyle name="Currency 5 3 5 8 2" xfId="7046" xr:uid="{67FCB14A-55B5-4144-B83C-6F20446CF8E7}"/>
    <cellStyle name="Currency 5 3 5 9" xfId="4663" xr:uid="{B6D3DF90-C095-45E4-A36B-99EDABDBAC0A}"/>
    <cellStyle name="Currency 5 4" xfId="219" xr:uid="{00000000-0005-0000-0000-000087010000}"/>
    <cellStyle name="Currency 5 4 2" xfId="751" xr:uid="{00000000-0005-0000-0000-000088010000}"/>
    <cellStyle name="Currency 5 5" xfId="220" xr:uid="{00000000-0005-0000-0000-000089010000}"/>
    <cellStyle name="Currency 5 5 10" xfId="4664" xr:uid="{C7E931A5-4C96-4CDE-BD46-7DB69341FE59}"/>
    <cellStyle name="Currency 5 5 2" xfId="221" xr:uid="{00000000-0005-0000-0000-00008A010000}"/>
    <cellStyle name="Currency 5 5 2 2" xfId="753" xr:uid="{00000000-0005-0000-0000-00008B010000}"/>
    <cellStyle name="Currency 5 5 2 2 2" xfId="1604" xr:uid="{4708A49F-6464-4DB5-8130-FE69381A3155}"/>
    <cellStyle name="Currency 5 5 2 2 2 2" xfId="7224" xr:uid="{2AEB7F29-B01E-4C3A-8BD6-B133C0FCE362}"/>
    <cellStyle name="Currency 5 5 2 2 3" xfId="5079" xr:uid="{19C0C6CE-3CBC-4602-BBDE-1D388EE573DD}"/>
    <cellStyle name="Currency 5 5 2 3" xfId="1188" xr:uid="{1293DBD9-B779-4065-9229-CCC0F9815F47}"/>
    <cellStyle name="Currency 5 5 2 3 2" xfId="3422" xr:uid="{C9B083AD-D56D-4504-8CEF-24C571E7A6BB}"/>
    <cellStyle name="Currency 5 5 2 3 2 2" xfId="7637" xr:uid="{EE1D3CA1-36A9-4463-B11C-BB6C23C7E77E}"/>
    <cellStyle name="Currency 5 5 2 3 3" xfId="5492" xr:uid="{8E823CAC-5458-481E-AFAF-ACE63EB03611}"/>
    <cellStyle name="Currency 5 5 2 4" xfId="2019" xr:uid="{A77DD938-8085-4C8F-854C-A7BB3F77F080}"/>
    <cellStyle name="Currency 5 5 2 4 2" xfId="3835" xr:uid="{EDA802C8-CABB-4A8E-B1CC-903CF2B7C85F}"/>
    <cellStyle name="Currency 5 5 2 4 2 2" xfId="8050" xr:uid="{080ADCEF-FA1C-4E23-9447-03E843BB9A8E}"/>
    <cellStyle name="Currency 5 5 2 4 3" xfId="5905" xr:uid="{D4464F26-C140-4690-8D0A-60563347D706}"/>
    <cellStyle name="Currency 5 5 2 5" xfId="2432" xr:uid="{4B6DC005-1913-49B4-96B4-12DE3F3D8B85}"/>
    <cellStyle name="Currency 5 5 2 5 2" xfId="4248" xr:uid="{C4B5789C-6F14-4524-B4F3-D6ADBA74297B}"/>
    <cellStyle name="Currency 5 5 2 5 2 2" xfId="8463" xr:uid="{CE335E82-8835-4038-965D-6A5D315C3D92}"/>
    <cellStyle name="Currency 5 5 2 5 3" xfId="6318" xr:uid="{20B00914-CA47-4E46-933F-9B9B069B41AF}"/>
    <cellStyle name="Currency 5 5 2 6" xfId="2867" xr:uid="{0450BDE8-04B3-46B1-AD56-676B02B6A8CF}"/>
    <cellStyle name="Currency 5 5 2 6 2" xfId="6731" xr:uid="{7254B778-E0AB-4B0E-B67E-00E3718E3AFB}"/>
    <cellStyle name="Currency 5 5 2 7" xfId="3164" xr:uid="{1FCA2973-A781-41FF-80CB-535D55D7761A}"/>
    <cellStyle name="Currency 5 5 2 8" xfId="3245" xr:uid="{522D4C20-BFF1-4F65-991D-E6497818B5E0}"/>
    <cellStyle name="Currency 5 5 2 8 2" xfId="7048" xr:uid="{9A755651-F4DE-4721-B0F5-7D9B1BF90521}"/>
    <cellStyle name="Currency 5 5 2 9" xfId="4665" xr:uid="{22CCF5BA-C669-43CA-A240-C2C6F30C58E1}"/>
    <cellStyle name="Currency 5 5 3" xfId="752" xr:uid="{00000000-0005-0000-0000-00008C010000}"/>
    <cellStyle name="Currency 5 5 3 2" xfId="1603" xr:uid="{21C3044B-E9E2-456E-B1B3-F2641099365E}"/>
    <cellStyle name="Currency 5 5 3 2 2" xfId="7223" xr:uid="{A282880F-2E55-4189-B310-D116723600A1}"/>
    <cellStyle name="Currency 5 5 3 3" xfId="5078" xr:uid="{0FF8E122-D28A-4DA2-A078-D2D187B75B3F}"/>
    <cellStyle name="Currency 5 5 4" xfId="1187" xr:uid="{2ADDD72A-735A-4966-8B41-261216CF6D14}"/>
    <cellStyle name="Currency 5 5 4 2" xfId="3421" xr:uid="{D044E0CB-D14A-46DA-B751-818AA5F8C9F8}"/>
    <cellStyle name="Currency 5 5 4 2 2" xfId="7636" xr:uid="{9312B92E-A142-4FA7-BE21-F7ABC922E608}"/>
    <cellStyle name="Currency 5 5 4 3" xfId="5491" xr:uid="{E5428F42-A7F1-4E4B-81FF-9ECF6F4D7424}"/>
    <cellStyle name="Currency 5 5 5" xfId="2018" xr:uid="{BF099F60-EC71-4CAA-A551-DE7A4D8BC3DB}"/>
    <cellStyle name="Currency 5 5 5 2" xfId="3834" xr:uid="{08B1747A-DAA2-462A-8BDA-4CF8A0AC4CFA}"/>
    <cellStyle name="Currency 5 5 5 2 2" xfId="8049" xr:uid="{37AF5376-7DB9-48F9-BBC6-08E75479FDD8}"/>
    <cellStyle name="Currency 5 5 5 3" xfId="5904" xr:uid="{6C2B489A-BAD0-42A6-A386-74F433A74018}"/>
    <cellStyle name="Currency 5 5 6" xfId="2431" xr:uid="{2AE5636E-A57C-4BD3-AA88-8AA5F35089A0}"/>
    <cellStyle name="Currency 5 5 6 2" xfId="4247" xr:uid="{C8422CD0-DB15-4DFB-8A0F-98EC08B94FAA}"/>
    <cellStyle name="Currency 5 5 6 2 2" xfId="8462" xr:uid="{85881764-85E1-48FE-A1E0-CCF568B1B3AA}"/>
    <cellStyle name="Currency 5 5 6 3" xfId="6317" xr:uid="{92516E0A-C713-4874-A65D-C2B3A5F1FDF9}"/>
    <cellStyle name="Currency 5 5 7" xfId="2866" xr:uid="{DF091CD0-56F6-474E-98ED-3B10FB2C86F1}"/>
    <cellStyle name="Currency 5 5 7 2" xfId="6730" xr:uid="{796A0AB2-1AAC-449B-BA39-3C113A74EF0C}"/>
    <cellStyle name="Currency 5 5 8" xfId="3163" xr:uid="{E3CBE924-6297-4728-9096-B465A28C8289}"/>
    <cellStyle name="Currency 5 5 9" xfId="3244" xr:uid="{F2AF32A9-C4F2-4E8B-B8AE-FC1698E7B25D}"/>
    <cellStyle name="Currency 5 5 9 2" xfId="7047" xr:uid="{6038A82C-3F2F-4D6C-9882-5333FD931C4D}"/>
    <cellStyle name="Currency 5 6" xfId="222" xr:uid="{00000000-0005-0000-0000-00008D010000}"/>
    <cellStyle name="Currency 5 6 2" xfId="754" xr:uid="{00000000-0005-0000-0000-00008E010000}"/>
    <cellStyle name="Currency 5 6 2 2" xfId="1605" xr:uid="{77271D4B-D02F-497A-AAB1-83A8A9430428}"/>
    <cellStyle name="Currency 5 6 2 2 2" xfId="7225" xr:uid="{556CC53C-0DC0-42E6-A2AF-D1E55BA4F24A}"/>
    <cellStyle name="Currency 5 6 2 3" xfId="5080" xr:uid="{801822A9-2A4D-415E-8C51-70820B6DC226}"/>
    <cellStyle name="Currency 5 6 3" xfId="1189" xr:uid="{A5975782-F48B-4626-BD7E-AECC4F820856}"/>
    <cellStyle name="Currency 5 6 3 2" xfId="3423" xr:uid="{ABF95E9A-0345-457E-9BA9-A445713163DB}"/>
    <cellStyle name="Currency 5 6 3 2 2" xfId="7638" xr:uid="{DCC6CF69-DC1D-4674-A1E5-32AAB84BE69B}"/>
    <cellStyle name="Currency 5 6 3 3" xfId="5493" xr:uid="{6BA43B52-11B0-4A16-A584-0DC6E26F7CE4}"/>
    <cellStyle name="Currency 5 6 4" xfId="2020" xr:uid="{3568A469-41F3-4542-AD5B-9077F4B6A3F7}"/>
    <cellStyle name="Currency 5 6 4 2" xfId="3836" xr:uid="{AF181C9C-797B-42C5-813F-7372DF5D2045}"/>
    <cellStyle name="Currency 5 6 4 2 2" xfId="8051" xr:uid="{9DB91ECF-06E8-4987-9EAE-45EF3F51A783}"/>
    <cellStyle name="Currency 5 6 4 3" xfId="5906" xr:uid="{71E92587-04C1-4F57-B81C-30BE98046471}"/>
    <cellStyle name="Currency 5 6 5" xfId="2433" xr:uid="{573C1BF4-77EE-4404-8F29-EE7A14F51B18}"/>
    <cellStyle name="Currency 5 6 5 2" xfId="4249" xr:uid="{2730AB61-E8A6-44B4-A75F-93209FB26194}"/>
    <cellStyle name="Currency 5 6 5 2 2" xfId="8464" xr:uid="{05E780CB-CE6B-4838-A480-4A75B25E42B2}"/>
    <cellStyle name="Currency 5 6 5 3" xfId="6319" xr:uid="{2FC04CD7-ECDC-4641-A183-0A50B866D29C}"/>
    <cellStyle name="Currency 5 6 6" xfId="2868" xr:uid="{F237791A-93E7-402C-8DA0-0B4FF8E687EB}"/>
    <cellStyle name="Currency 5 6 6 2" xfId="6732" xr:uid="{25BA4A3D-FD34-4A0B-A3B3-F2554A6C14E4}"/>
    <cellStyle name="Currency 5 6 7" xfId="3165" xr:uid="{478B4B87-8903-4423-8580-FB4926DD1C92}"/>
    <cellStyle name="Currency 5 6 8" xfId="3246" xr:uid="{06BFC9C8-742D-49EA-B163-106530CBF13C}"/>
    <cellStyle name="Currency 5 6 8 2" xfId="7049" xr:uid="{393586BE-0A10-42DD-A2C1-90F9E7D09A53}"/>
    <cellStyle name="Currency 5 6 9" xfId="4666" xr:uid="{0FE4157D-25AD-4816-883B-3F7EF5C05FF4}"/>
    <cellStyle name="Currency 5 7" xfId="223" xr:uid="{00000000-0005-0000-0000-00008F010000}"/>
    <cellStyle name="Currency 5 7 2" xfId="755" xr:uid="{00000000-0005-0000-0000-000090010000}"/>
    <cellStyle name="Currency 5 7 2 2" xfId="1606" xr:uid="{3C83A5B6-8A47-4526-B117-1E96D0EF4136}"/>
    <cellStyle name="Currency 5 7 2 2 2" xfId="7226" xr:uid="{D1F4333F-3058-445A-85B4-54CCBC29FEFF}"/>
    <cellStyle name="Currency 5 7 2 3" xfId="5081" xr:uid="{4BAB06E4-7D3B-4694-AF1F-1732AA221E51}"/>
    <cellStyle name="Currency 5 7 3" xfId="1190" xr:uid="{E4206D1C-37BC-4440-9A71-F10A6C0F91D6}"/>
    <cellStyle name="Currency 5 7 3 2" xfId="3424" xr:uid="{A0AF2A69-A4DB-49E9-BA83-E03FB701FD51}"/>
    <cellStyle name="Currency 5 7 3 2 2" xfId="7639" xr:uid="{6F3773EC-46F3-4CE6-B83E-276FF1685D1A}"/>
    <cellStyle name="Currency 5 7 3 3" xfId="5494" xr:uid="{3CCC4494-F985-46B1-AA7E-6D1B4D65535D}"/>
    <cellStyle name="Currency 5 7 4" xfId="2021" xr:uid="{36534B12-73B6-43C4-BB0A-63E2BAA8FD1F}"/>
    <cellStyle name="Currency 5 7 4 2" xfId="3837" xr:uid="{41603A3B-75AA-4A51-9C3C-492DB397B7AA}"/>
    <cellStyle name="Currency 5 7 4 2 2" xfId="8052" xr:uid="{CD954294-EBFF-4CFD-9EF4-932D7EE545EF}"/>
    <cellStyle name="Currency 5 7 4 3" xfId="5907" xr:uid="{DE70C098-F2C1-472E-A5E1-FFA26242EB59}"/>
    <cellStyle name="Currency 5 7 5" xfId="2434" xr:uid="{5509A314-8F49-4F05-8291-C1DA23D57620}"/>
    <cellStyle name="Currency 5 7 5 2" xfId="4250" xr:uid="{D8B454E5-8C7D-47AE-981A-DA84DB8D0C65}"/>
    <cellStyle name="Currency 5 7 5 2 2" xfId="8465" xr:uid="{5A6FBB8A-34DC-43A8-B294-FF2701BC4FF1}"/>
    <cellStyle name="Currency 5 7 5 3" xfId="6320" xr:uid="{9EB06D49-60E4-4E55-BC72-98FC90682951}"/>
    <cellStyle name="Currency 5 7 6" xfId="2869" xr:uid="{206C0217-035B-4F49-A579-9A1DAD881F28}"/>
    <cellStyle name="Currency 5 7 6 2" xfId="6733" xr:uid="{22403A9A-580C-4C5C-B20D-9579363BFD05}"/>
    <cellStyle name="Currency 5 7 7" xfId="3166" xr:uid="{DD0DEDF0-ABEA-48E6-A1A8-12883A8ACBD4}"/>
    <cellStyle name="Currency 5 7 8" xfId="3247" xr:uid="{6758F236-A12E-473F-89C7-A7C41D51572C}"/>
    <cellStyle name="Currency 5 7 8 2" xfId="7050" xr:uid="{96A48B7F-070A-4A1A-A06D-2EE9C1D1EC0A}"/>
    <cellStyle name="Currency 5 7 9" xfId="4667" xr:uid="{1405D44A-F7BC-4E18-A50B-9158E0227334}"/>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2871" xr:uid="{48554D48-F17D-473D-BA76-9F620F6C773D}"/>
    <cellStyle name="Normal 12 10 2" xfId="6734" xr:uid="{4E901894-2055-40E2-BFA0-96A5DB14EBE7}"/>
    <cellStyle name="Normal 12 11" xfId="4668" xr:uid="{B842067A-7C12-41FB-A978-C885F6B60B98}"/>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0" xr:uid="{3846158E-9296-44EB-B6C5-FDF9FEECA8EF}"/>
    <cellStyle name="Normal 12 2 2 2 2 2 2" xfId="7230" xr:uid="{1F95BA30-BCB8-4A22-BAA2-5980D0CA9FD1}"/>
    <cellStyle name="Normal 12 2 2 2 2 3" xfId="5085" xr:uid="{294F23ED-1231-4CE6-9BDF-4A4C71B3CD35}"/>
    <cellStyle name="Normal 12 2 2 2 3" xfId="1194" xr:uid="{1955839C-722A-4C9D-8515-3E18249779B5}"/>
    <cellStyle name="Normal 12 2 2 2 3 2" xfId="3428" xr:uid="{196C4EA7-7B98-459B-9600-AB6B235EAA0F}"/>
    <cellStyle name="Normal 12 2 2 2 3 2 2" xfId="7643" xr:uid="{EC5FCAC3-27CA-464A-8A6B-98CC667BE5A6}"/>
    <cellStyle name="Normal 12 2 2 2 3 3" xfId="5498" xr:uid="{B10DF715-3E4B-4C9A-A78A-298AC3E2A7D6}"/>
    <cellStyle name="Normal 12 2 2 2 4" xfId="2025" xr:uid="{60E12869-1085-428A-A02E-397FF1023669}"/>
    <cellStyle name="Normal 12 2 2 2 4 2" xfId="3841" xr:uid="{1DE29882-921E-4477-926A-4EC2F8BA4A09}"/>
    <cellStyle name="Normal 12 2 2 2 4 2 2" xfId="8056" xr:uid="{9100DFE8-4E21-4798-BD5A-33BACD8BA6B4}"/>
    <cellStyle name="Normal 12 2 2 2 4 3" xfId="5911" xr:uid="{9D9AB07F-AC8D-4DEA-A63E-57988858BADD}"/>
    <cellStyle name="Normal 12 2 2 2 5" xfId="2438" xr:uid="{F1EA8876-DD79-4144-B389-9810884F5938}"/>
    <cellStyle name="Normal 12 2 2 2 5 2" xfId="4254" xr:uid="{258D0AB3-7CBD-46DC-B47D-B0C4F4DD75E4}"/>
    <cellStyle name="Normal 12 2 2 2 5 2 2" xfId="8469" xr:uid="{AFAFA5C1-DF7B-4986-82E1-EBC63932A886}"/>
    <cellStyle name="Normal 12 2 2 2 5 3" xfId="6324" xr:uid="{AB5F5604-6FCC-4A86-895D-A8D0D32256F9}"/>
    <cellStyle name="Normal 12 2 2 2 6" xfId="2874" xr:uid="{C7F8466B-D220-45BB-9229-F6B13756DA5D}"/>
    <cellStyle name="Normal 12 2 2 2 6 2" xfId="6737" xr:uid="{610A1E0B-53F6-4147-BEE3-4593DA97CEF8}"/>
    <cellStyle name="Normal 12 2 2 2 7" xfId="4671" xr:uid="{923A8668-045D-4686-BDDE-3B5A8AB0EF28}"/>
    <cellStyle name="Normal 12 2 2 3" xfId="770" xr:uid="{00000000-0005-0000-0000-0000C9010000}"/>
    <cellStyle name="Normal 12 2 2 3 2" xfId="1609" xr:uid="{E760E575-B445-4486-A1A1-71F951BD0BF2}"/>
    <cellStyle name="Normal 12 2 2 3 2 2" xfId="7229" xr:uid="{FD39321F-3F52-4E24-ABE0-4821885E4073}"/>
    <cellStyle name="Normal 12 2 2 3 3" xfId="5084" xr:uid="{260ABCFC-4361-47BB-9E24-EA328984C6F3}"/>
    <cellStyle name="Normal 12 2 2 4" xfId="1193" xr:uid="{233071FD-E1E7-41E6-8219-F7C6A8CD4BCC}"/>
    <cellStyle name="Normal 12 2 2 4 2" xfId="3427" xr:uid="{7A19B578-ED25-41F7-A3FB-81C1FF6248BE}"/>
    <cellStyle name="Normal 12 2 2 4 2 2" xfId="7642" xr:uid="{371B7A47-546A-4004-BF0F-E5EED611E085}"/>
    <cellStyle name="Normal 12 2 2 4 3" xfId="5497" xr:uid="{BC823924-6F5A-4A70-A2CF-465DEF9D6A87}"/>
    <cellStyle name="Normal 12 2 2 5" xfId="2024" xr:uid="{04E66E01-66E9-4A74-BC6A-ACDEDBAC881E}"/>
    <cellStyle name="Normal 12 2 2 5 2" xfId="3840" xr:uid="{6FB5FD83-DD10-412A-9A5B-F986472A715D}"/>
    <cellStyle name="Normal 12 2 2 5 2 2" xfId="8055" xr:uid="{A875420D-11FF-4E96-9982-7912B5AB8452}"/>
    <cellStyle name="Normal 12 2 2 5 3" xfId="5910" xr:uid="{D63F3728-9765-4C01-B71E-7AED9A9684ED}"/>
    <cellStyle name="Normal 12 2 2 6" xfId="2437" xr:uid="{CBA636F0-B5C4-46EB-9335-CDC0797BB10D}"/>
    <cellStyle name="Normal 12 2 2 6 2" xfId="4253" xr:uid="{1708A5DC-4362-41A3-830B-90AA0D2FDE07}"/>
    <cellStyle name="Normal 12 2 2 6 2 2" xfId="8468" xr:uid="{22204B0E-0102-40B3-B7E8-E0C0897E944A}"/>
    <cellStyle name="Normal 12 2 2 6 3" xfId="6323" xr:uid="{14183E2C-8536-48AF-93A4-E3BF5DBAF117}"/>
    <cellStyle name="Normal 12 2 2 7" xfId="2873" xr:uid="{07F84457-80D2-4C06-99E1-0ACC3CB3DC0E}"/>
    <cellStyle name="Normal 12 2 2 7 2" xfId="6736" xr:uid="{9797B3E4-AE91-4D87-9490-40D6C270F77D}"/>
    <cellStyle name="Normal 12 2 2 8" xfId="4670" xr:uid="{0FA4F5CC-3D77-4698-BC2A-DC12AA51A031}"/>
    <cellStyle name="Normal 12 2 3" xfId="265" xr:uid="{00000000-0005-0000-0000-0000CA010000}"/>
    <cellStyle name="Normal 12 2 3 2" xfId="772" xr:uid="{00000000-0005-0000-0000-0000CB010000}"/>
    <cellStyle name="Normal 12 2 3 2 2" xfId="1611" xr:uid="{430CAD5F-23E3-4EF0-965B-9C29E2F10A51}"/>
    <cellStyle name="Normal 12 2 3 2 2 2" xfId="7231" xr:uid="{4C26F29B-9396-4B3E-A4A6-EC97AAFA6449}"/>
    <cellStyle name="Normal 12 2 3 2 3" xfId="5086" xr:uid="{DA56622B-3E9B-44DA-BFD0-E8F78125928A}"/>
    <cellStyle name="Normal 12 2 3 3" xfId="1195" xr:uid="{EDAFDECD-0458-42D4-ACCB-ADC0A39C0E71}"/>
    <cellStyle name="Normal 12 2 3 3 2" xfId="3429" xr:uid="{0B8C2CEC-FA9E-41C8-A35B-1FD5B3D73702}"/>
    <cellStyle name="Normal 12 2 3 3 2 2" xfId="7644" xr:uid="{FE14F49D-F424-4F52-BF88-A6F98E3D807E}"/>
    <cellStyle name="Normal 12 2 3 3 3" xfId="5499" xr:uid="{782D4ED5-A61C-46C7-873B-AFF56EDA7BAD}"/>
    <cellStyle name="Normal 12 2 3 4" xfId="2026" xr:uid="{F7ACBF1E-27EE-40B5-B27D-EA8810F0EE78}"/>
    <cellStyle name="Normal 12 2 3 4 2" xfId="3842" xr:uid="{3C32F03D-B66F-404D-9A1F-1C30F1FBEEAE}"/>
    <cellStyle name="Normal 12 2 3 4 2 2" xfId="8057" xr:uid="{EECD6F0B-B1ED-42A0-8683-64D0787E2E9E}"/>
    <cellStyle name="Normal 12 2 3 4 3" xfId="5912" xr:uid="{46EC28E9-7AAD-43B7-BF9F-1B7258A895D3}"/>
    <cellStyle name="Normal 12 2 3 5" xfId="2439" xr:uid="{DFCAAC29-DD5D-4801-81DA-CC37E94D27DD}"/>
    <cellStyle name="Normal 12 2 3 5 2" xfId="4255" xr:uid="{5E6EAA0C-D228-4274-836B-7B5222F2158A}"/>
    <cellStyle name="Normal 12 2 3 5 2 2" xfId="8470" xr:uid="{2D747C45-F0E7-46B4-BB42-6CDC474380D6}"/>
    <cellStyle name="Normal 12 2 3 5 3" xfId="6325" xr:uid="{974A5194-3F4C-48AC-8CF9-C51F13C98E26}"/>
    <cellStyle name="Normal 12 2 3 6" xfId="2875" xr:uid="{0286994F-4962-4762-815A-AB2B44D1D31B}"/>
    <cellStyle name="Normal 12 2 3 6 2" xfId="6738" xr:uid="{F0D0A0BA-2311-4FDF-A42B-D4029041A863}"/>
    <cellStyle name="Normal 12 2 3 7" xfId="4672" xr:uid="{26206B68-F1CD-4A23-B61F-D293729C687F}"/>
    <cellStyle name="Normal 12 2 4" xfId="769" xr:uid="{00000000-0005-0000-0000-0000CC010000}"/>
    <cellStyle name="Normal 12 2 4 2" xfId="1608" xr:uid="{CE04B81B-6E65-42C9-8E47-B1F69983E9A3}"/>
    <cellStyle name="Normal 12 2 4 2 2" xfId="7228" xr:uid="{C33861CE-0F0E-4E11-A26D-81C16502F3EB}"/>
    <cellStyle name="Normal 12 2 4 3" xfId="5083" xr:uid="{124349FA-62E4-4515-9F14-1A491E057D5D}"/>
    <cellStyle name="Normal 12 2 5" xfId="1192" xr:uid="{2FB6A5B1-A800-4E7D-B009-2B8CFC0AC68A}"/>
    <cellStyle name="Normal 12 2 5 2" xfId="3426" xr:uid="{EA3B3671-A570-4B9D-9678-B3A0457DA9E3}"/>
    <cellStyle name="Normal 12 2 5 2 2" xfId="7641" xr:uid="{249964DF-2838-409D-8BC3-C8CC8161110C}"/>
    <cellStyle name="Normal 12 2 5 3" xfId="5496" xr:uid="{233D013D-DC5F-426D-8F33-BA475B29C029}"/>
    <cellStyle name="Normal 12 2 6" xfId="2023" xr:uid="{1F9AC522-4C68-4C52-AD70-F4724DC03A69}"/>
    <cellStyle name="Normal 12 2 6 2" xfId="3839" xr:uid="{9EB7C2F3-3A09-4D05-B8D9-0F66B3B1E8F8}"/>
    <cellStyle name="Normal 12 2 6 2 2" xfId="8054" xr:uid="{8BA435B9-97D5-4711-BCB0-E28186E1AC99}"/>
    <cellStyle name="Normal 12 2 6 3" xfId="5909" xr:uid="{DBB708F5-FBB5-420C-87F3-820902073A31}"/>
    <cellStyle name="Normal 12 2 7" xfId="2436" xr:uid="{0D5319F3-6001-45A9-90DB-AC7430006205}"/>
    <cellStyle name="Normal 12 2 7 2" xfId="4252" xr:uid="{0AF419D1-0CDB-4FC7-9C05-4F08B0CC7E53}"/>
    <cellStyle name="Normal 12 2 7 2 2" xfId="8467" xr:uid="{FE844509-B09C-483A-B226-4C0B1904D94C}"/>
    <cellStyle name="Normal 12 2 7 3" xfId="6322" xr:uid="{EB9DAC15-42BC-4EC3-B338-24D18DE55E37}"/>
    <cellStyle name="Normal 12 2 8" xfId="2872" xr:uid="{B99FBFEE-B2E3-4320-82BF-2A9BCF72AA9F}"/>
    <cellStyle name="Normal 12 2 8 2" xfId="6735" xr:uid="{7A310B44-926A-440D-97D6-1E3338C4FADD}"/>
    <cellStyle name="Normal 12 2 9" xfId="4669" xr:uid="{249146B1-13B9-4EBD-B668-00AFF70550B3}"/>
    <cellStyle name="Normal 12 3" xfId="266" xr:uid="{00000000-0005-0000-0000-0000CD010000}"/>
    <cellStyle name="Normal 12 3 2" xfId="267" xr:uid="{00000000-0005-0000-0000-0000CE010000}"/>
    <cellStyle name="Normal 12 3 2 2" xfId="774" xr:uid="{00000000-0005-0000-0000-0000CF010000}"/>
    <cellStyle name="Normal 12 3 2 2 2" xfId="1613" xr:uid="{CCD005F1-92D9-4420-97F5-808BDB64CB73}"/>
    <cellStyle name="Normal 12 3 2 2 2 2" xfId="7233" xr:uid="{B7552A73-C855-440F-B0E3-CAD2505A21AB}"/>
    <cellStyle name="Normal 12 3 2 2 3" xfId="5088" xr:uid="{B2159BC4-D59C-4397-9309-4CF7053CF798}"/>
    <cellStyle name="Normal 12 3 2 3" xfId="1197" xr:uid="{C9DCF681-3DF1-4173-AC91-2C9B6F5667A6}"/>
    <cellStyle name="Normal 12 3 2 3 2" xfId="3431" xr:uid="{09795F35-7322-4CCB-AC71-ABE7610BB344}"/>
    <cellStyle name="Normal 12 3 2 3 2 2" xfId="7646" xr:uid="{96066B33-7E8F-45CD-BD12-9C5A3F59DD1B}"/>
    <cellStyle name="Normal 12 3 2 3 3" xfId="5501" xr:uid="{1926397A-2C2E-4D6E-9673-304EB13C8641}"/>
    <cellStyle name="Normal 12 3 2 4" xfId="2028" xr:uid="{383FCB6B-AF0D-40A7-8FF8-3E5A347FF201}"/>
    <cellStyle name="Normal 12 3 2 4 2" xfId="3844" xr:uid="{48D7F69A-BA08-4311-BED0-CC771060662E}"/>
    <cellStyle name="Normal 12 3 2 4 2 2" xfId="8059" xr:uid="{12566055-526C-4378-80A5-9D622BF56452}"/>
    <cellStyle name="Normal 12 3 2 4 3" xfId="5914" xr:uid="{10CA7D57-6D27-4B84-8894-96288FAB0FC5}"/>
    <cellStyle name="Normal 12 3 2 5" xfId="2441" xr:uid="{A3756067-8113-428D-9C72-D3FA1AE0A4D5}"/>
    <cellStyle name="Normal 12 3 2 5 2" xfId="4257" xr:uid="{38518BD0-3083-4C15-AA1E-E6C792BE489D}"/>
    <cellStyle name="Normal 12 3 2 5 2 2" xfId="8472" xr:uid="{DBBABA74-644E-4740-8A84-586573A9060C}"/>
    <cellStyle name="Normal 12 3 2 5 3" xfId="6327" xr:uid="{663E389D-A3D4-4307-92E0-0FC8DE321D38}"/>
    <cellStyle name="Normal 12 3 2 6" xfId="2877" xr:uid="{BB54EFE8-3BB2-4FA5-9B80-9F8B0CDD40D9}"/>
    <cellStyle name="Normal 12 3 2 6 2" xfId="6740" xr:uid="{0A3E21C1-0C3E-4249-A6EA-05657E8783B4}"/>
    <cellStyle name="Normal 12 3 2 7" xfId="4674" xr:uid="{0D3D7E04-A2CF-4A5C-8DC6-CF4FC1C9CD7A}"/>
    <cellStyle name="Normal 12 3 3" xfId="773" xr:uid="{00000000-0005-0000-0000-0000D0010000}"/>
    <cellStyle name="Normal 12 3 3 2" xfId="1612" xr:uid="{C26E1E1F-A5C1-4E8F-972E-1B2168F7BB20}"/>
    <cellStyle name="Normal 12 3 3 2 2" xfId="7232" xr:uid="{C4B0C91B-12FB-4759-B255-3607E98DAA68}"/>
    <cellStyle name="Normal 12 3 3 3" xfId="5087" xr:uid="{9D640ADD-A82F-4B16-83AF-69CD0D685BA1}"/>
    <cellStyle name="Normal 12 3 4" xfId="1196" xr:uid="{6355AB39-E48E-4EFE-9589-1D5F1F429902}"/>
    <cellStyle name="Normal 12 3 4 2" xfId="3430" xr:uid="{AACDEB9E-8FA1-47D5-8CAA-C516E468E432}"/>
    <cellStyle name="Normal 12 3 4 2 2" xfId="7645" xr:uid="{606A6960-DC22-4B60-8C73-A8EEB0C3D462}"/>
    <cellStyle name="Normal 12 3 4 3" xfId="5500" xr:uid="{FB885F8A-03F4-4F24-83CB-12F9A33DFB7F}"/>
    <cellStyle name="Normal 12 3 5" xfId="2027" xr:uid="{67CB1BA0-5BC4-4037-85D2-B1253882290E}"/>
    <cellStyle name="Normal 12 3 5 2" xfId="3843" xr:uid="{8E50B59E-A723-418E-AB34-CFCDDE2BDFFD}"/>
    <cellStyle name="Normal 12 3 5 2 2" xfId="8058" xr:uid="{5A102FA0-A44F-4629-B77D-6835201EE56D}"/>
    <cellStyle name="Normal 12 3 5 3" xfId="5913" xr:uid="{A841899D-F654-4884-A705-4F4B91C1F53B}"/>
    <cellStyle name="Normal 12 3 6" xfId="2440" xr:uid="{F04888D0-FF3E-489C-9827-9041951D8E04}"/>
    <cellStyle name="Normal 12 3 6 2" xfId="4256" xr:uid="{DBFFC84A-F26E-4711-97AF-B16B2C10B034}"/>
    <cellStyle name="Normal 12 3 6 2 2" xfId="8471" xr:uid="{14CFAD96-19AF-4DE5-8A38-75D524781317}"/>
    <cellStyle name="Normal 12 3 6 3" xfId="6326" xr:uid="{827D3C09-692F-471E-BEEC-01D8EB7922B2}"/>
    <cellStyle name="Normal 12 3 7" xfId="2876" xr:uid="{E8A67D1A-305C-4655-A3E8-D79F564DA90C}"/>
    <cellStyle name="Normal 12 3 7 2" xfId="6739" xr:uid="{E59D8CCB-DEF9-4CE6-9DBC-AD607FC32FAC}"/>
    <cellStyle name="Normal 12 3 8" xfId="4673" xr:uid="{EFB97072-1A42-4364-93AC-4B6AF7A9C810}"/>
    <cellStyle name="Normal 12 4" xfId="268" xr:uid="{00000000-0005-0000-0000-0000D1010000}"/>
    <cellStyle name="Normal 12 4 2" xfId="775" xr:uid="{00000000-0005-0000-0000-0000D2010000}"/>
    <cellStyle name="Normal 12 4 2 2" xfId="1614" xr:uid="{105F44DF-07D3-40FE-B1FA-1FDC1E11399A}"/>
    <cellStyle name="Normal 12 4 2 2 2" xfId="7234" xr:uid="{41CFE13F-2F57-463E-8A61-37F3731D9200}"/>
    <cellStyle name="Normal 12 4 2 3" xfId="5089" xr:uid="{EE90ABF7-D877-424B-9681-5553BF7FB296}"/>
    <cellStyle name="Normal 12 4 3" xfId="1198" xr:uid="{D4D3ACA0-AD1B-4C36-B50E-11B3EFC73641}"/>
    <cellStyle name="Normal 12 4 3 2" xfId="3432" xr:uid="{B1F8CBE9-80DC-4C3E-A3BB-80B2372313C5}"/>
    <cellStyle name="Normal 12 4 3 2 2" xfId="7647" xr:uid="{7D3E3D45-ACD0-464B-8AF2-4847E5D4C6CD}"/>
    <cellStyle name="Normal 12 4 3 3" xfId="5502" xr:uid="{E26D39C9-7AF3-4B28-B3D7-F1D292C232BA}"/>
    <cellStyle name="Normal 12 4 4" xfId="2029" xr:uid="{D72039BB-D428-468B-9F61-3A118AE8CFC1}"/>
    <cellStyle name="Normal 12 4 4 2" xfId="3845" xr:uid="{99C7ED78-0CDD-4C33-BCB2-E056B3087880}"/>
    <cellStyle name="Normal 12 4 4 2 2" xfId="8060" xr:uid="{73D75CE4-FF6D-4662-8D7A-D288B9EC7D9E}"/>
    <cellStyle name="Normal 12 4 4 3" xfId="5915" xr:uid="{6B333796-5B94-4DE8-B319-1847A3F0282A}"/>
    <cellStyle name="Normal 12 4 5" xfId="2442" xr:uid="{FD1EC860-765C-4C6E-B3DA-B9021F587AC6}"/>
    <cellStyle name="Normal 12 4 5 2" xfId="4258" xr:uid="{DAC79F8C-587F-4D53-AB83-F6CF509E46CF}"/>
    <cellStyle name="Normal 12 4 5 2 2" xfId="8473" xr:uid="{EB0AFC67-7FF9-44F7-AF68-68F98759F558}"/>
    <cellStyle name="Normal 12 4 5 3" xfId="6328" xr:uid="{ADDA9D62-C700-4E08-8BFF-60DD6B56F967}"/>
    <cellStyle name="Normal 12 4 6" xfId="2878" xr:uid="{2AE064FE-63A8-453C-842F-32F0775DBAF8}"/>
    <cellStyle name="Normal 12 4 6 2" xfId="6741" xr:uid="{97087B90-A070-4AA4-A615-372415160EF8}"/>
    <cellStyle name="Normal 12 4 7" xfId="4675" xr:uid="{83C25462-8C39-4BD6-8A85-0BC316A4114D}"/>
    <cellStyle name="Normal 12 5" xfId="269" xr:uid="{00000000-0005-0000-0000-0000D3010000}"/>
    <cellStyle name="Normal 12 6" xfId="768" xr:uid="{00000000-0005-0000-0000-0000D4010000}"/>
    <cellStyle name="Normal 12 6 2" xfId="1607" xr:uid="{213E5C85-B80E-47C9-B60D-568B90A63D6F}"/>
    <cellStyle name="Normal 12 6 2 2" xfId="7227" xr:uid="{9FEF7A42-167C-44CD-9A81-B9C891853EB0}"/>
    <cellStyle name="Normal 12 6 3" xfId="5082" xr:uid="{9A233A03-4DD8-4A72-B3F4-F2E9E68BA862}"/>
    <cellStyle name="Normal 12 7" xfId="1191" xr:uid="{BF7C7C58-252A-4B10-8C13-EAD0FAAD80FE}"/>
    <cellStyle name="Normal 12 7 2" xfId="3425" xr:uid="{734F09A9-7DA9-4E08-A426-48DFDE52E2B0}"/>
    <cellStyle name="Normal 12 7 2 2" xfId="7640" xr:uid="{E6E216D2-C780-43A8-8EB5-3105D56E4043}"/>
    <cellStyle name="Normal 12 7 3" xfId="5495" xr:uid="{90ECED9A-2B97-4374-AA9A-3C9FCBE06932}"/>
    <cellStyle name="Normal 12 8" xfId="2022" xr:uid="{889FD154-4E45-4320-97AF-6470CA0E03E5}"/>
    <cellStyle name="Normal 12 8 2" xfId="3838" xr:uid="{CF222E4B-FC2E-4B40-83D8-0869E93855BF}"/>
    <cellStyle name="Normal 12 8 2 2" xfId="8053" xr:uid="{BE36E0CC-6918-46DA-B424-A2F6FA3E63BA}"/>
    <cellStyle name="Normal 12 8 3" xfId="5908" xr:uid="{B8F660D5-844B-4967-BBF5-B4A5E1DE0EA5}"/>
    <cellStyle name="Normal 12 9" xfId="2435" xr:uid="{9798EC7E-811D-4167-8FBA-3B9B12F0480D}"/>
    <cellStyle name="Normal 12 9 2" xfId="4251" xr:uid="{60F43B5E-9AD5-4183-A3AF-41D7D834D7C9}"/>
    <cellStyle name="Normal 12 9 2 2" xfId="8466" xr:uid="{277A8341-66AE-4695-A252-151B05E80C25}"/>
    <cellStyle name="Normal 12 9 3" xfId="6321" xr:uid="{B1E59971-80AF-488D-AB11-C72E00005E6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5" xr:uid="{0A8F8777-2DCA-444D-8EC1-FC85CF6C4D14}"/>
    <cellStyle name="Normal 14 2 2 2" xfId="7235" xr:uid="{1121975D-1B86-40A0-B1B9-4AD1E510F915}"/>
    <cellStyle name="Normal 14 2 3" xfId="5090" xr:uid="{D92DBDBE-1F58-4430-B4DC-8F6E745A24C4}"/>
    <cellStyle name="Normal 14 3" xfId="1199" xr:uid="{4E939214-8308-48EA-84EC-5907DD364D22}"/>
    <cellStyle name="Normal 14 3 2" xfId="3433" xr:uid="{7F719FAA-4825-422D-813D-9C9438AB03D7}"/>
    <cellStyle name="Normal 14 3 2 2" xfId="7648" xr:uid="{E84A0FA8-F178-45DB-BA4E-A950589391A3}"/>
    <cellStyle name="Normal 14 3 3" xfId="5503" xr:uid="{0E5ADD81-06B6-4D30-A0DC-143884DB2C34}"/>
    <cellStyle name="Normal 14 4" xfId="2030" xr:uid="{59313FA4-7948-424E-B6F2-B0E4FF454B7E}"/>
    <cellStyle name="Normal 14 4 2" xfId="3846" xr:uid="{B50CD777-3A6A-48B2-BDF3-9A6283A8435D}"/>
    <cellStyle name="Normal 14 4 2 2" xfId="8061" xr:uid="{00E1893D-3078-4215-8A8B-09BCC8258A09}"/>
    <cellStyle name="Normal 14 4 3" xfId="5916" xr:uid="{5DC4E6BE-C68C-4405-B866-67745873405F}"/>
    <cellStyle name="Normal 14 5" xfId="2443" xr:uid="{CC53C67A-11FE-4EE0-A9C7-0FDD3F416369}"/>
    <cellStyle name="Normal 14 5 2" xfId="4259" xr:uid="{DBB0A3C4-3113-486F-AC37-779393263F57}"/>
    <cellStyle name="Normal 14 5 2 2" xfId="8474" xr:uid="{4513A883-C2FC-4E1E-817B-FB89F439EF40}"/>
    <cellStyle name="Normal 14 5 3" xfId="6329" xr:uid="{3E38C5FB-4DC7-4F40-AE77-F5CE9F4E4C59}"/>
    <cellStyle name="Normal 14 6" xfId="2879" xr:uid="{EAD74443-DDB9-4BB7-B1EA-F83F22F38055}"/>
    <cellStyle name="Normal 14 6 2" xfId="6742" xr:uid="{D2BCBE49-B148-41D4-8D8D-077A7507CFBD}"/>
    <cellStyle name="Normal 14 7" xfId="4676" xr:uid="{8DDD3FB5-38EC-4297-962C-4C845A5259D2}"/>
    <cellStyle name="Normal 15" xfId="575" xr:uid="{00000000-0005-0000-0000-0000D9010000}"/>
    <cellStyle name="Normal 15 2" xfId="1444" xr:uid="{6F547F3D-7FDC-419E-A113-520EBEBA0E97}"/>
    <cellStyle name="Normal 16" xfId="4505" xr:uid="{97587E3D-FE03-412F-9124-42D44E7A71DB}"/>
    <cellStyle name="Normal 16 2" xfId="8719" xr:uid="{72D65B11-B9CE-4A32-AAC8-51AD5F724747}"/>
    <cellStyle name="Normal 16 3" xfId="8722" xr:uid="{94A769EA-FBAD-4069-B36A-C77DFD16D20C}"/>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2444" xr:uid="{623E68F2-9688-4C3A-8B6A-C05078A1FC6D}"/>
    <cellStyle name="Normal 2 4 2 10 2" xfId="4260" xr:uid="{645086D1-CB87-42C1-A5D6-A0C68F984245}"/>
    <cellStyle name="Normal 2 4 2 10 2 2" xfId="8475" xr:uid="{C571647B-63AD-4B02-82B8-F1C6EE8C6F00}"/>
    <cellStyle name="Normal 2 4 2 10 3" xfId="6330" xr:uid="{248EEB7E-7FD8-4F9C-8C86-3A982B4B85B9}"/>
    <cellStyle name="Normal 2 4 2 11" xfId="2880" xr:uid="{E758CD27-C7BB-45AE-8074-DBD26291F748}"/>
    <cellStyle name="Normal 2 4 2 11 2" xfId="6743" xr:uid="{4237B1B1-C03A-4EAE-AC2B-2C7176FE8676}"/>
    <cellStyle name="Normal 2 4 2 12" xfId="4677" xr:uid="{D0477C4A-7B8F-4C8A-8ACF-54233FC2A79D}"/>
    <cellStyle name="Normal 2 4 2 2" xfId="283" xr:uid="{00000000-0005-0000-0000-0000E6010000}"/>
    <cellStyle name="Normal 2 4 2 3" xfId="284" xr:uid="{00000000-0005-0000-0000-0000E7010000}"/>
    <cellStyle name="Normal 2 4 2 3 10" xfId="4678" xr:uid="{CAD61155-BCEE-48C9-8720-72390CE33E72}"/>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0" xr:uid="{9FE66FC2-58BA-438A-B9A9-FA2CF56C4347}"/>
    <cellStyle name="Normal 2 4 2 3 2 2 2 2 2 2" xfId="7240" xr:uid="{EA6B9F8C-9EA6-465F-BAEB-9AB93FD9E5EA}"/>
    <cellStyle name="Normal 2 4 2 3 2 2 2 2 3" xfId="5095" xr:uid="{6ED431EB-BB6C-4D75-95AF-DB801043B7AD}"/>
    <cellStyle name="Normal 2 4 2 3 2 2 2 3" xfId="1204" xr:uid="{EB40D0F1-21F5-48F1-ABB3-76C8DF64EEEE}"/>
    <cellStyle name="Normal 2 4 2 3 2 2 2 3 2" xfId="3438" xr:uid="{2BDFC1C4-AD0C-4B41-8327-E861C0435408}"/>
    <cellStyle name="Normal 2 4 2 3 2 2 2 3 2 2" xfId="7653" xr:uid="{04F1A78E-4CCB-4570-8FB4-3C7B168D56B6}"/>
    <cellStyle name="Normal 2 4 2 3 2 2 2 3 3" xfId="5508" xr:uid="{C9AE35E3-06AF-476A-B3A6-2CB767B8B415}"/>
    <cellStyle name="Normal 2 4 2 3 2 2 2 4" xfId="2035" xr:uid="{4C855F67-4AAD-4202-826D-9F094CF99DF7}"/>
    <cellStyle name="Normal 2 4 2 3 2 2 2 4 2" xfId="3851" xr:uid="{87E75966-CCD1-4A05-9DE5-1078D1C59477}"/>
    <cellStyle name="Normal 2 4 2 3 2 2 2 4 2 2" xfId="8066" xr:uid="{D6B7382D-C9B9-4FD3-A020-35FCEF86EAC2}"/>
    <cellStyle name="Normal 2 4 2 3 2 2 2 4 3" xfId="5921" xr:uid="{5A7372E1-43C1-4D4B-A5CB-4ABB883C5DC9}"/>
    <cellStyle name="Normal 2 4 2 3 2 2 2 5" xfId="2448" xr:uid="{069637F6-8CD5-4F58-BCF8-C1086E7042A0}"/>
    <cellStyle name="Normal 2 4 2 3 2 2 2 5 2" xfId="4264" xr:uid="{E96B8C46-5EAB-415A-95A3-960280A070BB}"/>
    <cellStyle name="Normal 2 4 2 3 2 2 2 5 2 2" xfId="8479" xr:uid="{B563CCB4-0F97-4C02-848D-204717231739}"/>
    <cellStyle name="Normal 2 4 2 3 2 2 2 5 3" xfId="6334" xr:uid="{8394C1F8-B2A7-4F9C-A5EA-7AA85E6E6C10}"/>
    <cellStyle name="Normal 2 4 2 3 2 2 2 6" xfId="2884" xr:uid="{E7C5EB4C-CCAD-42D4-A3D7-B99CA5EDA601}"/>
    <cellStyle name="Normal 2 4 2 3 2 2 2 6 2" xfId="6747" xr:uid="{4293A3AD-5884-487F-BA5B-3FF73BB68238}"/>
    <cellStyle name="Normal 2 4 2 3 2 2 2 7" xfId="4681" xr:uid="{84748619-693C-4FD3-AB0F-A100CC531BFF}"/>
    <cellStyle name="Normal 2 4 2 3 2 2 3" xfId="782" xr:uid="{00000000-0005-0000-0000-0000EC010000}"/>
    <cellStyle name="Normal 2 4 2 3 2 2 3 2" xfId="1619" xr:uid="{BDF9FEB6-1F5E-49A3-9284-5B1D1C89D6A7}"/>
    <cellStyle name="Normal 2 4 2 3 2 2 3 2 2" xfId="7239" xr:uid="{FEF50749-5DA4-47A7-9896-AAD241C3DBA9}"/>
    <cellStyle name="Normal 2 4 2 3 2 2 3 3" xfId="5094" xr:uid="{376A001A-2303-48C6-99BC-0CDC038E1BFC}"/>
    <cellStyle name="Normal 2 4 2 3 2 2 4" xfId="1203" xr:uid="{756AD957-5F3E-4BDC-96C4-CCCE1C23C053}"/>
    <cellStyle name="Normal 2 4 2 3 2 2 4 2" xfId="3437" xr:uid="{3867CCEC-EF0B-4F67-B100-A694D88FDBD4}"/>
    <cellStyle name="Normal 2 4 2 3 2 2 4 2 2" xfId="7652" xr:uid="{0AB96A51-949E-46EA-8F35-96E983AAA420}"/>
    <cellStyle name="Normal 2 4 2 3 2 2 4 3" xfId="5507" xr:uid="{A610375D-0F0E-453F-9009-1FEA5BABC026}"/>
    <cellStyle name="Normal 2 4 2 3 2 2 5" xfId="2034" xr:uid="{51257FCC-47F5-4BB7-8A8F-CA0A44294443}"/>
    <cellStyle name="Normal 2 4 2 3 2 2 5 2" xfId="3850" xr:uid="{A1CEB305-2741-4B62-8ADB-283188EB3348}"/>
    <cellStyle name="Normal 2 4 2 3 2 2 5 2 2" xfId="8065" xr:uid="{14A387FE-2AC0-4DB9-88DE-B3EDB39AB1DE}"/>
    <cellStyle name="Normal 2 4 2 3 2 2 5 3" xfId="5920" xr:uid="{FD3503D3-6D05-45EF-AB75-8D0EE2EAFFB9}"/>
    <cellStyle name="Normal 2 4 2 3 2 2 6" xfId="2447" xr:uid="{A8866807-34BD-45E9-A27D-1B2D304CDB3E}"/>
    <cellStyle name="Normal 2 4 2 3 2 2 6 2" xfId="4263" xr:uid="{EA9D57B0-A5FA-42D0-B0EB-5DCA2FD8F5C9}"/>
    <cellStyle name="Normal 2 4 2 3 2 2 6 2 2" xfId="8478" xr:uid="{CD781B06-5334-49FB-8A23-DC49F2DAD2A6}"/>
    <cellStyle name="Normal 2 4 2 3 2 2 6 3" xfId="6333" xr:uid="{EB8B5620-6028-42B7-9052-8B6AABD461A8}"/>
    <cellStyle name="Normal 2 4 2 3 2 2 7" xfId="2883" xr:uid="{22BBCDE3-995A-4628-A4B4-353EE4A79156}"/>
    <cellStyle name="Normal 2 4 2 3 2 2 7 2" xfId="6746" xr:uid="{A2BFE5A3-9DA6-43F3-A192-ACE58529E524}"/>
    <cellStyle name="Normal 2 4 2 3 2 2 8" xfId="4680" xr:uid="{12B172F5-D3B3-43F2-A726-47893605B14B}"/>
    <cellStyle name="Normal 2 4 2 3 2 3" xfId="288" xr:uid="{00000000-0005-0000-0000-0000ED010000}"/>
    <cellStyle name="Normal 2 4 2 3 2 3 2" xfId="784" xr:uid="{00000000-0005-0000-0000-0000EE010000}"/>
    <cellStyle name="Normal 2 4 2 3 2 3 2 2" xfId="1621" xr:uid="{25A8A6D5-D1C1-45E8-A1CB-D95B83AA74FE}"/>
    <cellStyle name="Normal 2 4 2 3 2 3 2 2 2" xfId="7241" xr:uid="{4CBA6C01-026A-4D9B-BEA4-A84887E60EDB}"/>
    <cellStyle name="Normal 2 4 2 3 2 3 2 3" xfId="5096" xr:uid="{E785F0BC-A776-4461-9AAB-E41EC0E8C4B3}"/>
    <cellStyle name="Normal 2 4 2 3 2 3 3" xfId="1205" xr:uid="{22A2A711-088F-4AB6-BFBA-597F1C5D8C2B}"/>
    <cellStyle name="Normal 2 4 2 3 2 3 3 2" xfId="3439" xr:uid="{BA620B49-CECC-44F8-B52B-58BB40746B57}"/>
    <cellStyle name="Normal 2 4 2 3 2 3 3 2 2" xfId="7654" xr:uid="{5BADE557-AF79-4812-9523-238753EB9D3E}"/>
    <cellStyle name="Normal 2 4 2 3 2 3 3 3" xfId="5509" xr:uid="{2B76D853-033B-413C-B676-FBE9752AD649}"/>
    <cellStyle name="Normal 2 4 2 3 2 3 4" xfId="2036" xr:uid="{0033210C-31A1-4630-916C-C9A7CA209AF1}"/>
    <cellStyle name="Normal 2 4 2 3 2 3 4 2" xfId="3852" xr:uid="{C31035EF-F951-40C4-9224-1B0DFB8EF2D7}"/>
    <cellStyle name="Normal 2 4 2 3 2 3 4 2 2" xfId="8067" xr:uid="{4A7FE60F-0D22-4579-89D3-A1320AA244DB}"/>
    <cellStyle name="Normal 2 4 2 3 2 3 4 3" xfId="5922" xr:uid="{D7F5027F-A4B1-49A2-A7C1-9924017A0378}"/>
    <cellStyle name="Normal 2 4 2 3 2 3 5" xfId="2449" xr:uid="{67682475-92F8-4B57-B72C-0C4E66B58070}"/>
    <cellStyle name="Normal 2 4 2 3 2 3 5 2" xfId="4265" xr:uid="{4A120EB9-AC5E-404F-A553-C3645DE26D31}"/>
    <cellStyle name="Normal 2 4 2 3 2 3 5 2 2" xfId="8480" xr:uid="{AE987912-CE15-4174-81EA-7F7D99BD8B10}"/>
    <cellStyle name="Normal 2 4 2 3 2 3 5 3" xfId="6335" xr:uid="{478B5897-E961-45EB-997B-4BDD28F9E903}"/>
    <cellStyle name="Normal 2 4 2 3 2 3 6" xfId="2885" xr:uid="{1C41411F-A59C-4D7F-A85A-D31DFD086390}"/>
    <cellStyle name="Normal 2 4 2 3 2 3 6 2" xfId="6748" xr:uid="{5FD3A6F9-2FD7-4DA3-AD52-FB7BE545E74A}"/>
    <cellStyle name="Normal 2 4 2 3 2 3 7" xfId="4682" xr:uid="{D89BF6F2-3C30-405D-A8E1-EADA2F65E4E8}"/>
    <cellStyle name="Normal 2 4 2 3 2 4" xfId="781" xr:uid="{00000000-0005-0000-0000-0000EF010000}"/>
    <cellStyle name="Normal 2 4 2 3 2 4 2" xfId="1618" xr:uid="{462BF67D-89EB-4C4F-9A3D-9C1BF74283F8}"/>
    <cellStyle name="Normal 2 4 2 3 2 4 2 2" xfId="7238" xr:uid="{A166D80D-7531-4A93-B71D-1AE91B62998E}"/>
    <cellStyle name="Normal 2 4 2 3 2 4 3" xfId="5093" xr:uid="{9F88099C-3091-4470-BF97-646D3C4778E7}"/>
    <cellStyle name="Normal 2 4 2 3 2 5" xfId="1202" xr:uid="{DEED222C-E6D5-4819-8F73-0A66CFEB4219}"/>
    <cellStyle name="Normal 2 4 2 3 2 5 2" xfId="3436" xr:uid="{82DB8BD1-3C79-40BB-B8BE-B8F8F4859A7B}"/>
    <cellStyle name="Normal 2 4 2 3 2 5 2 2" xfId="7651" xr:uid="{E3CDEF24-34D5-447C-B1AF-BA98488D650B}"/>
    <cellStyle name="Normal 2 4 2 3 2 5 3" xfId="5506" xr:uid="{541A074D-73B7-4B78-BC00-E36E940812FB}"/>
    <cellStyle name="Normal 2 4 2 3 2 6" xfId="2033" xr:uid="{8208A560-E563-44D0-95C3-884E3F365EEF}"/>
    <cellStyle name="Normal 2 4 2 3 2 6 2" xfId="3849" xr:uid="{90503BC9-FA34-45A1-96D7-B4E6B937C686}"/>
    <cellStyle name="Normal 2 4 2 3 2 6 2 2" xfId="8064" xr:uid="{AB882153-D77A-4F1D-8384-19E8F6D20467}"/>
    <cellStyle name="Normal 2 4 2 3 2 6 3" xfId="5919" xr:uid="{37CC4F85-3333-49FC-9408-083F94A96566}"/>
    <cellStyle name="Normal 2 4 2 3 2 7" xfId="2446" xr:uid="{6146808D-0E66-416B-BCAD-718759E88449}"/>
    <cellStyle name="Normal 2 4 2 3 2 7 2" xfId="4262" xr:uid="{30A08BBE-4367-4117-9C66-20067CCB949B}"/>
    <cellStyle name="Normal 2 4 2 3 2 7 2 2" xfId="8477" xr:uid="{2CFFB2C9-BE56-47F4-B926-A61DD82C6971}"/>
    <cellStyle name="Normal 2 4 2 3 2 7 3" xfId="6332" xr:uid="{7280B9CF-4A29-4442-AC37-5B159AB37FE5}"/>
    <cellStyle name="Normal 2 4 2 3 2 8" xfId="2882" xr:uid="{778101DA-04C7-417F-8898-2A4ACDE57B5D}"/>
    <cellStyle name="Normal 2 4 2 3 2 8 2" xfId="6745" xr:uid="{419BC817-C1F4-4E94-B9A3-9C453987BD95}"/>
    <cellStyle name="Normal 2 4 2 3 2 9" xfId="4679" xr:uid="{AD9E9B65-5109-438B-9DB6-54856779F872}"/>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3" xr:uid="{3BF47992-DD09-4ED7-B463-EE7F89B21A53}"/>
    <cellStyle name="Normal 2 4 2 3 3 2 2 2 2" xfId="7243" xr:uid="{DB7349D3-52C4-4B3B-833C-E64891E6055A}"/>
    <cellStyle name="Normal 2 4 2 3 3 2 2 3" xfId="5098" xr:uid="{90431925-F0D3-4AB5-93DF-A215D3CB4200}"/>
    <cellStyle name="Normal 2 4 2 3 3 2 3" xfId="1207" xr:uid="{C324FDD5-962F-4DD5-AE77-B8C9D6B9D011}"/>
    <cellStyle name="Normal 2 4 2 3 3 2 3 2" xfId="3441" xr:uid="{1D16920C-89D0-4B5C-B70B-5C6E3DF45283}"/>
    <cellStyle name="Normal 2 4 2 3 3 2 3 2 2" xfId="7656" xr:uid="{BA4AE1B3-3584-457D-9156-00F57AD87009}"/>
    <cellStyle name="Normal 2 4 2 3 3 2 3 3" xfId="5511" xr:uid="{225656E3-E327-4909-A2A8-9D626A6A19E8}"/>
    <cellStyle name="Normal 2 4 2 3 3 2 4" xfId="2038" xr:uid="{59AC071F-CDF7-4D4F-B681-D90159B9E00A}"/>
    <cellStyle name="Normal 2 4 2 3 3 2 4 2" xfId="3854" xr:uid="{8333B0B5-3E1D-45DA-8CF3-4D14A3A321D0}"/>
    <cellStyle name="Normal 2 4 2 3 3 2 4 2 2" xfId="8069" xr:uid="{146A2D09-E5D9-4AA2-BC41-4C592C854975}"/>
    <cellStyle name="Normal 2 4 2 3 3 2 4 3" xfId="5924" xr:uid="{6F114332-B8E3-45DC-909F-CBED3614E92C}"/>
    <cellStyle name="Normal 2 4 2 3 3 2 5" xfId="2451" xr:uid="{238800C6-0B26-4536-9734-72DAFA5239C3}"/>
    <cellStyle name="Normal 2 4 2 3 3 2 5 2" xfId="4267" xr:uid="{5AD8AD3E-0462-4A3A-8A47-102984B59948}"/>
    <cellStyle name="Normal 2 4 2 3 3 2 5 2 2" xfId="8482" xr:uid="{6E4AD3AC-E92C-46A9-87C5-2374114913A3}"/>
    <cellStyle name="Normal 2 4 2 3 3 2 5 3" xfId="6337" xr:uid="{CE2884CF-2B7D-4843-B1AC-B76F67A90621}"/>
    <cellStyle name="Normal 2 4 2 3 3 2 6" xfId="2887" xr:uid="{7BCBC693-C47E-41F4-A532-9FD273AEF0AF}"/>
    <cellStyle name="Normal 2 4 2 3 3 2 6 2" xfId="6750" xr:uid="{2AD54015-17AA-4853-8D01-BFF0F1870FC9}"/>
    <cellStyle name="Normal 2 4 2 3 3 2 7" xfId="4684" xr:uid="{04D8D92A-2B92-4EEC-8D13-9BB861FD1B67}"/>
    <cellStyle name="Normal 2 4 2 3 3 3" xfId="785" xr:uid="{00000000-0005-0000-0000-0000F3010000}"/>
    <cellStyle name="Normal 2 4 2 3 3 3 2" xfId="1622" xr:uid="{E2FA3984-1C24-4E89-8F5F-C97F1634A821}"/>
    <cellStyle name="Normal 2 4 2 3 3 3 2 2" xfId="7242" xr:uid="{BB7DF69B-D5AE-4FB7-9930-1CE88552614F}"/>
    <cellStyle name="Normal 2 4 2 3 3 3 3" xfId="5097" xr:uid="{32C4B8B3-0CDC-449E-80D4-6408BE8C0001}"/>
    <cellStyle name="Normal 2 4 2 3 3 4" xfId="1206" xr:uid="{5264858B-E976-450C-8CEE-548CD86D7BEB}"/>
    <cellStyle name="Normal 2 4 2 3 3 4 2" xfId="3440" xr:uid="{991146E6-EFBD-4D0C-8E61-188308FD7DF6}"/>
    <cellStyle name="Normal 2 4 2 3 3 4 2 2" xfId="7655" xr:uid="{3BA5397D-DA88-4D71-8EFD-FB478C035E8C}"/>
    <cellStyle name="Normal 2 4 2 3 3 4 3" xfId="5510" xr:uid="{D03DBCC1-4B02-4FFC-95B6-AE0808B02A0A}"/>
    <cellStyle name="Normal 2 4 2 3 3 5" xfId="2037" xr:uid="{B348E6D2-F500-41F6-80D6-39EC26AD6B30}"/>
    <cellStyle name="Normal 2 4 2 3 3 5 2" xfId="3853" xr:uid="{2DCEE15A-F2F2-4E42-8BDA-58C86F6E8377}"/>
    <cellStyle name="Normal 2 4 2 3 3 5 2 2" xfId="8068" xr:uid="{4D191421-BBFF-4C2F-A4A8-671839C6196A}"/>
    <cellStyle name="Normal 2 4 2 3 3 5 3" xfId="5923" xr:uid="{198639CD-12C9-42EC-ADDF-C4E28B9D4F49}"/>
    <cellStyle name="Normal 2 4 2 3 3 6" xfId="2450" xr:uid="{72F0AB7A-34FD-4B38-9965-E8060FD95958}"/>
    <cellStyle name="Normal 2 4 2 3 3 6 2" xfId="4266" xr:uid="{4FA4B906-A66D-48AD-BB16-4EE5DE4B571E}"/>
    <cellStyle name="Normal 2 4 2 3 3 6 2 2" xfId="8481" xr:uid="{49A0302D-4481-41B5-BBD0-B7889992F744}"/>
    <cellStyle name="Normal 2 4 2 3 3 6 3" xfId="6336" xr:uid="{BACE9ED3-B0BA-40B2-AC81-F2C18A2054B2}"/>
    <cellStyle name="Normal 2 4 2 3 3 7" xfId="2886" xr:uid="{16DD0AB6-D20B-4183-AB40-01A16F76AA47}"/>
    <cellStyle name="Normal 2 4 2 3 3 7 2" xfId="6749" xr:uid="{316E7FA4-39C6-42A8-B02C-AA1B24EFDE71}"/>
    <cellStyle name="Normal 2 4 2 3 3 8" xfId="4683" xr:uid="{A0A0CE2F-298D-43D7-9EDB-5B6125B72DDA}"/>
    <cellStyle name="Normal 2 4 2 3 4" xfId="291" xr:uid="{00000000-0005-0000-0000-0000F4010000}"/>
    <cellStyle name="Normal 2 4 2 3 4 2" xfId="787" xr:uid="{00000000-0005-0000-0000-0000F5010000}"/>
    <cellStyle name="Normal 2 4 2 3 4 2 2" xfId="1624" xr:uid="{F4BA1279-F953-4C45-B690-088DA9ACA5C0}"/>
    <cellStyle name="Normal 2 4 2 3 4 2 2 2" xfId="7244" xr:uid="{41A33E9D-1F5B-47DA-86F9-C14F77C011B1}"/>
    <cellStyle name="Normal 2 4 2 3 4 2 3" xfId="5099" xr:uid="{7576451F-DAAA-40EC-94D0-401AABE6D1B8}"/>
    <cellStyle name="Normal 2 4 2 3 4 3" xfId="1208" xr:uid="{F39AAB11-B651-4DB8-9E50-59A8866C855A}"/>
    <cellStyle name="Normal 2 4 2 3 4 3 2" xfId="3442" xr:uid="{DF842440-A3E5-496D-BC8E-438BF6057D52}"/>
    <cellStyle name="Normal 2 4 2 3 4 3 2 2" xfId="7657" xr:uid="{2E523336-5277-4AE3-9D19-27D6E4FDE3F6}"/>
    <cellStyle name="Normal 2 4 2 3 4 3 3" xfId="5512" xr:uid="{0FA4B26F-C080-4255-91A5-E7B1F943FF01}"/>
    <cellStyle name="Normal 2 4 2 3 4 4" xfId="2039" xr:uid="{20BE37D3-782B-4296-825D-29C67E1AA2F6}"/>
    <cellStyle name="Normal 2 4 2 3 4 4 2" xfId="3855" xr:uid="{729276CF-4279-4A74-B53C-FD5D6A3185BE}"/>
    <cellStyle name="Normal 2 4 2 3 4 4 2 2" xfId="8070" xr:uid="{AF13344E-14ED-4040-9DFF-1C3AC1A3827E}"/>
    <cellStyle name="Normal 2 4 2 3 4 4 3" xfId="5925" xr:uid="{C947E4F5-039C-4421-9499-A64E8B2FBAC5}"/>
    <cellStyle name="Normal 2 4 2 3 4 5" xfId="2452" xr:uid="{0FF33109-5548-4857-914E-1E92185EFF9D}"/>
    <cellStyle name="Normal 2 4 2 3 4 5 2" xfId="4268" xr:uid="{08D091B8-6879-415C-9167-3430457DB259}"/>
    <cellStyle name="Normal 2 4 2 3 4 5 2 2" xfId="8483" xr:uid="{BD0DA8CE-2241-48D8-9C5B-18674A28593C}"/>
    <cellStyle name="Normal 2 4 2 3 4 5 3" xfId="6338" xr:uid="{BB96A9B2-A870-45FD-A040-F3EED0E471EE}"/>
    <cellStyle name="Normal 2 4 2 3 4 6" xfId="2888" xr:uid="{DEEC8FA9-E116-43E4-8AEA-D981FF3306E1}"/>
    <cellStyle name="Normal 2 4 2 3 4 6 2" xfId="6751" xr:uid="{E591591C-5213-42A8-BDEF-583FDA690DAE}"/>
    <cellStyle name="Normal 2 4 2 3 4 7" xfId="4685" xr:uid="{26D111F0-D4FB-4483-A5B8-0A7E2E9B79AB}"/>
    <cellStyle name="Normal 2 4 2 3 5" xfId="780" xr:uid="{00000000-0005-0000-0000-0000F6010000}"/>
    <cellStyle name="Normal 2 4 2 3 5 2" xfId="1617" xr:uid="{AD5E3C44-F74F-48AE-9791-AB625BBA4442}"/>
    <cellStyle name="Normal 2 4 2 3 5 2 2" xfId="7237" xr:uid="{0BD87606-E8AC-400A-B885-D8A8009B6828}"/>
    <cellStyle name="Normal 2 4 2 3 5 3" xfId="5092" xr:uid="{88A3CE2B-3B48-44B5-AFB0-BBF84CE6A982}"/>
    <cellStyle name="Normal 2 4 2 3 6" xfId="1201" xr:uid="{C14FE313-4CD1-4EEE-890F-63290B896B00}"/>
    <cellStyle name="Normal 2 4 2 3 6 2" xfId="3435" xr:uid="{07117DC3-5CF0-42AB-BC4C-C52EA2B6656D}"/>
    <cellStyle name="Normal 2 4 2 3 6 2 2" xfId="7650" xr:uid="{20DDFE31-61DD-4201-BD42-CCC9B869AB48}"/>
    <cellStyle name="Normal 2 4 2 3 6 3" xfId="5505" xr:uid="{4789BEAF-0F08-46B4-8CE2-B4494761E000}"/>
    <cellStyle name="Normal 2 4 2 3 7" xfId="2032" xr:uid="{522D182A-A982-4805-A204-E51A5AB1EAE2}"/>
    <cellStyle name="Normal 2 4 2 3 7 2" xfId="3848" xr:uid="{9AA0919F-FFDB-4ED1-A8D2-F701E45FF181}"/>
    <cellStyle name="Normal 2 4 2 3 7 2 2" xfId="8063" xr:uid="{052D4EA2-DAEF-4E3C-8516-0FC9E3EF7938}"/>
    <cellStyle name="Normal 2 4 2 3 7 3" xfId="5918" xr:uid="{363488D3-4796-4504-8B40-C5E03337FBDF}"/>
    <cellStyle name="Normal 2 4 2 3 8" xfId="2445" xr:uid="{4373F31F-141C-49DE-8B92-603FDABAABA2}"/>
    <cellStyle name="Normal 2 4 2 3 8 2" xfId="4261" xr:uid="{3A209998-5E41-4E3A-ADCB-8DBEC1AFD82D}"/>
    <cellStyle name="Normal 2 4 2 3 8 2 2" xfId="8476" xr:uid="{FBBD6E2A-FB31-45B6-98D7-4362D9849FC6}"/>
    <cellStyle name="Normal 2 4 2 3 8 3" xfId="6331" xr:uid="{E3B5DDF2-887D-4A20-B2EA-0052B5B81BA1}"/>
    <cellStyle name="Normal 2 4 2 3 9" xfId="2881" xr:uid="{F983107B-D8F8-4922-A6E8-F783C73F00CA}"/>
    <cellStyle name="Normal 2 4 2 3 9 2" xfId="6744" xr:uid="{4755A794-EE6F-4C41-869F-5402993E36ED}"/>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7" xr:uid="{C9F2EEEC-1AA0-424A-9B54-EAA5EF415AF5}"/>
    <cellStyle name="Normal 2 4 2 4 2 2 2 2 2" xfId="7247" xr:uid="{664A9952-704E-4432-9C24-61DA985E9169}"/>
    <cellStyle name="Normal 2 4 2 4 2 2 2 3" xfId="5102" xr:uid="{CCEB3DB6-F710-46E0-B960-B2C0CB60BBDD}"/>
    <cellStyle name="Normal 2 4 2 4 2 2 3" xfId="1211" xr:uid="{69DA277F-FA16-4AA5-B6B7-F861EEEB74F9}"/>
    <cellStyle name="Normal 2 4 2 4 2 2 3 2" xfId="3445" xr:uid="{1C1BF6AA-68EA-4550-9783-5BDDBBFC5853}"/>
    <cellStyle name="Normal 2 4 2 4 2 2 3 2 2" xfId="7660" xr:uid="{FAE1039A-3800-485B-BA8B-9F4877EE0B1C}"/>
    <cellStyle name="Normal 2 4 2 4 2 2 3 3" xfId="5515" xr:uid="{5892BF47-D10C-4B28-BBE8-6804DC2A2ED8}"/>
    <cellStyle name="Normal 2 4 2 4 2 2 4" xfId="2042" xr:uid="{7184A16E-90E3-4171-BB81-5C3ADA6A33EF}"/>
    <cellStyle name="Normal 2 4 2 4 2 2 4 2" xfId="3858" xr:uid="{137A8E5B-4F87-4BF0-970F-114B8EA0C870}"/>
    <cellStyle name="Normal 2 4 2 4 2 2 4 2 2" xfId="8073" xr:uid="{D77E1214-352C-4F30-88F6-912F68D16A59}"/>
    <cellStyle name="Normal 2 4 2 4 2 2 4 3" xfId="5928" xr:uid="{D157B2BB-4308-4463-83C8-F64519C1E786}"/>
    <cellStyle name="Normal 2 4 2 4 2 2 5" xfId="2455" xr:uid="{E9FB07FC-B8F5-4A51-88C3-E9B4EB2E0CD2}"/>
    <cellStyle name="Normal 2 4 2 4 2 2 5 2" xfId="4271" xr:uid="{53133BAF-183B-4746-9D36-2336C1D8FF35}"/>
    <cellStyle name="Normal 2 4 2 4 2 2 5 2 2" xfId="8486" xr:uid="{373071B9-F518-4C1F-9F87-BD1416F2C114}"/>
    <cellStyle name="Normal 2 4 2 4 2 2 5 3" xfId="6341" xr:uid="{763FCEE8-7ED4-4159-ADFC-948BF97D255A}"/>
    <cellStyle name="Normal 2 4 2 4 2 2 6" xfId="2891" xr:uid="{3C367B8F-3050-4296-81FF-A7CFD79FB0A0}"/>
    <cellStyle name="Normal 2 4 2 4 2 2 6 2" xfId="6754" xr:uid="{613A5494-2B5D-4E7E-A3AD-D9DA5875409D}"/>
    <cellStyle name="Normal 2 4 2 4 2 2 7" xfId="4688" xr:uid="{79E678FB-2F11-4451-B389-49DA8CA5A97A}"/>
    <cellStyle name="Normal 2 4 2 4 2 3" xfId="789" xr:uid="{00000000-0005-0000-0000-0000FB010000}"/>
    <cellStyle name="Normal 2 4 2 4 2 3 2" xfId="1626" xr:uid="{894DDABC-37AE-41F1-9EC5-0D1F8CDF4835}"/>
    <cellStyle name="Normal 2 4 2 4 2 3 2 2" xfId="7246" xr:uid="{FAF3CC99-5040-414E-B94D-8F3B7CEC3AEA}"/>
    <cellStyle name="Normal 2 4 2 4 2 3 3" xfId="5101" xr:uid="{8C053DD4-A6E2-47A3-B613-3D29CAFAF0FB}"/>
    <cellStyle name="Normal 2 4 2 4 2 4" xfId="1210" xr:uid="{D864DB1A-EC06-4C28-8E2F-2CE782496E95}"/>
    <cellStyle name="Normal 2 4 2 4 2 4 2" xfId="3444" xr:uid="{129A3ECC-1386-432B-9CF8-B8434B1E1FED}"/>
    <cellStyle name="Normal 2 4 2 4 2 4 2 2" xfId="7659" xr:uid="{C8DB62F5-A92D-47AA-9739-815BAF881ECB}"/>
    <cellStyle name="Normal 2 4 2 4 2 4 3" xfId="5514" xr:uid="{FDC1C7A4-8287-4CDF-BDD5-1FF4E02DC89A}"/>
    <cellStyle name="Normal 2 4 2 4 2 5" xfId="2041" xr:uid="{0EB127EF-E439-4DCA-8326-BC264C0456A3}"/>
    <cellStyle name="Normal 2 4 2 4 2 5 2" xfId="3857" xr:uid="{FFEB2CCE-F723-43F1-A853-80A268D9B485}"/>
    <cellStyle name="Normal 2 4 2 4 2 5 2 2" xfId="8072" xr:uid="{D358C1B5-C20B-4FF5-AFBE-86A94E42209D}"/>
    <cellStyle name="Normal 2 4 2 4 2 5 3" xfId="5927" xr:uid="{0C8AC2DE-7227-4185-8AAF-A1404289A3DB}"/>
    <cellStyle name="Normal 2 4 2 4 2 6" xfId="2454" xr:uid="{DA8B0D2F-6C4D-484A-A07F-F60D45877D37}"/>
    <cellStyle name="Normal 2 4 2 4 2 6 2" xfId="4270" xr:uid="{94FE0AF4-B42E-4125-AE19-E0442E1C99F9}"/>
    <cellStyle name="Normal 2 4 2 4 2 6 2 2" xfId="8485" xr:uid="{CACA8E2E-BE4A-4422-BC7C-87180F43A08A}"/>
    <cellStyle name="Normal 2 4 2 4 2 6 3" xfId="6340" xr:uid="{24DB7E01-FA0E-4543-84C1-E56B97D4A901}"/>
    <cellStyle name="Normal 2 4 2 4 2 7" xfId="2890" xr:uid="{B13944AF-E837-4116-AA51-7F3A6F7473AE}"/>
    <cellStyle name="Normal 2 4 2 4 2 7 2" xfId="6753" xr:uid="{B94A9AC5-C70E-4893-A55C-62238323AB6B}"/>
    <cellStyle name="Normal 2 4 2 4 2 8" xfId="4687" xr:uid="{CE3AE94F-B206-49CA-85C8-D5BC2AAB618C}"/>
    <cellStyle name="Normal 2 4 2 4 3" xfId="295" xr:uid="{00000000-0005-0000-0000-0000FC010000}"/>
    <cellStyle name="Normal 2 4 2 4 3 2" xfId="791" xr:uid="{00000000-0005-0000-0000-0000FD010000}"/>
    <cellStyle name="Normal 2 4 2 4 3 2 2" xfId="1628" xr:uid="{49E9BE88-951A-4B46-8B27-41CFD16CA87F}"/>
    <cellStyle name="Normal 2 4 2 4 3 2 2 2" xfId="7248" xr:uid="{251C1C1D-FF92-4A03-84A4-A079D0CA5140}"/>
    <cellStyle name="Normal 2 4 2 4 3 2 3" xfId="5103" xr:uid="{DCF54074-0202-4710-A3F5-07DA1606567A}"/>
    <cellStyle name="Normal 2 4 2 4 3 3" xfId="1212" xr:uid="{856FC5D3-6F9C-4698-A4AF-3EE8A32D1CE0}"/>
    <cellStyle name="Normal 2 4 2 4 3 3 2" xfId="3446" xr:uid="{C8088ECA-7C5E-4FB4-AB8D-85F19D73B3C4}"/>
    <cellStyle name="Normal 2 4 2 4 3 3 2 2" xfId="7661" xr:uid="{5874090B-4F38-4F29-9D65-D65F859E893B}"/>
    <cellStyle name="Normal 2 4 2 4 3 3 3" xfId="5516" xr:uid="{B9284673-F941-492D-B958-D8C299FBA0D5}"/>
    <cellStyle name="Normal 2 4 2 4 3 4" xfId="2043" xr:uid="{71A03AC4-1A41-4587-A2A6-13CC1E523F13}"/>
    <cellStyle name="Normal 2 4 2 4 3 4 2" xfId="3859" xr:uid="{A57585CC-E75C-402C-8D33-4FBDF6F8626C}"/>
    <cellStyle name="Normal 2 4 2 4 3 4 2 2" xfId="8074" xr:uid="{6621FB31-6C86-459F-BB28-5FF207C25079}"/>
    <cellStyle name="Normal 2 4 2 4 3 4 3" xfId="5929" xr:uid="{F8078A15-A1EE-4F76-BCDB-85BF4D24CCAA}"/>
    <cellStyle name="Normal 2 4 2 4 3 5" xfId="2456" xr:uid="{F98C0BBE-C83B-462A-885A-00B79A73EC0C}"/>
    <cellStyle name="Normal 2 4 2 4 3 5 2" xfId="4272" xr:uid="{67EF85A1-365B-4D1E-88E8-0666A7BCFCFE}"/>
    <cellStyle name="Normal 2 4 2 4 3 5 2 2" xfId="8487" xr:uid="{855A4ED7-3FDC-4CA0-99FE-25EC9FAD095F}"/>
    <cellStyle name="Normal 2 4 2 4 3 5 3" xfId="6342" xr:uid="{0A4EF426-CE3E-41DC-84FE-2C8A927E2AE3}"/>
    <cellStyle name="Normal 2 4 2 4 3 6" xfId="2892" xr:uid="{A1DA5E8C-1043-4519-A273-05027BB32BC4}"/>
    <cellStyle name="Normal 2 4 2 4 3 6 2" xfId="6755" xr:uid="{BDBEF6F6-346F-40CD-99AC-A0E03633DE1E}"/>
    <cellStyle name="Normal 2 4 2 4 3 7" xfId="4689" xr:uid="{5A1799BE-7AB9-486D-8B20-9233E52827C2}"/>
    <cellStyle name="Normal 2 4 2 4 4" xfId="788" xr:uid="{00000000-0005-0000-0000-0000FE010000}"/>
    <cellStyle name="Normal 2 4 2 4 4 2" xfId="1625" xr:uid="{9A6CBBBB-A9A1-4FBB-AA2C-B13A0382A16A}"/>
    <cellStyle name="Normal 2 4 2 4 4 2 2" xfId="7245" xr:uid="{6BBEFFD1-92AF-4180-AB5D-A31397D9BB71}"/>
    <cellStyle name="Normal 2 4 2 4 4 3" xfId="5100" xr:uid="{12711B2B-C5B2-480E-8B56-BD84F221836D}"/>
    <cellStyle name="Normal 2 4 2 4 5" xfId="1209" xr:uid="{DD7A13F7-0ACF-4476-96E0-4BDB50C33F29}"/>
    <cellStyle name="Normal 2 4 2 4 5 2" xfId="3443" xr:uid="{69B370D8-51C1-4E9C-B585-A0C6EDE13BB2}"/>
    <cellStyle name="Normal 2 4 2 4 5 2 2" xfId="7658" xr:uid="{978A5AEC-1D6F-4218-BE22-B1EF96AA110E}"/>
    <cellStyle name="Normal 2 4 2 4 5 3" xfId="5513" xr:uid="{9D668B0E-76C6-451C-ABD3-D95B8F959AB1}"/>
    <cellStyle name="Normal 2 4 2 4 6" xfId="2040" xr:uid="{850A421C-A1F2-4AA0-97E2-16457C5A76EC}"/>
    <cellStyle name="Normal 2 4 2 4 6 2" xfId="3856" xr:uid="{ECD179EB-E0A5-4306-B104-6A2FC34BE3EC}"/>
    <cellStyle name="Normal 2 4 2 4 6 2 2" xfId="8071" xr:uid="{BEB48D0D-5A85-431F-AB14-097F8FB7EB14}"/>
    <cellStyle name="Normal 2 4 2 4 6 3" xfId="5926" xr:uid="{4A0E733C-68A2-4286-B96A-EB3E2BE2BC38}"/>
    <cellStyle name="Normal 2 4 2 4 7" xfId="2453" xr:uid="{777C4983-9967-4E3B-B07F-44BA6057237B}"/>
    <cellStyle name="Normal 2 4 2 4 7 2" xfId="4269" xr:uid="{248E077D-EA05-4DE8-A709-98AFC4B88240}"/>
    <cellStyle name="Normal 2 4 2 4 7 2 2" xfId="8484" xr:uid="{97353155-EA1C-4286-9901-4CCBFAF69B3F}"/>
    <cellStyle name="Normal 2 4 2 4 7 3" xfId="6339" xr:uid="{6D0A19C2-B8A8-4575-8C30-6864AD31BFA6}"/>
    <cellStyle name="Normal 2 4 2 4 8" xfId="2889" xr:uid="{62E4B015-ED52-40CF-BF2A-7712A6CB565A}"/>
    <cellStyle name="Normal 2 4 2 4 8 2" xfId="6752" xr:uid="{5E551982-4C9F-4711-B4C5-83A6C66E6E68}"/>
    <cellStyle name="Normal 2 4 2 4 9" xfId="4686" xr:uid="{EA33EB43-58BE-4B72-AC96-6069C079322E}"/>
    <cellStyle name="Normal 2 4 2 5" xfId="296" xr:uid="{00000000-0005-0000-0000-0000FF010000}"/>
    <cellStyle name="Normal 2 4 2 5 2" xfId="297" xr:uid="{00000000-0005-0000-0000-000000020000}"/>
    <cellStyle name="Normal 2 4 2 5 2 2" xfId="793" xr:uid="{00000000-0005-0000-0000-000001020000}"/>
    <cellStyle name="Normal 2 4 2 5 2 2 2" xfId="1630" xr:uid="{5645CA08-6781-43A8-A182-BF80CB294B5A}"/>
    <cellStyle name="Normal 2 4 2 5 2 2 2 2" xfId="7250" xr:uid="{A4EABCEF-E05C-4251-BC63-2D4AFF4313DF}"/>
    <cellStyle name="Normal 2 4 2 5 2 2 3" xfId="5105" xr:uid="{0260BB52-75BE-4412-A79A-4D343C22FBAC}"/>
    <cellStyle name="Normal 2 4 2 5 2 3" xfId="1214" xr:uid="{792D4511-1AEE-4F81-983E-1B65996C0D28}"/>
    <cellStyle name="Normal 2 4 2 5 2 3 2" xfId="3448" xr:uid="{ABAAE730-4D09-4C47-9E68-4CCF3166A012}"/>
    <cellStyle name="Normal 2 4 2 5 2 3 2 2" xfId="7663" xr:uid="{A842A900-E153-4DC2-AABE-2258B596193E}"/>
    <cellStyle name="Normal 2 4 2 5 2 3 3" xfId="5518" xr:uid="{A7E7FC1A-B9BD-4282-8C4B-9443E00FCC02}"/>
    <cellStyle name="Normal 2 4 2 5 2 4" xfId="2045" xr:uid="{E8B3A811-7762-4055-9823-7C8126AB2742}"/>
    <cellStyle name="Normal 2 4 2 5 2 4 2" xfId="3861" xr:uid="{EA414D4F-1E26-4C5A-A0E0-81C6FFC66CA1}"/>
    <cellStyle name="Normal 2 4 2 5 2 4 2 2" xfId="8076" xr:uid="{09BA2EBA-90A0-45E7-87F6-2385F7AD95A5}"/>
    <cellStyle name="Normal 2 4 2 5 2 4 3" xfId="5931" xr:uid="{6017C076-32C0-4E02-A2B1-C0D49A3166EA}"/>
    <cellStyle name="Normal 2 4 2 5 2 5" xfId="2458" xr:uid="{6EC54EF1-5A2F-4DF5-B537-E5697EF7CEC3}"/>
    <cellStyle name="Normal 2 4 2 5 2 5 2" xfId="4274" xr:uid="{F04181E1-B8C3-4100-9EF5-06D2A8A29624}"/>
    <cellStyle name="Normal 2 4 2 5 2 5 2 2" xfId="8489" xr:uid="{28A76EB3-2A02-4CBC-B475-8F0C5AF6FAD8}"/>
    <cellStyle name="Normal 2 4 2 5 2 5 3" xfId="6344" xr:uid="{583C18CE-2A4F-4902-A489-03C9C3C04492}"/>
    <cellStyle name="Normal 2 4 2 5 2 6" xfId="2894" xr:uid="{4590A22C-BCCE-4395-ACA9-483AE4C82034}"/>
    <cellStyle name="Normal 2 4 2 5 2 6 2" xfId="6757" xr:uid="{96682030-3160-4394-85CF-76869A9001C3}"/>
    <cellStyle name="Normal 2 4 2 5 2 7" xfId="4691" xr:uid="{44FA80C6-1EAF-40C8-BF4F-524DAA3CD2A2}"/>
    <cellStyle name="Normal 2 4 2 5 3" xfId="792" xr:uid="{00000000-0005-0000-0000-000002020000}"/>
    <cellStyle name="Normal 2 4 2 5 3 2" xfId="1629" xr:uid="{F681BE02-13A0-4A90-85B5-2A862FAE578F}"/>
    <cellStyle name="Normal 2 4 2 5 3 2 2" xfId="7249" xr:uid="{D721B08B-4FD1-42FF-9074-148839363D90}"/>
    <cellStyle name="Normal 2 4 2 5 3 3" xfId="5104" xr:uid="{FDB46D4F-D7B1-422E-9B31-584C0BB8C8D1}"/>
    <cellStyle name="Normal 2 4 2 5 4" xfId="1213" xr:uid="{09530018-1674-46FD-ABB6-5AAF8B31D888}"/>
    <cellStyle name="Normal 2 4 2 5 4 2" xfId="3447" xr:uid="{1B6508EC-52E1-4D68-B0F6-F639723ADFD3}"/>
    <cellStyle name="Normal 2 4 2 5 4 2 2" xfId="7662" xr:uid="{D890839F-E91D-49D1-869F-F643886B29E3}"/>
    <cellStyle name="Normal 2 4 2 5 4 3" xfId="5517" xr:uid="{B5DFA255-3F79-4E37-BC0F-C48DA2FC7B69}"/>
    <cellStyle name="Normal 2 4 2 5 5" xfId="2044" xr:uid="{A06D7869-1479-4A87-BC8B-441033675141}"/>
    <cellStyle name="Normal 2 4 2 5 5 2" xfId="3860" xr:uid="{1AF6AA66-C121-4462-9CB4-4CD4F0FFB994}"/>
    <cellStyle name="Normal 2 4 2 5 5 2 2" xfId="8075" xr:uid="{D7EC4968-7B60-4F39-BE34-DE20E3BBD5F8}"/>
    <cellStyle name="Normal 2 4 2 5 5 3" xfId="5930" xr:uid="{463FEADD-90BE-4F61-8AEC-12F9C7E3BCB1}"/>
    <cellStyle name="Normal 2 4 2 5 6" xfId="2457" xr:uid="{CCA1C411-A085-4C98-AEB1-D3DE221AF222}"/>
    <cellStyle name="Normal 2 4 2 5 6 2" xfId="4273" xr:uid="{F3CD7B5C-D6E2-47B4-A4D8-3FC411F09BEA}"/>
    <cellStyle name="Normal 2 4 2 5 6 2 2" xfId="8488" xr:uid="{069D3497-2CFE-482B-A404-3E0100F6CFF1}"/>
    <cellStyle name="Normal 2 4 2 5 6 3" xfId="6343" xr:uid="{BC794DFE-3C8D-4ABF-A724-D1E6EFB2F612}"/>
    <cellStyle name="Normal 2 4 2 5 7" xfId="2893" xr:uid="{7B46B5A4-2866-4445-85FB-E8FF6FD82A16}"/>
    <cellStyle name="Normal 2 4 2 5 7 2" xfId="6756" xr:uid="{14917A3D-F6CA-461B-8B4C-CBA947DB0E9C}"/>
    <cellStyle name="Normal 2 4 2 5 8" xfId="4690" xr:uid="{021D138C-4872-4172-9551-6696667649E2}"/>
    <cellStyle name="Normal 2 4 2 6" xfId="298" xr:uid="{00000000-0005-0000-0000-000003020000}"/>
    <cellStyle name="Normal 2 4 2 6 2" xfId="794" xr:uid="{00000000-0005-0000-0000-000004020000}"/>
    <cellStyle name="Normal 2 4 2 6 2 2" xfId="1631" xr:uid="{A7FC8717-FC8A-4665-8BB0-BBFFB8A70355}"/>
    <cellStyle name="Normal 2 4 2 6 2 2 2" xfId="7251" xr:uid="{E4560C20-0CFB-46A1-BAE8-8D776CCA1C1E}"/>
    <cellStyle name="Normal 2 4 2 6 2 3" xfId="5106" xr:uid="{B27458DE-8AFF-43B2-8930-024879852F34}"/>
    <cellStyle name="Normal 2 4 2 6 3" xfId="1215" xr:uid="{10886100-4E6A-4280-8665-9B059BA3272B}"/>
    <cellStyle name="Normal 2 4 2 6 3 2" xfId="3449" xr:uid="{A11C1F42-4F1A-4E0E-B06A-C3BDD4418A84}"/>
    <cellStyle name="Normal 2 4 2 6 3 2 2" xfId="7664" xr:uid="{FE0212A0-8086-4D4C-84E3-96252D4E4262}"/>
    <cellStyle name="Normal 2 4 2 6 3 3" xfId="5519" xr:uid="{9CD10B01-F8E3-4A49-8E99-135E356DE3B0}"/>
    <cellStyle name="Normal 2 4 2 6 4" xfId="2046" xr:uid="{E1978253-31CD-4262-9E08-ACBABBC3E584}"/>
    <cellStyle name="Normal 2 4 2 6 4 2" xfId="3862" xr:uid="{9936D20F-E5F0-4647-B456-5732D5A47871}"/>
    <cellStyle name="Normal 2 4 2 6 4 2 2" xfId="8077" xr:uid="{CAE9137D-4B99-496B-83CE-85DD42781562}"/>
    <cellStyle name="Normal 2 4 2 6 4 3" xfId="5932" xr:uid="{3C96A13A-BE85-4F3E-B97B-85661EE34EBD}"/>
    <cellStyle name="Normal 2 4 2 6 5" xfId="2459" xr:uid="{324CF906-7727-403E-B502-5259ADC5CB49}"/>
    <cellStyle name="Normal 2 4 2 6 5 2" xfId="4275" xr:uid="{639C733E-968A-4563-89F4-1B44BE832A24}"/>
    <cellStyle name="Normal 2 4 2 6 5 2 2" xfId="8490" xr:uid="{BD97F204-C8FB-45EC-8145-05F227E24E33}"/>
    <cellStyle name="Normal 2 4 2 6 5 3" xfId="6345" xr:uid="{5592CE8A-CF62-4165-A83B-C9A99446DFA6}"/>
    <cellStyle name="Normal 2 4 2 6 6" xfId="2895" xr:uid="{DD9F1BD8-E163-4030-AAF8-5D7342E93CC4}"/>
    <cellStyle name="Normal 2 4 2 6 6 2" xfId="6758" xr:uid="{0F3D8970-2D0A-4346-840F-CABF2F4ACF1A}"/>
    <cellStyle name="Normal 2 4 2 6 7" xfId="4692" xr:uid="{EAE8EEFB-3262-47DC-8AC5-69E75367E684}"/>
    <cellStyle name="Normal 2 4 2 7" xfId="779" xr:uid="{00000000-0005-0000-0000-000005020000}"/>
    <cellStyle name="Normal 2 4 2 7 2" xfId="1616" xr:uid="{17BC81FC-25F5-41A5-8254-8EA84D372E50}"/>
    <cellStyle name="Normal 2 4 2 7 2 2" xfId="7236" xr:uid="{5EA70825-FA8A-4B07-A1B5-B38B9571A946}"/>
    <cellStyle name="Normal 2 4 2 7 3" xfId="5091" xr:uid="{9BAD957D-E711-4D46-B521-C911579F588C}"/>
    <cellStyle name="Normal 2 4 2 8" xfId="1200" xr:uid="{4144E077-5607-4B60-B01B-411567E0D4DA}"/>
    <cellStyle name="Normal 2 4 2 8 2" xfId="3434" xr:uid="{7327F7B5-3F9F-4398-B0C4-7E9A08BA4C3F}"/>
    <cellStyle name="Normal 2 4 2 8 2 2" xfId="7649" xr:uid="{5DF91D83-5285-47D8-852D-970FD7D243E1}"/>
    <cellStyle name="Normal 2 4 2 8 3" xfId="5504" xr:uid="{29E0CE76-3AA4-4590-9CCD-EBB251224ECA}"/>
    <cellStyle name="Normal 2 4 2 9" xfId="2031" xr:uid="{6207AE6D-AF95-4FD7-ABE8-F5CA75E1576E}"/>
    <cellStyle name="Normal 2 4 2 9 2" xfId="3847" xr:uid="{CEEDDFB4-EBD6-419D-BFD8-AEFB55CA014B}"/>
    <cellStyle name="Normal 2 4 2 9 2 2" xfId="8062" xr:uid="{4DC4E5D4-8FC9-4E86-80E1-2A72DCAFCF32}"/>
    <cellStyle name="Normal 2 4 2 9 3" xfId="5917" xr:uid="{5C88B7EB-D4B2-438E-80D3-2A7916389BFE}"/>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5" xr:uid="{73248E14-8844-43AD-AF2F-2FED57CBF987}"/>
    <cellStyle name="Normal 2 4 3 3 2 2 2 2 2" xfId="7255" xr:uid="{43C40458-92C9-45EF-A6FA-E69F257DBACD}"/>
    <cellStyle name="Normal 2 4 3 3 2 2 2 3" xfId="5110" xr:uid="{E5C37892-F051-4C94-9370-B44C80C2E4F9}"/>
    <cellStyle name="Normal 2 4 3 3 2 2 3" xfId="1219" xr:uid="{A06B129F-A9A3-4AFE-9BBE-3681FD4E3AD0}"/>
    <cellStyle name="Normal 2 4 3 3 2 2 3 2" xfId="3453" xr:uid="{625CD624-1088-4701-A1A4-E9E581A1EACB}"/>
    <cellStyle name="Normal 2 4 3 3 2 2 3 2 2" xfId="7668" xr:uid="{CA30F8BC-B1A8-41DE-B206-F926F2FDFB60}"/>
    <cellStyle name="Normal 2 4 3 3 2 2 3 3" xfId="5523" xr:uid="{11365E2E-DBEA-471A-80B7-716D0B86BAED}"/>
    <cellStyle name="Normal 2 4 3 3 2 2 4" xfId="2050" xr:uid="{218ABFEB-0E1B-446D-AEAB-C6844EA44387}"/>
    <cellStyle name="Normal 2 4 3 3 2 2 4 2" xfId="3866" xr:uid="{B43471BA-81C8-4069-AB11-18881E1010E5}"/>
    <cellStyle name="Normal 2 4 3 3 2 2 4 2 2" xfId="8081" xr:uid="{9C838E96-B7B8-480A-9821-8388CFBEB9A0}"/>
    <cellStyle name="Normal 2 4 3 3 2 2 4 3" xfId="5936" xr:uid="{2D17C358-F24D-4390-89F8-8847716839C9}"/>
    <cellStyle name="Normal 2 4 3 3 2 2 5" xfId="2463" xr:uid="{69BA4EA9-A9A2-4DFF-9F30-993CD8A5FE8A}"/>
    <cellStyle name="Normal 2 4 3 3 2 2 5 2" xfId="4279" xr:uid="{8680CDC0-FCFF-4F8B-BAFF-08A665A123B0}"/>
    <cellStyle name="Normal 2 4 3 3 2 2 5 2 2" xfId="8494" xr:uid="{F8554D45-7CA2-462D-B6EF-602BB1EAA7A1}"/>
    <cellStyle name="Normal 2 4 3 3 2 2 5 3" xfId="6349" xr:uid="{0FE8954E-471D-4BC6-A186-451AB3964E89}"/>
    <cellStyle name="Normal 2 4 3 3 2 2 6" xfId="2899" xr:uid="{B1D9BFB7-58EC-4B5A-868C-21FFBA7EBE7C}"/>
    <cellStyle name="Normal 2 4 3 3 2 2 6 2" xfId="6762" xr:uid="{5A5A6044-2753-4AD2-8041-1C1B2E3719B5}"/>
    <cellStyle name="Normal 2 4 3 3 2 2 7" xfId="4696" xr:uid="{2354DA2F-9DDC-4FBB-BD06-B036363D7DC3}"/>
    <cellStyle name="Normal 2 4 3 3 2 3" xfId="797" xr:uid="{00000000-0005-0000-0000-00000C020000}"/>
    <cellStyle name="Normal 2 4 3 3 2 3 2" xfId="1634" xr:uid="{3437A663-0785-44E5-9890-5440018E6E94}"/>
    <cellStyle name="Normal 2 4 3 3 2 3 2 2" xfId="7254" xr:uid="{3B5E3782-DD5C-4456-8594-638C9EBFB015}"/>
    <cellStyle name="Normal 2 4 3 3 2 3 3" xfId="5109" xr:uid="{C91BAC34-4B5C-408C-AC91-227A0B7107BB}"/>
    <cellStyle name="Normal 2 4 3 3 2 4" xfId="1218" xr:uid="{E3762351-54BE-4401-B8B4-47B15B9C6474}"/>
    <cellStyle name="Normal 2 4 3 3 2 4 2" xfId="3452" xr:uid="{18308E18-C5B4-4D45-A0B6-B9D749FC97BC}"/>
    <cellStyle name="Normal 2 4 3 3 2 4 2 2" xfId="7667" xr:uid="{5C84EE79-2E19-4DC3-862A-E81DC03D0FFB}"/>
    <cellStyle name="Normal 2 4 3 3 2 4 3" xfId="5522" xr:uid="{44D247D4-ED4D-444F-AFC2-5A648426C093}"/>
    <cellStyle name="Normal 2 4 3 3 2 5" xfId="2049" xr:uid="{364B1741-BD22-40AE-A762-14569CCBCA50}"/>
    <cellStyle name="Normal 2 4 3 3 2 5 2" xfId="3865" xr:uid="{07DE0FA2-5DB9-4E02-929F-06D7D1B77A90}"/>
    <cellStyle name="Normal 2 4 3 3 2 5 2 2" xfId="8080" xr:uid="{0C8D52B1-BFB4-4C86-8DA3-9A825BFC9FDA}"/>
    <cellStyle name="Normal 2 4 3 3 2 5 3" xfId="5935" xr:uid="{D8F3490E-1145-4938-832F-4CE072996426}"/>
    <cellStyle name="Normal 2 4 3 3 2 6" xfId="2462" xr:uid="{3748DD43-A6B6-4FD0-AE19-67D913D80A0E}"/>
    <cellStyle name="Normal 2 4 3 3 2 6 2" xfId="4278" xr:uid="{63683AC6-265C-420E-BC41-C64373868B40}"/>
    <cellStyle name="Normal 2 4 3 3 2 6 2 2" xfId="8493" xr:uid="{8DE77403-233C-49A6-B1C2-6524B41D6006}"/>
    <cellStyle name="Normal 2 4 3 3 2 6 3" xfId="6348" xr:uid="{16BC72E7-A547-418E-A4D4-2085542B4367}"/>
    <cellStyle name="Normal 2 4 3 3 2 7" xfId="2898" xr:uid="{9FFB221B-0D0D-4647-8370-41EAE60519DC}"/>
    <cellStyle name="Normal 2 4 3 3 2 7 2" xfId="6761" xr:uid="{E93AC2DA-D407-4FF6-BD91-DF2DD95EDA60}"/>
    <cellStyle name="Normal 2 4 3 3 2 8" xfId="4695" xr:uid="{8B1E2C16-FB4B-46F1-A898-1E82735227AD}"/>
    <cellStyle name="Normal 2 4 3 3 3" xfId="304" xr:uid="{00000000-0005-0000-0000-00000D020000}"/>
    <cellStyle name="Normal 2 4 3 3 3 2" xfId="799" xr:uid="{00000000-0005-0000-0000-00000E020000}"/>
    <cellStyle name="Normal 2 4 3 3 3 2 2" xfId="1636" xr:uid="{97D3C6C4-C48B-4A0D-B68F-E10862EA9E2C}"/>
    <cellStyle name="Normal 2 4 3 3 3 2 2 2" xfId="7256" xr:uid="{4BCCD618-E2C5-436A-9135-83992ADA0116}"/>
    <cellStyle name="Normal 2 4 3 3 3 2 3" xfId="5111" xr:uid="{E6A9EC47-A19A-4802-86F0-DC8561566798}"/>
    <cellStyle name="Normal 2 4 3 3 3 3" xfId="1220" xr:uid="{502A3D91-3F05-43CF-8F53-81C6AE151D57}"/>
    <cellStyle name="Normal 2 4 3 3 3 3 2" xfId="3454" xr:uid="{5D8162F1-A33B-41B4-A132-6F1311BE965E}"/>
    <cellStyle name="Normal 2 4 3 3 3 3 2 2" xfId="7669" xr:uid="{E3E0EC38-BD90-4043-A854-ED16D4AAD2A0}"/>
    <cellStyle name="Normal 2 4 3 3 3 3 3" xfId="5524" xr:uid="{13C2849F-2775-4F82-AC84-F5DAE3B6D557}"/>
    <cellStyle name="Normal 2 4 3 3 3 4" xfId="2051" xr:uid="{F1F3C3B4-CCE3-4D3B-94AD-6358F798391B}"/>
    <cellStyle name="Normal 2 4 3 3 3 4 2" xfId="3867" xr:uid="{85942326-86C3-40A8-BA6F-7E43124B8CBF}"/>
    <cellStyle name="Normal 2 4 3 3 3 4 2 2" xfId="8082" xr:uid="{E7CACB59-F482-4DC7-A9A5-EA2C9DE55647}"/>
    <cellStyle name="Normal 2 4 3 3 3 4 3" xfId="5937" xr:uid="{6BA02EE3-1B01-41B8-9AD4-BA7F3AA91AAF}"/>
    <cellStyle name="Normal 2 4 3 3 3 5" xfId="2464" xr:uid="{4786009D-3DAF-45E3-9BA0-8E0AB4656129}"/>
    <cellStyle name="Normal 2 4 3 3 3 5 2" xfId="4280" xr:uid="{DF89E979-9AD6-453A-8D0F-AE2B17911618}"/>
    <cellStyle name="Normal 2 4 3 3 3 5 2 2" xfId="8495" xr:uid="{EA34B289-33AF-4F89-A585-6BB75BF8E3F6}"/>
    <cellStyle name="Normal 2 4 3 3 3 5 3" xfId="6350" xr:uid="{27A086C9-7821-4401-92DE-925F421341CC}"/>
    <cellStyle name="Normal 2 4 3 3 3 6" xfId="2900" xr:uid="{E25BF96C-7DFE-47C5-997A-959100506EE3}"/>
    <cellStyle name="Normal 2 4 3 3 3 6 2" xfId="6763" xr:uid="{ADE328BB-9AA2-4C2F-B6EF-E2B62418A2DF}"/>
    <cellStyle name="Normal 2 4 3 3 3 7" xfId="4697" xr:uid="{4D1DC911-1D61-482D-B100-BD066171F236}"/>
    <cellStyle name="Normal 2 4 3 3 4" xfId="796" xr:uid="{00000000-0005-0000-0000-00000F020000}"/>
    <cellStyle name="Normal 2 4 3 3 4 2" xfId="1633" xr:uid="{409FD654-BEDE-4F25-9856-CD583F651FA9}"/>
    <cellStyle name="Normal 2 4 3 3 4 2 2" xfId="7253" xr:uid="{AD57C4F9-52A0-4E6C-9126-6FE0E258A6E4}"/>
    <cellStyle name="Normal 2 4 3 3 4 3" xfId="5108" xr:uid="{452CA191-E370-4AE3-B7BB-4B95DBFF701A}"/>
    <cellStyle name="Normal 2 4 3 3 5" xfId="1217" xr:uid="{99412F41-1DF8-4096-B8DA-87B045D603E5}"/>
    <cellStyle name="Normal 2 4 3 3 5 2" xfId="3451" xr:uid="{C3CDBF17-8841-45D0-AEF0-B1B9C1FD1A50}"/>
    <cellStyle name="Normal 2 4 3 3 5 2 2" xfId="7666" xr:uid="{6134E366-8875-4811-9A4F-6EDBEFBE56F0}"/>
    <cellStyle name="Normal 2 4 3 3 5 3" xfId="5521" xr:uid="{1ED3E176-A869-4D34-B80A-C76451D57379}"/>
    <cellStyle name="Normal 2 4 3 3 6" xfId="2048" xr:uid="{D445D67D-EBF6-4CCB-B13E-76E8C1D3BB8A}"/>
    <cellStyle name="Normal 2 4 3 3 6 2" xfId="3864" xr:uid="{498B1E3F-9CB5-469D-BD10-9E0FFF4A50F4}"/>
    <cellStyle name="Normal 2 4 3 3 6 2 2" xfId="8079" xr:uid="{1AA72FE0-F848-434F-9A52-D3438494CC75}"/>
    <cellStyle name="Normal 2 4 3 3 6 3" xfId="5934" xr:uid="{18F8E3CC-AAA6-4E26-A599-1EC38C8B2D29}"/>
    <cellStyle name="Normal 2 4 3 3 7" xfId="2461" xr:uid="{B4ABB893-6F54-4D23-AF0D-449866BB7902}"/>
    <cellStyle name="Normal 2 4 3 3 7 2" xfId="4277" xr:uid="{E359E7A9-3FCC-4994-AA93-06841A9F58A3}"/>
    <cellStyle name="Normal 2 4 3 3 7 2 2" xfId="8492" xr:uid="{148C5BBF-9846-47CB-9C9A-6AB22EDF50F7}"/>
    <cellStyle name="Normal 2 4 3 3 7 3" xfId="6347" xr:uid="{B294D79C-8C51-43E3-8B22-A797CBE00AC8}"/>
    <cellStyle name="Normal 2 4 3 3 8" xfId="2897" xr:uid="{9E4B0200-608A-44EF-B6E4-69E50D1E13A7}"/>
    <cellStyle name="Normal 2 4 3 3 8 2" xfId="6760" xr:uid="{10A044FF-A319-4B7C-A43D-7F1BE07EA048}"/>
    <cellStyle name="Normal 2 4 3 3 9" xfId="4694" xr:uid="{24B9D040-CD4C-4924-8C28-10B74BA264EF}"/>
    <cellStyle name="Normal 2 4 3 4" xfId="795" xr:uid="{00000000-0005-0000-0000-000010020000}"/>
    <cellStyle name="Normal 2 4 3 4 2" xfId="1632" xr:uid="{62D1EB8A-294F-4048-A604-70DCB7F28DEA}"/>
    <cellStyle name="Normal 2 4 3 4 2 2" xfId="7252" xr:uid="{656D47E4-408C-4451-9575-22989F4DDA88}"/>
    <cellStyle name="Normal 2 4 3 4 3" xfId="5107" xr:uid="{A5ED23B7-EC28-45C3-AD31-BC49B2732B11}"/>
    <cellStyle name="Normal 2 4 3 5" xfId="1216" xr:uid="{28A63FA9-397B-49F9-8E43-F85C4A957F08}"/>
    <cellStyle name="Normal 2 4 3 5 2" xfId="3450" xr:uid="{F22EB16F-D510-451E-BD86-4060C8FE7E35}"/>
    <cellStyle name="Normal 2 4 3 5 2 2" xfId="7665" xr:uid="{377B3A86-E5AF-48F3-8CB6-3BDC4FF31EAC}"/>
    <cellStyle name="Normal 2 4 3 5 3" xfId="5520" xr:uid="{6A3E31AD-F4CF-4433-B4A0-9B35C3736B9E}"/>
    <cellStyle name="Normal 2 4 3 6" xfId="2047" xr:uid="{16A92F07-FE69-4B4A-859D-C5AED2A82316}"/>
    <cellStyle name="Normal 2 4 3 6 2" xfId="3863" xr:uid="{4DBEFE83-AA67-49B3-B8D9-67156EF9B8DB}"/>
    <cellStyle name="Normal 2 4 3 6 2 2" xfId="8078" xr:uid="{33381538-AE3A-47B5-BAAF-8AC01C555033}"/>
    <cellStyle name="Normal 2 4 3 6 3" xfId="5933" xr:uid="{EE533034-CCC2-4326-B796-5B45F0527BB8}"/>
    <cellStyle name="Normal 2 4 3 7" xfId="2460" xr:uid="{51A5CCBD-CB4F-4021-BD68-65CBD236A6DC}"/>
    <cellStyle name="Normal 2 4 3 7 2" xfId="4276" xr:uid="{CBFE4597-7834-4E63-8C8C-9F4A2EAE238B}"/>
    <cellStyle name="Normal 2 4 3 7 2 2" xfId="8491" xr:uid="{B090BA12-9BA0-4F3F-8520-72635C600A61}"/>
    <cellStyle name="Normal 2 4 3 7 3" xfId="6346" xr:uid="{8FF5E334-ED75-4470-80CD-91E987936630}"/>
    <cellStyle name="Normal 2 4 3 8" xfId="2896" xr:uid="{D76C4792-08D3-4EBB-A081-147BA586674A}"/>
    <cellStyle name="Normal 2 4 3 8 2" xfId="6759" xr:uid="{17D17C68-CE23-43FC-9CEB-6AD1B6742609}"/>
    <cellStyle name="Normal 2 4 3 9" xfId="4693" xr:uid="{593B81F9-DBB1-470A-A590-42365801F47A}"/>
    <cellStyle name="Normal 2 4 4" xfId="305" xr:uid="{00000000-0005-0000-0000-000011020000}"/>
    <cellStyle name="Normal 2 4 5" xfId="306" xr:uid="{00000000-0005-0000-0000-000012020000}"/>
    <cellStyle name="Normal 2 4 5 10" xfId="4698" xr:uid="{9746F567-FBEE-453A-AF8F-1E2C8C8C2AD4}"/>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0" xr:uid="{996231AA-6407-4048-9A55-76FCB773F8D2}"/>
    <cellStyle name="Normal 2 4 5 2 2 2 2 2 2" xfId="7260" xr:uid="{8A5CFE29-DDB2-4976-A52F-082389D72441}"/>
    <cellStyle name="Normal 2 4 5 2 2 2 2 3" xfId="5115" xr:uid="{770EF797-6505-4E03-A87B-9E00283F7D2F}"/>
    <cellStyle name="Normal 2 4 5 2 2 2 3" xfId="1224" xr:uid="{A3D006BD-2ABD-43D5-B4D2-69E4C9F38189}"/>
    <cellStyle name="Normal 2 4 5 2 2 2 3 2" xfId="3458" xr:uid="{AFFDB69B-6215-46CF-B878-5324C80A77A7}"/>
    <cellStyle name="Normal 2 4 5 2 2 2 3 2 2" xfId="7673" xr:uid="{E85DD42F-F1C0-45CD-AF2A-377B61B6D705}"/>
    <cellStyle name="Normal 2 4 5 2 2 2 3 3" xfId="5528" xr:uid="{BE6D3590-C0F7-4C74-843B-0D85436C3789}"/>
    <cellStyle name="Normal 2 4 5 2 2 2 4" xfId="2055" xr:uid="{1F032BF1-FAFA-4B2B-A6F3-AD68B4DC47C5}"/>
    <cellStyle name="Normal 2 4 5 2 2 2 4 2" xfId="3871" xr:uid="{7743B96C-9682-40AB-AE12-75454D8B182C}"/>
    <cellStyle name="Normal 2 4 5 2 2 2 4 2 2" xfId="8086" xr:uid="{87BADB62-3F8C-46F0-AEAE-7C6648640636}"/>
    <cellStyle name="Normal 2 4 5 2 2 2 4 3" xfId="5941" xr:uid="{C7B56C3B-C459-49D2-BC0E-3E2B50DDA0F0}"/>
    <cellStyle name="Normal 2 4 5 2 2 2 5" xfId="2468" xr:uid="{9C7CC50F-C443-4E72-958E-8E208CC8BD43}"/>
    <cellStyle name="Normal 2 4 5 2 2 2 5 2" xfId="4284" xr:uid="{AE746C23-0CDE-4E4A-B396-53D067182463}"/>
    <cellStyle name="Normal 2 4 5 2 2 2 5 2 2" xfId="8499" xr:uid="{FE9DA1BD-FEC8-4703-B6C3-26E4B8745D23}"/>
    <cellStyle name="Normal 2 4 5 2 2 2 5 3" xfId="6354" xr:uid="{D6A4CAA4-855A-431E-A048-7C776C05CB8A}"/>
    <cellStyle name="Normal 2 4 5 2 2 2 6" xfId="2904" xr:uid="{C4E418CD-7DD5-4895-AE2D-1BB01CB7192B}"/>
    <cellStyle name="Normal 2 4 5 2 2 2 6 2" xfId="6767" xr:uid="{42FDCB41-C900-47CA-BCBD-957B91E56CD9}"/>
    <cellStyle name="Normal 2 4 5 2 2 2 7" xfId="4701" xr:uid="{C4E4624C-1919-4B77-B8EF-26DAE94E476B}"/>
    <cellStyle name="Normal 2 4 5 2 2 3" xfId="802" xr:uid="{00000000-0005-0000-0000-000017020000}"/>
    <cellStyle name="Normal 2 4 5 2 2 3 2" xfId="1639" xr:uid="{88AADE15-A634-464F-8E99-29228CD2AAB7}"/>
    <cellStyle name="Normal 2 4 5 2 2 3 2 2" xfId="7259" xr:uid="{5EBC201C-2DC1-4242-8BB7-17ADC9F27A52}"/>
    <cellStyle name="Normal 2 4 5 2 2 3 3" xfId="5114" xr:uid="{1910B1CD-A87B-4E5A-965E-C316319F3D44}"/>
    <cellStyle name="Normal 2 4 5 2 2 4" xfId="1223" xr:uid="{4F0FF911-9284-44A5-8003-CE91F9012EAF}"/>
    <cellStyle name="Normal 2 4 5 2 2 4 2" xfId="3457" xr:uid="{55E7AC16-7EBC-4D8C-94BA-EE4D5AADFAFC}"/>
    <cellStyle name="Normal 2 4 5 2 2 4 2 2" xfId="7672" xr:uid="{B4F652FA-D162-48EB-B5BB-6D3ACD6FBFC4}"/>
    <cellStyle name="Normal 2 4 5 2 2 4 3" xfId="5527" xr:uid="{2C1FD3C8-F014-4DED-A31C-49317EA520FF}"/>
    <cellStyle name="Normal 2 4 5 2 2 5" xfId="2054" xr:uid="{4C446CC0-48F0-408C-A710-9E099A2A5126}"/>
    <cellStyle name="Normal 2 4 5 2 2 5 2" xfId="3870" xr:uid="{0D7CF66B-BD05-4EA9-84CE-BE84DB59932B}"/>
    <cellStyle name="Normal 2 4 5 2 2 5 2 2" xfId="8085" xr:uid="{C87965EE-54E8-4A84-899C-117F030755DC}"/>
    <cellStyle name="Normal 2 4 5 2 2 5 3" xfId="5940" xr:uid="{FC96C40C-6BFE-4C13-9C5E-9580B2550F80}"/>
    <cellStyle name="Normal 2 4 5 2 2 6" xfId="2467" xr:uid="{C3871AE1-745B-405D-A765-9241968E3313}"/>
    <cellStyle name="Normal 2 4 5 2 2 6 2" xfId="4283" xr:uid="{32E57107-7264-4648-8388-B8D139C74349}"/>
    <cellStyle name="Normal 2 4 5 2 2 6 2 2" xfId="8498" xr:uid="{37C1DFAA-D1F7-4926-8498-59C6FAA87FD1}"/>
    <cellStyle name="Normal 2 4 5 2 2 6 3" xfId="6353" xr:uid="{00B0A5EF-937D-46F4-930D-8837F1278E04}"/>
    <cellStyle name="Normal 2 4 5 2 2 7" xfId="2903" xr:uid="{31FB5465-2155-4EE8-8FA0-13117FA0714E}"/>
    <cellStyle name="Normal 2 4 5 2 2 7 2" xfId="6766" xr:uid="{3EE1B861-F74D-4697-A692-DD9794B4D11F}"/>
    <cellStyle name="Normal 2 4 5 2 2 8" xfId="4700" xr:uid="{28628DEE-5156-49B1-80F2-5449FBEAA88F}"/>
    <cellStyle name="Normal 2 4 5 2 3" xfId="310" xr:uid="{00000000-0005-0000-0000-000018020000}"/>
    <cellStyle name="Normal 2 4 5 2 3 2" xfId="804" xr:uid="{00000000-0005-0000-0000-000019020000}"/>
    <cellStyle name="Normal 2 4 5 2 3 2 2" xfId="1641" xr:uid="{7FF55FBA-FFDE-43E2-A7A1-1D06B9C25968}"/>
    <cellStyle name="Normal 2 4 5 2 3 2 2 2" xfId="7261" xr:uid="{D703FF6A-28DE-46AE-B654-D96AE4AF2FE8}"/>
    <cellStyle name="Normal 2 4 5 2 3 2 3" xfId="5116" xr:uid="{E76E5106-4864-4F29-B3DB-0D2A737DCC3F}"/>
    <cellStyle name="Normal 2 4 5 2 3 3" xfId="1225" xr:uid="{23C8AF2A-DE55-459E-BB5B-5F76EE105500}"/>
    <cellStyle name="Normal 2 4 5 2 3 3 2" xfId="3459" xr:uid="{C0F8E1D7-5FCE-4BF8-AC81-CB065AA274D7}"/>
    <cellStyle name="Normal 2 4 5 2 3 3 2 2" xfId="7674" xr:uid="{A57B73C4-C6CE-49C8-BB9A-E4255BCE88E4}"/>
    <cellStyle name="Normal 2 4 5 2 3 3 3" xfId="5529" xr:uid="{B4508ED3-EC89-423E-943A-A4692D44FAA3}"/>
    <cellStyle name="Normal 2 4 5 2 3 4" xfId="2056" xr:uid="{A2447232-E266-437E-949B-6DE687177748}"/>
    <cellStyle name="Normal 2 4 5 2 3 4 2" xfId="3872" xr:uid="{38612449-099D-48CA-A715-5E0F06B853E8}"/>
    <cellStyle name="Normal 2 4 5 2 3 4 2 2" xfId="8087" xr:uid="{303497A5-2A2C-437E-B39D-2E01ED59A948}"/>
    <cellStyle name="Normal 2 4 5 2 3 4 3" xfId="5942" xr:uid="{C1F97953-EE2F-4128-9239-5FDB1ABFDD81}"/>
    <cellStyle name="Normal 2 4 5 2 3 5" xfId="2469" xr:uid="{D60064E9-49F7-4EED-A16E-186424D3AD99}"/>
    <cellStyle name="Normal 2 4 5 2 3 5 2" xfId="4285" xr:uid="{C8C4DE77-5C73-4EF4-82C0-F059C10B9187}"/>
    <cellStyle name="Normal 2 4 5 2 3 5 2 2" xfId="8500" xr:uid="{13F85FE8-9791-4C9E-A13F-E5B6EC986E33}"/>
    <cellStyle name="Normal 2 4 5 2 3 5 3" xfId="6355" xr:uid="{A5B0DAD8-FC59-4CAE-A71F-B159DF0621FE}"/>
    <cellStyle name="Normal 2 4 5 2 3 6" xfId="2905" xr:uid="{05E4DDD1-0377-4E0B-9720-A5D4DA33C071}"/>
    <cellStyle name="Normal 2 4 5 2 3 6 2" xfId="6768" xr:uid="{30AB5709-F7CD-49E3-A79D-4FBC2F371AAC}"/>
    <cellStyle name="Normal 2 4 5 2 3 7" xfId="4702" xr:uid="{DD595E03-FCDC-4377-AAC7-EB067DCA0A75}"/>
    <cellStyle name="Normal 2 4 5 2 4" xfId="801" xr:uid="{00000000-0005-0000-0000-00001A020000}"/>
    <cellStyle name="Normal 2 4 5 2 4 2" xfId="1638" xr:uid="{FA439C7E-43E7-47F0-93AA-3FBD0F890DEF}"/>
    <cellStyle name="Normal 2 4 5 2 4 2 2" xfId="7258" xr:uid="{CDCD366F-EA42-4D64-842D-1819979923B0}"/>
    <cellStyle name="Normal 2 4 5 2 4 3" xfId="5113" xr:uid="{E34B5F0B-398C-495C-A9D6-0610409052F0}"/>
    <cellStyle name="Normal 2 4 5 2 5" xfId="1222" xr:uid="{BD8A03CB-0AEA-4033-B960-23268E8499B5}"/>
    <cellStyle name="Normal 2 4 5 2 5 2" xfId="3456" xr:uid="{E079712D-4F7B-4C18-93FE-4990CB44CA62}"/>
    <cellStyle name="Normal 2 4 5 2 5 2 2" xfId="7671" xr:uid="{A4B75920-1EDF-4DC3-8DB7-008B0BABCC0A}"/>
    <cellStyle name="Normal 2 4 5 2 5 3" xfId="5526" xr:uid="{E824D107-357F-4F62-83B0-7DAA6E105746}"/>
    <cellStyle name="Normal 2 4 5 2 6" xfId="2053" xr:uid="{D636EDCD-DC33-4DB4-B1F8-C054DA303F5A}"/>
    <cellStyle name="Normal 2 4 5 2 6 2" xfId="3869" xr:uid="{189C46A4-E844-4C41-AF84-3E1FB225F0D2}"/>
    <cellStyle name="Normal 2 4 5 2 6 2 2" xfId="8084" xr:uid="{07EFABD3-59FA-4F01-9B52-704F3C250FFA}"/>
    <cellStyle name="Normal 2 4 5 2 6 3" xfId="5939" xr:uid="{648E25F3-55E0-42E2-B14C-10A6D8AB2D78}"/>
    <cellStyle name="Normal 2 4 5 2 7" xfId="2466" xr:uid="{8EC4748D-95D9-4107-9E0C-CA4F92C6742E}"/>
    <cellStyle name="Normal 2 4 5 2 7 2" xfId="4282" xr:uid="{3D6BDC45-5F12-440A-95E8-C2FF922AF5A8}"/>
    <cellStyle name="Normal 2 4 5 2 7 2 2" xfId="8497" xr:uid="{9B90875F-F0E8-464C-BCF0-85F7E22AF0E0}"/>
    <cellStyle name="Normal 2 4 5 2 7 3" xfId="6352" xr:uid="{F00EA939-FF17-4D19-9F2C-34AA1FAE4152}"/>
    <cellStyle name="Normal 2 4 5 2 8" xfId="2902" xr:uid="{A0AACAEC-7131-4098-9112-F63E12D72C0D}"/>
    <cellStyle name="Normal 2 4 5 2 8 2" xfId="6765" xr:uid="{D6EB0ED9-1789-4453-A058-502449388BFB}"/>
    <cellStyle name="Normal 2 4 5 2 9" xfId="4699" xr:uid="{88F9122B-549B-4B0A-8D06-B2FE99F834D4}"/>
    <cellStyle name="Normal 2 4 5 3" xfId="311" xr:uid="{00000000-0005-0000-0000-00001B020000}"/>
    <cellStyle name="Normal 2 4 5 3 2" xfId="312" xr:uid="{00000000-0005-0000-0000-00001C020000}"/>
    <cellStyle name="Normal 2 4 5 3 2 2" xfId="806" xr:uid="{00000000-0005-0000-0000-00001D020000}"/>
    <cellStyle name="Normal 2 4 5 3 2 2 2" xfId="1643" xr:uid="{3606B239-A20F-4072-934B-61EF62AC0F9E}"/>
    <cellStyle name="Normal 2 4 5 3 2 2 2 2" xfId="7263" xr:uid="{988CB2D4-4D99-4E2A-BFE7-67E5E9FC6F73}"/>
    <cellStyle name="Normal 2 4 5 3 2 2 3" xfId="5118" xr:uid="{18B9ADE0-E2FC-433D-950D-A6393AAAF97F}"/>
    <cellStyle name="Normal 2 4 5 3 2 3" xfId="1227" xr:uid="{ED14620F-C1AF-4B69-9347-480E7AC4A4A4}"/>
    <cellStyle name="Normal 2 4 5 3 2 3 2" xfId="3461" xr:uid="{6D581C3C-A47D-405F-A892-C657CB9087E7}"/>
    <cellStyle name="Normal 2 4 5 3 2 3 2 2" xfId="7676" xr:uid="{5B21A26A-5801-447B-A71F-33BC2EBCC7BA}"/>
    <cellStyle name="Normal 2 4 5 3 2 3 3" xfId="5531" xr:uid="{49AE676D-EC87-4810-A2B3-BDEC130D8E3B}"/>
    <cellStyle name="Normal 2 4 5 3 2 4" xfId="2058" xr:uid="{0168CF46-D405-4161-B9A6-014838A44D77}"/>
    <cellStyle name="Normal 2 4 5 3 2 4 2" xfId="3874" xr:uid="{8A1A9677-3FF1-4E47-A935-CE1028D18745}"/>
    <cellStyle name="Normal 2 4 5 3 2 4 2 2" xfId="8089" xr:uid="{2BF523A6-44ED-4AC3-9933-A3B35D4043BC}"/>
    <cellStyle name="Normal 2 4 5 3 2 4 3" xfId="5944" xr:uid="{600BF9AF-96B3-4B33-BBB2-B104C4AC876F}"/>
    <cellStyle name="Normal 2 4 5 3 2 5" xfId="2471" xr:uid="{D4D836BE-FCE1-4F6E-9FBF-84F904F37E92}"/>
    <cellStyle name="Normal 2 4 5 3 2 5 2" xfId="4287" xr:uid="{E7D8E560-BD89-4D10-A0F5-96C6EFF403DC}"/>
    <cellStyle name="Normal 2 4 5 3 2 5 2 2" xfId="8502" xr:uid="{3F50CDBB-B533-4CD0-B46F-BB9F8BB16AB5}"/>
    <cellStyle name="Normal 2 4 5 3 2 5 3" xfId="6357" xr:uid="{BBCD7782-BF2B-442F-9ED6-12A188721858}"/>
    <cellStyle name="Normal 2 4 5 3 2 6" xfId="2907" xr:uid="{5DE321CA-ED5C-47E5-A325-87AF740DD8C5}"/>
    <cellStyle name="Normal 2 4 5 3 2 6 2" xfId="6770" xr:uid="{D5DACF26-E8B6-4445-AF75-E8ED51DD12F7}"/>
    <cellStyle name="Normal 2 4 5 3 2 7" xfId="4704" xr:uid="{8DEE0116-6A07-4CB4-8C74-9B1C66FF9FD1}"/>
    <cellStyle name="Normal 2 4 5 3 3" xfId="805" xr:uid="{00000000-0005-0000-0000-00001E020000}"/>
    <cellStyle name="Normal 2 4 5 3 3 2" xfId="1642" xr:uid="{E08D324B-CA17-4673-A8FC-314E36A2AC4B}"/>
    <cellStyle name="Normal 2 4 5 3 3 2 2" xfId="7262" xr:uid="{68EE4C1B-E0B1-4711-8B47-24D89129CA1E}"/>
    <cellStyle name="Normal 2 4 5 3 3 3" xfId="5117" xr:uid="{2C490C86-9144-4AB9-A980-5177839AED78}"/>
    <cellStyle name="Normal 2 4 5 3 4" xfId="1226" xr:uid="{18AE52A8-9B92-47B6-90DE-308C3B4E9990}"/>
    <cellStyle name="Normal 2 4 5 3 4 2" xfId="3460" xr:uid="{C0335F45-4615-4576-B2EF-93D3CE7D31BA}"/>
    <cellStyle name="Normal 2 4 5 3 4 2 2" xfId="7675" xr:uid="{8D18A433-5070-4F62-8BB6-59209E9D10EE}"/>
    <cellStyle name="Normal 2 4 5 3 4 3" xfId="5530" xr:uid="{50869F3E-3451-4FCE-A2D7-C2119FF029C6}"/>
    <cellStyle name="Normal 2 4 5 3 5" xfId="2057" xr:uid="{D2D65623-F67B-45E3-9A2B-8ACCA3FFA717}"/>
    <cellStyle name="Normal 2 4 5 3 5 2" xfId="3873" xr:uid="{A627BFC5-E4F5-405C-A990-A0C4C7A5716A}"/>
    <cellStyle name="Normal 2 4 5 3 5 2 2" xfId="8088" xr:uid="{CFF8009F-F263-4B05-9BE5-E60A4E0566F0}"/>
    <cellStyle name="Normal 2 4 5 3 5 3" xfId="5943" xr:uid="{22C70306-777A-4A25-B675-3647D9693AA3}"/>
    <cellStyle name="Normal 2 4 5 3 6" xfId="2470" xr:uid="{016DA636-3263-4812-B6A5-0BA803D4AD6A}"/>
    <cellStyle name="Normal 2 4 5 3 6 2" xfId="4286" xr:uid="{904E48B3-9399-4916-8B25-7103CD2295F6}"/>
    <cellStyle name="Normal 2 4 5 3 6 2 2" xfId="8501" xr:uid="{3FC83326-AAE3-4E06-A313-269AA23018B0}"/>
    <cellStyle name="Normal 2 4 5 3 6 3" xfId="6356" xr:uid="{AE54D2BD-6B76-46D0-967F-2B40D83C5BA6}"/>
    <cellStyle name="Normal 2 4 5 3 7" xfId="2906" xr:uid="{4CA1AFF3-F92A-4506-B1F2-DD940F88BE1C}"/>
    <cellStyle name="Normal 2 4 5 3 7 2" xfId="6769" xr:uid="{7F4C471A-2154-43F7-A97D-B7B0EEB87A1C}"/>
    <cellStyle name="Normal 2 4 5 3 8" xfId="4703" xr:uid="{E7BC1564-4EE4-45C1-B0DE-896BA0DF68C6}"/>
    <cellStyle name="Normal 2 4 5 4" xfId="313" xr:uid="{00000000-0005-0000-0000-00001F020000}"/>
    <cellStyle name="Normal 2 4 5 4 2" xfId="807" xr:uid="{00000000-0005-0000-0000-000020020000}"/>
    <cellStyle name="Normal 2 4 5 4 2 2" xfId="1644" xr:uid="{8B1A38F7-475C-4A40-8117-76820BD1E9B9}"/>
    <cellStyle name="Normal 2 4 5 4 2 2 2" xfId="7264" xr:uid="{5E98DD82-072C-47A5-9BB2-AF649953DBB8}"/>
    <cellStyle name="Normal 2 4 5 4 2 3" xfId="5119" xr:uid="{B3394081-2157-499B-8C96-AA514BFC988F}"/>
    <cellStyle name="Normal 2 4 5 4 3" xfId="1228" xr:uid="{80C1ED27-50A3-4C13-A026-530007EF951C}"/>
    <cellStyle name="Normal 2 4 5 4 3 2" xfId="3462" xr:uid="{6D2B2664-3EAC-4338-9B64-8520C7618E7A}"/>
    <cellStyle name="Normal 2 4 5 4 3 2 2" xfId="7677" xr:uid="{ECCD9466-E61A-486D-AE7C-B34C2402D8DB}"/>
    <cellStyle name="Normal 2 4 5 4 3 3" xfId="5532" xr:uid="{1B1A6598-20DD-4FAA-946B-BD0DA15E39F2}"/>
    <cellStyle name="Normal 2 4 5 4 4" xfId="2059" xr:uid="{8638817D-7F77-490A-9649-57A28230B540}"/>
    <cellStyle name="Normal 2 4 5 4 4 2" xfId="3875" xr:uid="{B6249DC0-3914-4686-8B84-201DBEAA694A}"/>
    <cellStyle name="Normal 2 4 5 4 4 2 2" xfId="8090" xr:uid="{3FB6EEB7-52C3-4D13-A6C8-A23F8F13180D}"/>
    <cellStyle name="Normal 2 4 5 4 4 3" xfId="5945" xr:uid="{C73046E0-F93F-4B08-B059-4B7369E399EB}"/>
    <cellStyle name="Normal 2 4 5 4 5" xfId="2472" xr:uid="{4ACD8FF9-E906-4DFA-9112-0EB2A5BAACF4}"/>
    <cellStyle name="Normal 2 4 5 4 5 2" xfId="4288" xr:uid="{76CCDF99-B66B-41A0-9D67-95E4AA0689AA}"/>
    <cellStyle name="Normal 2 4 5 4 5 2 2" xfId="8503" xr:uid="{ED0A7616-6067-4917-BF35-7B589DED012E}"/>
    <cellStyle name="Normal 2 4 5 4 5 3" xfId="6358" xr:uid="{02F3A98A-BF7A-4E27-85D3-759158E8F6DB}"/>
    <cellStyle name="Normal 2 4 5 4 6" xfId="2908" xr:uid="{4A37EE5B-6364-417D-AA7D-534E330967AB}"/>
    <cellStyle name="Normal 2 4 5 4 6 2" xfId="6771" xr:uid="{01BE1FE9-63FF-43EE-A928-805495902B4E}"/>
    <cellStyle name="Normal 2 4 5 4 7" xfId="4705" xr:uid="{F33AD31D-FFC1-4E6C-9E7C-F3DD6C3696A9}"/>
    <cellStyle name="Normal 2 4 5 5" xfId="800" xr:uid="{00000000-0005-0000-0000-000021020000}"/>
    <cellStyle name="Normal 2 4 5 5 2" xfId="1637" xr:uid="{64135730-95CC-40EE-951D-FD654F96F0D3}"/>
    <cellStyle name="Normal 2 4 5 5 2 2" xfId="7257" xr:uid="{D0413E70-98A5-47F0-8DD5-99CA915D8C38}"/>
    <cellStyle name="Normal 2 4 5 5 3" xfId="5112" xr:uid="{BE27C191-77C3-4F1E-B2D9-8AD78C52FBCF}"/>
    <cellStyle name="Normal 2 4 5 6" xfId="1221" xr:uid="{B1943B47-3093-475A-BBB0-559D8372EC18}"/>
    <cellStyle name="Normal 2 4 5 6 2" xfId="3455" xr:uid="{98C2D8C7-CFE5-413D-9E52-6D59B3F3280C}"/>
    <cellStyle name="Normal 2 4 5 6 2 2" xfId="7670" xr:uid="{4AC6A691-652C-4BAB-9E6A-A25A781386CA}"/>
    <cellStyle name="Normal 2 4 5 6 3" xfId="5525" xr:uid="{3B65FCB3-3549-4D1B-B32A-284B90F94A1B}"/>
    <cellStyle name="Normal 2 4 5 7" xfId="2052" xr:uid="{B89EFD86-1AEA-4338-BEDA-2301E66CA00B}"/>
    <cellStyle name="Normal 2 4 5 7 2" xfId="3868" xr:uid="{32AA263E-D7F1-4442-B8EC-726F7DB72E9F}"/>
    <cellStyle name="Normal 2 4 5 7 2 2" xfId="8083" xr:uid="{B0424248-CB9F-4AB3-9AA7-0C745D0734DA}"/>
    <cellStyle name="Normal 2 4 5 7 3" xfId="5938" xr:uid="{0D54020B-81F0-43A5-8C54-4015720BC339}"/>
    <cellStyle name="Normal 2 4 5 8" xfId="2465" xr:uid="{192AC48F-2766-4F24-84DE-E4416AAA9208}"/>
    <cellStyle name="Normal 2 4 5 8 2" xfId="4281" xr:uid="{7064FDD8-0545-450C-8BE6-A446FA5DD13B}"/>
    <cellStyle name="Normal 2 4 5 8 2 2" xfId="8496" xr:uid="{AA9874F0-9FFD-4870-B4E4-B1074F69A02D}"/>
    <cellStyle name="Normal 2 4 5 8 3" xfId="6351" xr:uid="{D3DCC49F-39E2-46A9-B26F-1E20FC261317}"/>
    <cellStyle name="Normal 2 4 5 9" xfId="2901" xr:uid="{9D8333F3-1E5B-4AD4-99BB-CDF087D1394C}"/>
    <cellStyle name="Normal 2 4 5 9 2" xfId="6764" xr:uid="{48109D04-9F0B-4B5F-9123-F44714850F61}"/>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6" xr:uid="{4DC43F0C-AFB7-4CAF-9E51-237C462823D2}"/>
    <cellStyle name="Normal 2 4 7 2 2 2 2" xfId="7266" xr:uid="{FFBBFCC4-1C46-4A69-B888-945684591BDD}"/>
    <cellStyle name="Normal 2 4 7 2 2 3" xfId="5121" xr:uid="{35A02127-5CC2-44E3-BEF4-108BAB91B6DF}"/>
    <cellStyle name="Normal 2 4 7 2 3" xfId="1230" xr:uid="{B68514E5-4158-497F-AEA1-ABCF339A3ED6}"/>
    <cellStyle name="Normal 2 4 7 2 3 2" xfId="3464" xr:uid="{773F5B81-B24F-4EEE-BB23-C82665DABC0A}"/>
    <cellStyle name="Normal 2 4 7 2 3 2 2" xfId="7679" xr:uid="{77B816F2-F6C8-43B1-B413-567A8964DA84}"/>
    <cellStyle name="Normal 2 4 7 2 3 3" xfId="5534" xr:uid="{5B51A39C-BDB7-45F2-A385-5A9BEA95E0AC}"/>
    <cellStyle name="Normal 2 4 7 2 4" xfId="2061" xr:uid="{172316DF-9C7C-4625-A9EC-135AA2AE39F6}"/>
    <cellStyle name="Normal 2 4 7 2 4 2" xfId="3877" xr:uid="{84E66545-FE97-47C9-9064-059D0F0660D6}"/>
    <cellStyle name="Normal 2 4 7 2 4 2 2" xfId="8092" xr:uid="{2888B56A-A6C5-4384-AF02-545546176181}"/>
    <cellStyle name="Normal 2 4 7 2 4 3" xfId="5947" xr:uid="{B0CDECF8-DB48-48C7-B64A-CFCD86057D73}"/>
    <cellStyle name="Normal 2 4 7 2 5" xfId="2474" xr:uid="{AB600543-26A5-4FB4-9330-1FB4DBC73134}"/>
    <cellStyle name="Normal 2 4 7 2 5 2" xfId="4290" xr:uid="{420E06BB-8484-4487-96E0-577CBC76D0FE}"/>
    <cellStyle name="Normal 2 4 7 2 5 2 2" xfId="8505" xr:uid="{E9F7AA08-F964-4134-B956-646C6B5ED880}"/>
    <cellStyle name="Normal 2 4 7 2 5 3" xfId="6360" xr:uid="{FF49628E-C9E3-442C-B933-645A4B8EB834}"/>
    <cellStyle name="Normal 2 4 7 2 6" xfId="2910" xr:uid="{7D5AB1DC-F7DB-4ABF-80CC-245323153454}"/>
    <cellStyle name="Normal 2 4 7 2 6 2" xfId="6773" xr:uid="{CAA27725-75F2-480D-B0F5-70D7A04AB19D}"/>
    <cellStyle name="Normal 2 4 7 2 7" xfId="4707" xr:uid="{700BC439-CCC2-4EE1-A592-AC6D2A978574}"/>
    <cellStyle name="Normal 2 4 7 3" xfId="808" xr:uid="{00000000-0005-0000-0000-000026020000}"/>
    <cellStyle name="Normal 2 4 7 3 2" xfId="1645" xr:uid="{2559E116-ECBF-42B4-A830-98074F8074E7}"/>
    <cellStyle name="Normal 2 4 7 3 2 2" xfId="7265" xr:uid="{BAF8155F-FF6C-4B44-B2F3-2A4E76590B27}"/>
    <cellStyle name="Normal 2 4 7 3 3" xfId="5120" xr:uid="{6BD61F42-E4E5-4390-9C4A-7488687E8FD8}"/>
    <cellStyle name="Normal 2 4 7 4" xfId="1229" xr:uid="{076350D8-9E91-4ED4-AA93-49C3344FC12F}"/>
    <cellStyle name="Normal 2 4 7 4 2" xfId="3463" xr:uid="{8786F231-1859-44FE-9DB7-7D30A9897547}"/>
    <cellStyle name="Normal 2 4 7 4 2 2" xfId="7678" xr:uid="{CEEF5EBB-B3D6-4F58-A6FA-863F461E191F}"/>
    <cellStyle name="Normal 2 4 7 4 3" xfId="5533" xr:uid="{86007B41-0657-48FB-8BB9-0DD59BD7A9EF}"/>
    <cellStyle name="Normal 2 4 7 5" xfId="2060" xr:uid="{281CC7E8-B9CE-46B6-9E28-8DDCEA9E145A}"/>
    <cellStyle name="Normal 2 4 7 5 2" xfId="3876" xr:uid="{722C4295-533D-4561-A820-C0ECBC43DA06}"/>
    <cellStyle name="Normal 2 4 7 5 2 2" xfId="8091" xr:uid="{5B1F075A-25C7-40AE-89EF-CE45CFF94797}"/>
    <cellStyle name="Normal 2 4 7 5 3" xfId="5946" xr:uid="{6264C001-0A58-4556-8899-361E161681B8}"/>
    <cellStyle name="Normal 2 4 7 6" xfId="2473" xr:uid="{D526A4AF-6F95-4990-846B-0C63C9942BFD}"/>
    <cellStyle name="Normal 2 4 7 6 2" xfId="4289" xr:uid="{EDE2CE8F-7F95-4CC6-8D2E-D157F9524B93}"/>
    <cellStyle name="Normal 2 4 7 6 2 2" xfId="8504" xr:uid="{D88E6A70-0269-4C17-BEDC-ACB82B9B0FD7}"/>
    <cellStyle name="Normal 2 4 7 6 3" xfId="6359" xr:uid="{6C83BFF9-1D1D-4869-9773-1586965CDD27}"/>
    <cellStyle name="Normal 2 4 7 7" xfId="2909" xr:uid="{9F5EB9D1-EB77-466B-8F01-7752D0B1E596}"/>
    <cellStyle name="Normal 2 4 7 7 2" xfId="6772" xr:uid="{15C07650-6E7E-4878-A495-F8E04DA87294}"/>
    <cellStyle name="Normal 2 4 7 8" xfId="4706" xr:uid="{F3001FF3-4ECA-4124-8E92-03CE1D9CC85D}"/>
    <cellStyle name="Normal 2 4 8" xfId="317" xr:uid="{00000000-0005-0000-0000-000027020000}"/>
    <cellStyle name="Normal 2 4 8 2" xfId="810" xr:uid="{00000000-0005-0000-0000-000028020000}"/>
    <cellStyle name="Normal 2 4 8 2 2" xfId="1647" xr:uid="{60D4941A-022E-4E6B-98BE-57761A00B04E}"/>
    <cellStyle name="Normal 2 4 8 2 2 2" xfId="7267" xr:uid="{43A8E3AB-D2F1-41D6-937F-7B9E0BCF8FDA}"/>
    <cellStyle name="Normal 2 4 8 2 3" xfId="5122" xr:uid="{9A3FF59A-4A49-43A6-9670-A5328AB0158B}"/>
    <cellStyle name="Normal 2 4 8 3" xfId="1231" xr:uid="{2A7EC18C-5401-4C16-99C4-0C5A2B882E59}"/>
    <cellStyle name="Normal 2 4 8 3 2" xfId="3465" xr:uid="{AC07E83E-0843-4648-AA7D-A5CBC2669C9A}"/>
    <cellStyle name="Normal 2 4 8 3 2 2" xfId="7680" xr:uid="{279B1B0A-173A-47AA-A056-912ECAE722CA}"/>
    <cellStyle name="Normal 2 4 8 3 3" xfId="5535" xr:uid="{B3784E69-2EBA-4985-AF27-BDFE6AFC985F}"/>
    <cellStyle name="Normal 2 4 8 4" xfId="2062" xr:uid="{3D6093CF-DB61-452A-AEFD-8DF56BB5A954}"/>
    <cellStyle name="Normal 2 4 8 4 2" xfId="3878" xr:uid="{6A81FE34-FFA3-4C52-9856-8BC13F83A61D}"/>
    <cellStyle name="Normal 2 4 8 4 2 2" xfId="8093" xr:uid="{9E61CB51-B31D-4F4F-A412-A9312B650416}"/>
    <cellStyle name="Normal 2 4 8 4 3" xfId="5948" xr:uid="{F6C574FF-4349-4C28-B919-2CC2DEE5ACFF}"/>
    <cellStyle name="Normal 2 4 8 5" xfId="2475" xr:uid="{C9DABEE9-E3CE-4DEC-8D29-B572F6AEC628}"/>
    <cellStyle name="Normal 2 4 8 5 2" xfId="4291" xr:uid="{5547CA49-32B2-4961-B4DA-25B487C66F52}"/>
    <cellStyle name="Normal 2 4 8 5 2 2" xfId="8506" xr:uid="{3A252C49-112A-4C1F-908F-ADF9AF37D5FA}"/>
    <cellStyle name="Normal 2 4 8 5 3" xfId="6361" xr:uid="{EADD56DF-0DAA-491D-8461-3C1772FA880A}"/>
    <cellStyle name="Normal 2 4 8 6" xfId="2911" xr:uid="{5E274814-D78E-470D-A867-9D46741A5943}"/>
    <cellStyle name="Normal 2 4 8 6 2" xfId="6774" xr:uid="{4AB29FFC-A6EC-436E-A78E-2DECA7283023}"/>
    <cellStyle name="Normal 2 4 8 7" xfId="4708" xr:uid="{A3ACC4E7-C330-49B3-846C-1DC3532621F8}"/>
    <cellStyle name="Normal 2 5" xfId="318" xr:uid="{00000000-0005-0000-0000-000029020000}"/>
    <cellStyle name="Normal 2 5 10" xfId="4709" xr:uid="{4F72F0A6-20B5-4C2B-8C3F-55614F9D2F71}"/>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1" xr:uid="{CB7A4CCF-EA3A-4B22-9CD9-9D8E34EC6F41}"/>
    <cellStyle name="Normal 2 5 4 2 2 2 2 2" xfId="7271" xr:uid="{DD630164-8448-4F0C-A167-C9C59C371085}"/>
    <cellStyle name="Normal 2 5 4 2 2 2 3" xfId="5126" xr:uid="{B107D075-1EC2-43ED-9E83-9360222600D5}"/>
    <cellStyle name="Normal 2 5 4 2 2 3" xfId="1235" xr:uid="{11586E5D-701C-40B8-A734-EAE5F456FCFA}"/>
    <cellStyle name="Normal 2 5 4 2 2 3 2" xfId="3469" xr:uid="{205995A6-274F-4FFD-8CBF-FB6260DA70B8}"/>
    <cellStyle name="Normal 2 5 4 2 2 3 2 2" xfId="7684" xr:uid="{2D1A0DEA-2511-4AF1-8678-019CD61F0675}"/>
    <cellStyle name="Normal 2 5 4 2 2 3 3" xfId="5539" xr:uid="{0C87E226-2EBF-44D8-ABCD-6DA17F70DA57}"/>
    <cellStyle name="Normal 2 5 4 2 2 4" xfId="2066" xr:uid="{473B60D1-BC05-42AC-A658-7846DE13F740}"/>
    <cellStyle name="Normal 2 5 4 2 2 4 2" xfId="3882" xr:uid="{A0EC0FEE-999B-4B76-94CA-F4E2359F1891}"/>
    <cellStyle name="Normal 2 5 4 2 2 4 2 2" xfId="8097" xr:uid="{EBFC7522-544A-417A-BCB4-4E05D0BA5852}"/>
    <cellStyle name="Normal 2 5 4 2 2 4 3" xfId="5952" xr:uid="{AEDCDB4C-2522-4237-9F12-C95088534BDC}"/>
    <cellStyle name="Normal 2 5 4 2 2 5" xfId="2479" xr:uid="{F0CE9AC7-5724-46ED-93E6-3337BF50DF10}"/>
    <cellStyle name="Normal 2 5 4 2 2 5 2" xfId="4295" xr:uid="{1C430E43-FE7C-4F75-A4C1-769ED007090A}"/>
    <cellStyle name="Normal 2 5 4 2 2 5 2 2" xfId="8510" xr:uid="{10E3D3CB-9306-454E-8261-97E259AE3D6B}"/>
    <cellStyle name="Normal 2 5 4 2 2 5 3" xfId="6365" xr:uid="{722275CC-83C7-4FF9-975E-5DE4E19BE7DD}"/>
    <cellStyle name="Normal 2 5 4 2 2 6" xfId="2915" xr:uid="{683AF62F-B8AE-4EF4-B7C5-66CC8027D2B2}"/>
    <cellStyle name="Normal 2 5 4 2 2 6 2" xfId="6778" xr:uid="{F97844CF-B7B3-45F1-BEE0-3F22A5433E81}"/>
    <cellStyle name="Normal 2 5 4 2 2 7" xfId="4712" xr:uid="{095E2BDB-A510-40E9-A1D2-FEE469C40902}"/>
    <cellStyle name="Normal 2 5 4 2 3" xfId="813" xr:uid="{00000000-0005-0000-0000-000030020000}"/>
    <cellStyle name="Normal 2 5 4 2 3 2" xfId="1650" xr:uid="{948F6430-AB5B-4BA7-A458-8249628A937C}"/>
    <cellStyle name="Normal 2 5 4 2 3 2 2" xfId="7270" xr:uid="{7AD04DB8-34C0-4B87-A58A-5E95AFA0469C}"/>
    <cellStyle name="Normal 2 5 4 2 3 3" xfId="5125" xr:uid="{049C7FAB-130F-4052-8FA8-E97AE71CAF3E}"/>
    <cellStyle name="Normal 2 5 4 2 4" xfId="1234" xr:uid="{3539C69C-D39B-47D9-899A-F2EEC6CC03DC}"/>
    <cellStyle name="Normal 2 5 4 2 4 2" xfId="3468" xr:uid="{EBBAC10A-1B02-4948-B73F-D0632423FD99}"/>
    <cellStyle name="Normal 2 5 4 2 4 2 2" xfId="7683" xr:uid="{1AA0FE02-F579-4D95-A1C5-10CE973B715A}"/>
    <cellStyle name="Normal 2 5 4 2 4 3" xfId="5538" xr:uid="{BB224FE7-A202-4A7B-8238-42DFC89025CF}"/>
    <cellStyle name="Normal 2 5 4 2 5" xfId="2065" xr:uid="{2E3655D9-B786-492A-AA59-8096F1901005}"/>
    <cellStyle name="Normal 2 5 4 2 5 2" xfId="3881" xr:uid="{6794B64A-3BBA-49EA-A348-3C4925E5ABD2}"/>
    <cellStyle name="Normal 2 5 4 2 5 2 2" xfId="8096" xr:uid="{ED917747-8BA6-41B9-9B78-BC86187F1127}"/>
    <cellStyle name="Normal 2 5 4 2 5 3" xfId="5951" xr:uid="{41A1F416-F72C-465C-8C0F-C1513BCDBA0B}"/>
    <cellStyle name="Normal 2 5 4 2 6" xfId="2478" xr:uid="{FAC2CCDA-4864-4462-B194-B1D73ED6D6F9}"/>
    <cellStyle name="Normal 2 5 4 2 6 2" xfId="4294" xr:uid="{0F1F86E2-67F4-4829-B18F-BD0B9D75FB40}"/>
    <cellStyle name="Normal 2 5 4 2 6 2 2" xfId="8509" xr:uid="{9140D46F-FB1F-4EEB-A240-92BDCAF53422}"/>
    <cellStyle name="Normal 2 5 4 2 6 3" xfId="6364" xr:uid="{086DE8F1-0E8B-4294-9B1F-71542503A9A6}"/>
    <cellStyle name="Normal 2 5 4 2 7" xfId="2914" xr:uid="{0C557848-D872-4B19-94C1-FFD464DEBAA1}"/>
    <cellStyle name="Normal 2 5 4 2 7 2" xfId="6777" xr:uid="{D44E4D62-1742-45EC-A81D-803948C2B30F}"/>
    <cellStyle name="Normal 2 5 4 2 8" xfId="4711" xr:uid="{F06C369A-2EC6-4954-9E06-49F596D37B6B}"/>
    <cellStyle name="Normal 2 5 4 3" xfId="324" xr:uid="{00000000-0005-0000-0000-000031020000}"/>
    <cellStyle name="Normal 2 5 4 3 2" xfId="815" xr:uid="{00000000-0005-0000-0000-000032020000}"/>
    <cellStyle name="Normal 2 5 4 3 2 2" xfId="1652" xr:uid="{4F474272-A93A-4541-9679-7F457622CE0F}"/>
    <cellStyle name="Normal 2 5 4 3 2 2 2" xfId="7272" xr:uid="{AF984523-3E4F-466B-9527-B6040782CB5A}"/>
    <cellStyle name="Normal 2 5 4 3 2 3" xfId="5127" xr:uid="{A6B3D364-1083-4CFD-B874-78BB0F1E51FF}"/>
    <cellStyle name="Normal 2 5 4 3 3" xfId="1236" xr:uid="{6CDE4E9D-1578-44E2-AB61-EA7CEB62BB94}"/>
    <cellStyle name="Normal 2 5 4 3 3 2" xfId="3470" xr:uid="{F44E02BE-14FC-49FA-BCCC-122566B06E81}"/>
    <cellStyle name="Normal 2 5 4 3 3 2 2" xfId="7685" xr:uid="{BB15CB0C-64AB-4941-9246-769F14202B65}"/>
    <cellStyle name="Normal 2 5 4 3 3 3" xfId="5540" xr:uid="{C9E6ABB8-35E0-44A4-96FF-159DFE9F873A}"/>
    <cellStyle name="Normal 2 5 4 3 4" xfId="2067" xr:uid="{0E467880-CBCA-429D-B126-9B1730435501}"/>
    <cellStyle name="Normal 2 5 4 3 4 2" xfId="3883" xr:uid="{E196B716-A022-449F-B718-361EBEA829F3}"/>
    <cellStyle name="Normal 2 5 4 3 4 2 2" xfId="8098" xr:uid="{F9C8E531-1792-4B5B-9A03-E954CD790F83}"/>
    <cellStyle name="Normal 2 5 4 3 4 3" xfId="5953" xr:uid="{16FF47AB-131A-4A21-9817-6CF0B71D7B79}"/>
    <cellStyle name="Normal 2 5 4 3 5" xfId="2480" xr:uid="{2696A1B3-068F-4BCC-8816-650E83200BB0}"/>
    <cellStyle name="Normal 2 5 4 3 5 2" xfId="4296" xr:uid="{44A54FC8-8002-4342-9A8F-BA6F66271740}"/>
    <cellStyle name="Normal 2 5 4 3 5 2 2" xfId="8511" xr:uid="{1408AA67-4520-4BFC-BDFD-B9674FF0E249}"/>
    <cellStyle name="Normal 2 5 4 3 5 3" xfId="6366" xr:uid="{AF02BAE9-5B72-4AE0-BAA3-E9335E485E99}"/>
    <cellStyle name="Normal 2 5 4 3 6" xfId="2916" xr:uid="{3F5BC5B8-01FE-4741-8D5F-0BCBC1DD6DB7}"/>
    <cellStyle name="Normal 2 5 4 3 6 2" xfId="6779" xr:uid="{8072F6F6-31F8-4C68-90AC-F23A6A0AACDC}"/>
    <cellStyle name="Normal 2 5 4 3 7" xfId="4713" xr:uid="{BC84265A-1781-4704-A4BE-049CA0FD4269}"/>
    <cellStyle name="Normal 2 5 4 4" xfId="812" xr:uid="{00000000-0005-0000-0000-000033020000}"/>
    <cellStyle name="Normal 2 5 4 4 2" xfId="1649" xr:uid="{59E92557-608F-4A7E-AC1F-9F745A8864B3}"/>
    <cellStyle name="Normal 2 5 4 4 2 2" xfId="7269" xr:uid="{D5691820-B400-49E0-9EC0-295C320EB838}"/>
    <cellStyle name="Normal 2 5 4 4 3" xfId="5124" xr:uid="{AB4B1366-470D-4C82-928F-043260DC9F85}"/>
    <cellStyle name="Normal 2 5 4 5" xfId="1233" xr:uid="{DB95680E-6C68-4E71-9B32-CAA94DA101D4}"/>
    <cellStyle name="Normal 2 5 4 5 2" xfId="3467" xr:uid="{E8E7B56B-8587-4FC5-9AE9-7B4DF401CAB5}"/>
    <cellStyle name="Normal 2 5 4 5 2 2" xfId="7682" xr:uid="{928A7D87-9529-42E9-B2FA-A4FAD2783BA5}"/>
    <cellStyle name="Normal 2 5 4 5 3" xfId="5537" xr:uid="{264B4ACE-682B-4904-A07A-E617C99DAD0E}"/>
    <cellStyle name="Normal 2 5 4 6" xfId="2064" xr:uid="{19808005-AF75-452A-917E-F7E8F3B6A2D4}"/>
    <cellStyle name="Normal 2 5 4 6 2" xfId="3880" xr:uid="{28863C9F-CE90-4920-B411-0688DCCA0FAD}"/>
    <cellStyle name="Normal 2 5 4 6 2 2" xfId="8095" xr:uid="{C85EC4A5-DD2A-4D91-A882-FEA96CAF8517}"/>
    <cellStyle name="Normal 2 5 4 6 3" xfId="5950" xr:uid="{22A6EAE3-E3C6-47D1-B121-5F8B73A96E02}"/>
    <cellStyle name="Normal 2 5 4 7" xfId="2477" xr:uid="{A631D3BC-2DFA-4AE1-A903-30DEA5D05691}"/>
    <cellStyle name="Normal 2 5 4 7 2" xfId="4293" xr:uid="{71EEBF0B-424E-45A1-A3DE-D841475A925F}"/>
    <cellStyle name="Normal 2 5 4 7 2 2" xfId="8508" xr:uid="{A9AB7CD9-C3DB-46A5-8168-1289A7E80358}"/>
    <cellStyle name="Normal 2 5 4 7 3" xfId="6363" xr:uid="{CD7423DB-D288-4478-9C9B-8D1EBAA87720}"/>
    <cellStyle name="Normal 2 5 4 8" xfId="2913" xr:uid="{65D67E3C-E14F-41E3-99C5-F001F4703E54}"/>
    <cellStyle name="Normal 2 5 4 8 2" xfId="6776" xr:uid="{FE404EC7-2D20-435F-A0AE-6BBC648F249A}"/>
    <cellStyle name="Normal 2 5 4 9" xfId="4710" xr:uid="{4EFB832D-2BD4-4DEC-966F-7685D3306656}"/>
    <cellStyle name="Normal 2 5 5" xfId="811" xr:uid="{00000000-0005-0000-0000-000034020000}"/>
    <cellStyle name="Normal 2 5 5 2" xfId="1648" xr:uid="{456AB08A-4918-437D-BC9C-2DB0F4374F39}"/>
    <cellStyle name="Normal 2 5 5 2 2" xfId="7268" xr:uid="{045E9D02-3AAC-4E74-975E-9270BC1E25B8}"/>
    <cellStyle name="Normal 2 5 5 3" xfId="5123" xr:uid="{D31A0FB1-440A-4155-88F2-8A5E56EE52C5}"/>
    <cellStyle name="Normal 2 5 6" xfId="1232" xr:uid="{7F28BFA6-432A-417E-9E21-4B05ACBD8672}"/>
    <cellStyle name="Normal 2 5 6 2" xfId="3466" xr:uid="{D1C887EA-8A28-4104-9FF2-C202EDB2664B}"/>
    <cellStyle name="Normal 2 5 6 2 2" xfId="7681" xr:uid="{759923A5-EA00-462E-B3F0-F6089EDA6561}"/>
    <cellStyle name="Normal 2 5 6 3" xfId="5536" xr:uid="{C4134E79-F1F5-4D42-A639-607F0923D293}"/>
    <cellStyle name="Normal 2 5 7" xfId="2063" xr:uid="{BD3B1AF1-9CFA-434A-8581-D29CEFC8B4F2}"/>
    <cellStyle name="Normal 2 5 7 2" xfId="3879" xr:uid="{B076503D-CBE2-48F0-9015-41C8BFFDD1E5}"/>
    <cellStyle name="Normal 2 5 7 2 2" xfId="8094" xr:uid="{A087F069-A71A-47A0-88A9-A7986B14C0F4}"/>
    <cellStyle name="Normal 2 5 7 3" xfId="5949" xr:uid="{C1DF9102-7B04-4C98-8D2F-24322D5F95C7}"/>
    <cellStyle name="Normal 2 5 8" xfId="2476" xr:uid="{F7DEE46E-1194-4113-A0A4-6C99714649A4}"/>
    <cellStyle name="Normal 2 5 8 2" xfId="4292" xr:uid="{4A4E6ACD-E225-41F7-A42B-EE2F015C593F}"/>
    <cellStyle name="Normal 2 5 8 2 2" xfId="8507" xr:uid="{B8B710DA-E559-4494-B94E-01E577A7C136}"/>
    <cellStyle name="Normal 2 5 8 3" xfId="6362" xr:uid="{208E77C7-5D5A-4FA2-8D11-91EDBF57B01E}"/>
    <cellStyle name="Normal 2 5 9" xfId="2912" xr:uid="{7C051DD9-378A-4FEF-855C-6769F060D94C}"/>
    <cellStyle name="Normal 2 5 9 2" xfId="6775" xr:uid="{3508048C-45E7-4E10-81C1-1F3875971089}"/>
    <cellStyle name="Normal 2 6" xfId="325" xr:uid="{00000000-0005-0000-0000-000035020000}"/>
    <cellStyle name="Normal 2 7" xfId="1861" xr:uid="{8911411E-E816-4C01-85B3-3148A4C81804}"/>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6" xr:uid="{B66F4730-B0BB-49E9-9B27-05778D46725B}"/>
    <cellStyle name="Normal 3 2 3 2 2 2 2 2" xfId="7276" xr:uid="{36AA7FFD-CCA5-4033-8326-84DDDF1FC8EE}"/>
    <cellStyle name="Normal 3 2 3 2 2 2 3" xfId="5131" xr:uid="{846A130E-A2D6-426F-B05D-BA0250119BDE}"/>
    <cellStyle name="Normal 3 2 3 2 2 3" xfId="1240" xr:uid="{0B3ABC45-AA2B-4819-B731-48788013DF24}"/>
    <cellStyle name="Normal 3 2 3 2 2 3 2" xfId="3474" xr:uid="{678AE3F0-5461-4989-BF05-79CF5EF29EF1}"/>
    <cellStyle name="Normal 3 2 3 2 2 3 2 2" xfId="7689" xr:uid="{2753E1B7-FA27-4447-A42D-1A5D6C3117E7}"/>
    <cellStyle name="Normal 3 2 3 2 2 3 3" xfId="5544" xr:uid="{704B3772-ACF9-43A7-A56B-F42FBE89CCAA}"/>
    <cellStyle name="Normal 3 2 3 2 2 4" xfId="2071" xr:uid="{1DC2178E-0E49-4E13-B947-C6F50D4FC398}"/>
    <cellStyle name="Normal 3 2 3 2 2 4 2" xfId="3887" xr:uid="{167E507B-30AA-490B-B809-DAD5FC6B0FC4}"/>
    <cellStyle name="Normal 3 2 3 2 2 4 2 2" xfId="8102" xr:uid="{F1AF9180-80B6-4CF5-95A3-B5F6C27B2274}"/>
    <cellStyle name="Normal 3 2 3 2 2 4 3" xfId="5957" xr:uid="{40A5177C-D188-4727-B10C-3B0C96642CF1}"/>
    <cellStyle name="Normal 3 2 3 2 2 5" xfId="2484" xr:uid="{0D2E444C-57A0-4348-8C9F-E7610EFA74F2}"/>
    <cellStyle name="Normal 3 2 3 2 2 5 2" xfId="4300" xr:uid="{ADBAB722-B7DA-4FC9-8EC5-CA0CF638FAA7}"/>
    <cellStyle name="Normal 3 2 3 2 2 5 2 2" xfId="8515" xr:uid="{CA7A5CC8-314C-4F69-90C8-8C8CEA5E2598}"/>
    <cellStyle name="Normal 3 2 3 2 2 5 3" xfId="6370" xr:uid="{76164A2D-AC8A-46CC-B670-47AE0DC91FC6}"/>
    <cellStyle name="Normal 3 2 3 2 2 6" xfId="2920" xr:uid="{1C3F430E-B1DE-4D70-BBFB-032074505831}"/>
    <cellStyle name="Normal 3 2 3 2 2 6 2" xfId="6783" xr:uid="{5CA96C06-075C-45DD-8213-5931BD07342C}"/>
    <cellStyle name="Normal 3 2 3 2 2 7" xfId="4717" xr:uid="{015B50CE-DF92-443A-AF2F-BC7F776FB01F}"/>
    <cellStyle name="Normal 3 2 3 2 3" xfId="820" xr:uid="{00000000-0005-0000-0000-00003F020000}"/>
    <cellStyle name="Normal 3 2 3 2 3 2" xfId="1655" xr:uid="{85C48C1C-51DD-4A60-9606-F9AF2D39FF71}"/>
    <cellStyle name="Normal 3 2 3 2 3 2 2" xfId="7275" xr:uid="{B6A01A3B-4821-4FF5-830D-319E083F13FA}"/>
    <cellStyle name="Normal 3 2 3 2 3 3" xfId="5130" xr:uid="{66FE543B-8257-4755-9521-8BA0157D7262}"/>
    <cellStyle name="Normal 3 2 3 2 4" xfId="1239" xr:uid="{7C022FF2-8D3A-4213-BFE8-9306782D3971}"/>
    <cellStyle name="Normal 3 2 3 2 4 2" xfId="3473" xr:uid="{2A63FB1E-5A87-44B4-A075-998B2DCE9742}"/>
    <cellStyle name="Normal 3 2 3 2 4 2 2" xfId="7688" xr:uid="{BBA5C4F9-0623-45CC-81EF-900D87213871}"/>
    <cellStyle name="Normal 3 2 3 2 4 3" xfId="5543" xr:uid="{56B9534B-A6DE-4161-962E-61F1E3A39EF1}"/>
    <cellStyle name="Normal 3 2 3 2 5" xfId="2070" xr:uid="{9A22C9D6-7108-492F-AA34-0DB8A01A511E}"/>
    <cellStyle name="Normal 3 2 3 2 5 2" xfId="3886" xr:uid="{06F63F99-D439-4152-905A-9C5C3BBDE114}"/>
    <cellStyle name="Normal 3 2 3 2 5 2 2" xfId="8101" xr:uid="{A17793B6-B8FF-4F62-94B6-B8E820C0C58E}"/>
    <cellStyle name="Normal 3 2 3 2 5 3" xfId="5956" xr:uid="{DE2DB34C-6172-4031-A96D-1CBAE0BA7BE3}"/>
    <cellStyle name="Normal 3 2 3 2 6" xfId="2483" xr:uid="{80C36CB6-3E93-4E24-A6B1-F30B1E4AC4E9}"/>
    <cellStyle name="Normal 3 2 3 2 6 2" xfId="4299" xr:uid="{64985963-E4BD-4767-A35F-F3ED006A45F6}"/>
    <cellStyle name="Normal 3 2 3 2 6 2 2" xfId="8514" xr:uid="{2A2FC633-A802-49AC-BE1E-2AC6D58419C7}"/>
    <cellStyle name="Normal 3 2 3 2 6 3" xfId="6369" xr:uid="{26D16C37-E8AB-44CD-BB50-37CF3E386390}"/>
    <cellStyle name="Normal 3 2 3 2 7" xfId="2919" xr:uid="{054AF203-313D-4C7C-82FE-93030A3719E6}"/>
    <cellStyle name="Normal 3 2 3 2 7 2" xfId="6782" xr:uid="{2E4B17E4-AB36-4235-9639-AD35609CE002}"/>
    <cellStyle name="Normal 3 2 3 2 8" xfId="4716" xr:uid="{F64CFD98-437F-4556-ADBB-F02495E34583}"/>
    <cellStyle name="Normal 3 2 3 3" xfId="332" xr:uid="{00000000-0005-0000-0000-000040020000}"/>
    <cellStyle name="Normal 3 2 3 3 2" xfId="822" xr:uid="{00000000-0005-0000-0000-000041020000}"/>
    <cellStyle name="Normal 3 2 3 3 2 2" xfId="1657" xr:uid="{9428EB24-0230-4336-A03F-00ACE3081D99}"/>
    <cellStyle name="Normal 3 2 3 3 2 2 2" xfId="7277" xr:uid="{01581AB3-0E3A-41D1-A23B-674F3E972D7F}"/>
    <cellStyle name="Normal 3 2 3 3 2 3" xfId="5132" xr:uid="{7F71CC39-3048-46CC-9116-7DE5692C75BF}"/>
    <cellStyle name="Normal 3 2 3 3 3" xfId="1241" xr:uid="{D9C35516-6F18-4591-9563-D2657303DDC8}"/>
    <cellStyle name="Normal 3 2 3 3 3 2" xfId="3475" xr:uid="{B9344938-5A4C-4871-8C58-2998EF140F26}"/>
    <cellStyle name="Normal 3 2 3 3 3 2 2" xfId="7690" xr:uid="{C6E5AF46-AA85-42C9-B9CE-9A44D46C5850}"/>
    <cellStyle name="Normal 3 2 3 3 3 3" xfId="5545" xr:uid="{D41D5889-9649-4E96-BC6E-6936F1898450}"/>
    <cellStyle name="Normal 3 2 3 3 4" xfId="2072" xr:uid="{561F299A-0B7F-4EB5-8C90-DACDAED9B8A1}"/>
    <cellStyle name="Normal 3 2 3 3 4 2" xfId="3888" xr:uid="{7114D43E-9F7F-42F5-A957-24ED884395CC}"/>
    <cellStyle name="Normal 3 2 3 3 4 2 2" xfId="8103" xr:uid="{D63E45E5-500B-45B0-9029-7E99AA1AC7A3}"/>
    <cellStyle name="Normal 3 2 3 3 4 3" xfId="5958" xr:uid="{1B52BD2F-755B-4020-A25D-661D592F9197}"/>
    <cellStyle name="Normal 3 2 3 3 5" xfId="2485" xr:uid="{FB0A5F1B-16EE-40B6-8E9E-EAEC26B49284}"/>
    <cellStyle name="Normal 3 2 3 3 5 2" xfId="4301" xr:uid="{D03D278A-8409-46E0-86FD-EA9E6475774A}"/>
    <cellStyle name="Normal 3 2 3 3 5 2 2" xfId="8516" xr:uid="{C3492966-3229-4A21-A312-DD7555E53F4E}"/>
    <cellStyle name="Normal 3 2 3 3 5 3" xfId="6371" xr:uid="{DF8B5E06-0407-45C9-87DD-E0D4DD4DF9CE}"/>
    <cellStyle name="Normal 3 2 3 3 6" xfId="2921" xr:uid="{9F9C4360-2A73-4321-AAC2-C09C86BD60CF}"/>
    <cellStyle name="Normal 3 2 3 3 6 2" xfId="6784" xr:uid="{C399394D-D5BE-4683-9B7E-2B0EE7240204}"/>
    <cellStyle name="Normal 3 2 3 3 7" xfId="4718" xr:uid="{35A2B04E-D4AC-45A2-B399-2438887353F4}"/>
    <cellStyle name="Normal 3 2 3 4" xfId="819" xr:uid="{00000000-0005-0000-0000-000042020000}"/>
    <cellStyle name="Normal 3 2 3 4 2" xfId="1654" xr:uid="{1A9B1917-DE0D-4550-A406-11EF70517B23}"/>
    <cellStyle name="Normal 3 2 3 4 2 2" xfId="7274" xr:uid="{EAAF5743-277A-4233-9709-9AD2D278963A}"/>
    <cellStyle name="Normal 3 2 3 4 3" xfId="5129" xr:uid="{B367EB18-B695-455B-9E10-8DD136E317E6}"/>
    <cellStyle name="Normal 3 2 3 5" xfId="1238" xr:uid="{FACB2A9F-4995-4DA0-ABBF-D493BD3667A2}"/>
    <cellStyle name="Normal 3 2 3 5 2" xfId="3472" xr:uid="{29A4BAF8-B669-4E8F-935F-94F5A16B3A0A}"/>
    <cellStyle name="Normal 3 2 3 5 2 2" xfId="7687" xr:uid="{4D34068B-D3E0-49BE-9C0A-F0714D726403}"/>
    <cellStyle name="Normal 3 2 3 5 3" xfId="5542" xr:uid="{CB5596CB-20AB-4AFC-A198-95ECBC4D92C0}"/>
    <cellStyle name="Normal 3 2 3 6" xfId="2069" xr:uid="{614C9D08-E112-479D-8607-86FE39620451}"/>
    <cellStyle name="Normal 3 2 3 6 2" xfId="3885" xr:uid="{24D723CA-6316-4A97-ACE2-32B0FC9FE0B1}"/>
    <cellStyle name="Normal 3 2 3 6 2 2" xfId="8100" xr:uid="{679CD1A3-E8D8-483C-8A0B-3144BF6740BF}"/>
    <cellStyle name="Normal 3 2 3 6 3" xfId="5955" xr:uid="{22C13AD6-8CBE-4D81-8641-47DBC9C762D7}"/>
    <cellStyle name="Normal 3 2 3 7" xfId="2482" xr:uid="{6C842B69-7CAE-485A-9FFC-42ADDCC9E33F}"/>
    <cellStyle name="Normal 3 2 3 7 2" xfId="4298" xr:uid="{14606344-3AA2-4FDB-95FC-E32D183BDFCE}"/>
    <cellStyle name="Normal 3 2 3 7 2 2" xfId="8513" xr:uid="{6BA129EF-8EC1-4E2D-AC3C-DB4F4598CAAD}"/>
    <cellStyle name="Normal 3 2 3 7 3" xfId="6368" xr:uid="{6A9A9E52-3134-4E44-AEE9-1356C1CA88A4}"/>
    <cellStyle name="Normal 3 2 3 8" xfId="2918" xr:uid="{2FCEC5C6-DA35-4940-8855-AC985B06868D}"/>
    <cellStyle name="Normal 3 2 3 8 2" xfId="6781" xr:uid="{E13B640F-C757-419F-B0A7-A7BDE621EF24}"/>
    <cellStyle name="Normal 3 2 3 9" xfId="4715" xr:uid="{00BA5EAA-74FA-4F12-9578-8A5300B7BCEC}"/>
    <cellStyle name="Normal 3 2 4" xfId="817" xr:uid="{00000000-0005-0000-0000-000043020000}"/>
    <cellStyle name="Normal 3 2 4 2" xfId="1653" xr:uid="{2EDC88CB-5628-47C7-8A03-C7BA34923AE3}"/>
    <cellStyle name="Normal 3 2 4 2 2" xfId="7273" xr:uid="{132E603B-18F9-458A-A697-4EC96CC2632D}"/>
    <cellStyle name="Normal 3 2 4 3" xfId="5128" xr:uid="{BCEBDC9A-9CE3-478A-BD60-61AF7F695F61}"/>
    <cellStyle name="Normal 3 2 5" xfId="1237" xr:uid="{24765A9B-7B10-4B12-B2E3-F0705637E4A8}"/>
    <cellStyle name="Normal 3 2 5 2" xfId="3471" xr:uid="{CA4B5DB9-28BE-401F-8034-42601673C894}"/>
    <cellStyle name="Normal 3 2 5 2 2" xfId="7686" xr:uid="{76C1D39E-FD1D-4DC1-ADB9-54DAD9526A77}"/>
    <cellStyle name="Normal 3 2 5 3" xfId="5541" xr:uid="{58E3727D-4D03-405E-A1E9-CD6768BEDAF7}"/>
    <cellStyle name="Normal 3 2 6" xfId="2068" xr:uid="{D3291EAF-F586-4826-8A02-686A0BCE79D5}"/>
    <cellStyle name="Normal 3 2 6 2" xfId="3884" xr:uid="{3BD3B207-0D74-419B-B8A6-5A50ABD00D0F}"/>
    <cellStyle name="Normal 3 2 6 2 2" xfId="8099" xr:uid="{38816A54-EC42-477E-9F84-A643BE98054F}"/>
    <cellStyle name="Normal 3 2 6 3" xfId="5954" xr:uid="{47F8FB70-F386-4D40-B77D-A8DCD9EDC5DB}"/>
    <cellStyle name="Normal 3 2 7" xfId="2481" xr:uid="{8B30D9A6-0191-47A5-B5BE-D942348CD57E}"/>
    <cellStyle name="Normal 3 2 7 2" xfId="4297" xr:uid="{17231E83-6628-4C9E-8730-A3BA22D3EA92}"/>
    <cellStyle name="Normal 3 2 7 2 2" xfId="8512" xr:uid="{ED322422-0532-4756-A8CC-18A95EFC75C1}"/>
    <cellStyle name="Normal 3 2 7 3" xfId="6367" xr:uid="{66715568-6BEB-46F7-8138-4D4731F76EA7}"/>
    <cellStyle name="Normal 3 2 8" xfId="2917" xr:uid="{29120BEC-2D1B-4366-9EC0-BB3445029BD1}"/>
    <cellStyle name="Normal 3 2 8 2" xfId="6780" xr:uid="{657ACB79-CDD6-4C5B-BE5A-14932FAB9AE8}"/>
    <cellStyle name="Normal 3 2 9" xfId="4714" xr:uid="{1AEE3841-BC86-403D-A6AD-67956CF1A581}"/>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10" xfId="2486" xr:uid="{FF05DE77-E145-4656-B4E0-7F099F35C37B}"/>
    <cellStyle name="Normal 4 2 2 10 2" xfId="4302" xr:uid="{8D58F1F8-D6DC-477C-B8B9-1CDFB6391366}"/>
    <cellStyle name="Normal 4 2 2 10 2 2" xfId="8517" xr:uid="{54BE7233-667F-4FF3-A4D5-6931F5FF955E}"/>
    <cellStyle name="Normal 4 2 2 10 3" xfId="6372" xr:uid="{0805EB8D-12D0-4CA7-983F-0B1F00A901EE}"/>
    <cellStyle name="Normal 4 2 2 11" xfId="2922" xr:uid="{96F26E1D-8E02-42FD-901D-F445C1CAE508}"/>
    <cellStyle name="Normal 4 2 2 11 2" xfId="6785" xr:uid="{DCAEA287-A03D-4380-AC9B-7E3BBF0773E2}"/>
    <cellStyle name="Normal 4 2 2 12" xfId="4720" xr:uid="{C8DFCA5F-F49D-410D-9F21-5EA0A87DD013}"/>
    <cellStyle name="Normal 4 2 2 2" xfId="341" xr:uid="{00000000-0005-0000-0000-00004D020000}"/>
    <cellStyle name="Normal 4 2 2 3" xfId="342" xr:uid="{00000000-0005-0000-0000-00004E020000}"/>
    <cellStyle name="Normal 4 2 2 3 10" xfId="4721" xr:uid="{2868AF7F-83D2-435F-96C0-3C0D60B0C729}"/>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2" xr:uid="{F2EB290E-8FB2-4EFA-A0D2-C29FCAD3A26B}"/>
    <cellStyle name="Normal 4 2 2 3 2 2 2 2 2 2" xfId="7282" xr:uid="{B92E7DBD-0320-4789-8FFE-AD0B9B9B76AC}"/>
    <cellStyle name="Normal 4 2 2 3 2 2 2 2 3" xfId="5137" xr:uid="{B8C237F4-518F-4BCE-BFDA-B467FB63B36C}"/>
    <cellStyle name="Normal 4 2 2 3 2 2 2 3" xfId="1246" xr:uid="{6035C255-8BEE-4932-B752-708AB3DDA209}"/>
    <cellStyle name="Normal 4 2 2 3 2 2 2 3 2" xfId="3480" xr:uid="{78DD41A2-FDF0-4605-91FE-1A8D81A7D88E}"/>
    <cellStyle name="Normal 4 2 2 3 2 2 2 3 2 2" xfId="7695" xr:uid="{248F618D-E013-4872-A0E6-4874EEE36135}"/>
    <cellStyle name="Normal 4 2 2 3 2 2 2 3 3" xfId="5550" xr:uid="{04B0BC8D-A2F8-4B9D-9AF1-A1D07B4A36A7}"/>
    <cellStyle name="Normal 4 2 2 3 2 2 2 4" xfId="2077" xr:uid="{86CC9FAC-9413-45ED-B0E5-DD0F88DA6938}"/>
    <cellStyle name="Normal 4 2 2 3 2 2 2 4 2" xfId="3893" xr:uid="{C69771CB-E4D2-4C59-8866-C4B944B88FE6}"/>
    <cellStyle name="Normal 4 2 2 3 2 2 2 4 2 2" xfId="8108" xr:uid="{415453D5-5BB3-4A19-8C30-69C695F3F414}"/>
    <cellStyle name="Normal 4 2 2 3 2 2 2 4 3" xfId="5963" xr:uid="{533D46DD-0C43-4D14-8EA5-04FB4FF82B75}"/>
    <cellStyle name="Normal 4 2 2 3 2 2 2 5" xfId="2490" xr:uid="{4152DE22-3865-4320-8F91-43D80A75AB1A}"/>
    <cellStyle name="Normal 4 2 2 3 2 2 2 5 2" xfId="4306" xr:uid="{A78A0AB7-D47E-43EA-A5CE-685718A66103}"/>
    <cellStyle name="Normal 4 2 2 3 2 2 2 5 2 2" xfId="8521" xr:uid="{5C6CEC64-44C7-4CE8-BABE-266B386E9989}"/>
    <cellStyle name="Normal 4 2 2 3 2 2 2 5 3" xfId="6376" xr:uid="{75EFF31C-F1AA-4EA8-92FF-C05A26A32AA6}"/>
    <cellStyle name="Normal 4 2 2 3 2 2 2 6" xfId="2926" xr:uid="{C3C8A91D-93F8-4D42-8E1A-8471E8E7B674}"/>
    <cellStyle name="Normal 4 2 2 3 2 2 2 6 2" xfId="6789" xr:uid="{7E238486-E297-4091-99B3-609AABCB4D49}"/>
    <cellStyle name="Normal 4 2 2 3 2 2 2 7" xfId="4724" xr:uid="{FD12AB64-D5A7-483A-B942-159A119D8506}"/>
    <cellStyle name="Normal 4 2 2 3 2 2 3" xfId="826" xr:uid="{00000000-0005-0000-0000-000053020000}"/>
    <cellStyle name="Normal 4 2 2 3 2 2 3 2" xfId="1661" xr:uid="{C53086B9-7F6A-4D85-9251-759AD43CDC4B}"/>
    <cellStyle name="Normal 4 2 2 3 2 2 3 2 2" xfId="7281" xr:uid="{1C07E10C-62E8-4F3E-9F57-B6AB4169B645}"/>
    <cellStyle name="Normal 4 2 2 3 2 2 3 3" xfId="5136" xr:uid="{AE281C15-6B67-4DC3-8A5E-7A7F010FF7C1}"/>
    <cellStyle name="Normal 4 2 2 3 2 2 4" xfId="1245" xr:uid="{5C9C976C-F063-44B4-87EE-628EE761533E}"/>
    <cellStyle name="Normal 4 2 2 3 2 2 4 2" xfId="3479" xr:uid="{8B4ED5C3-BA94-4DA2-AC38-30D1B71025E4}"/>
    <cellStyle name="Normal 4 2 2 3 2 2 4 2 2" xfId="7694" xr:uid="{B7EEBF50-2086-4EC2-96A4-D324787BDB03}"/>
    <cellStyle name="Normal 4 2 2 3 2 2 4 3" xfId="5549" xr:uid="{020E0ACA-6267-4E19-A2F7-8195BDF0A08B}"/>
    <cellStyle name="Normal 4 2 2 3 2 2 5" xfId="2076" xr:uid="{B9517065-8EF6-43A4-AD23-8DE1B4373B8C}"/>
    <cellStyle name="Normal 4 2 2 3 2 2 5 2" xfId="3892" xr:uid="{239DBC31-2E94-4D91-8112-DC1AB3782E5F}"/>
    <cellStyle name="Normal 4 2 2 3 2 2 5 2 2" xfId="8107" xr:uid="{E7013115-049E-480D-BC23-FCAF21FD65AE}"/>
    <cellStyle name="Normal 4 2 2 3 2 2 5 3" xfId="5962" xr:uid="{CD08B83B-605D-4639-8189-2883F7CCAB22}"/>
    <cellStyle name="Normal 4 2 2 3 2 2 6" xfId="2489" xr:uid="{BE82449B-E609-4CF5-A0E0-9144672BA720}"/>
    <cellStyle name="Normal 4 2 2 3 2 2 6 2" xfId="4305" xr:uid="{72F15A5F-1017-43AB-A285-63C1EB1CA4BC}"/>
    <cellStyle name="Normal 4 2 2 3 2 2 6 2 2" xfId="8520" xr:uid="{89B56C1D-5DC4-4695-BD2B-0886305F9860}"/>
    <cellStyle name="Normal 4 2 2 3 2 2 6 3" xfId="6375" xr:uid="{C5E9E7FD-D642-4505-ACEC-D403C4063486}"/>
    <cellStyle name="Normal 4 2 2 3 2 2 7" xfId="2925" xr:uid="{3A5D11E9-40B4-4FA9-9D69-30A2B6D8F8B0}"/>
    <cellStyle name="Normal 4 2 2 3 2 2 7 2" xfId="6788" xr:uid="{79E13A37-2E9D-434A-9C1F-51EA7D9892CB}"/>
    <cellStyle name="Normal 4 2 2 3 2 2 8" xfId="4723" xr:uid="{13F261F9-9F41-45F9-B052-38B184069A3F}"/>
    <cellStyle name="Normal 4 2 2 3 2 3" xfId="346" xr:uid="{00000000-0005-0000-0000-000054020000}"/>
    <cellStyle name="Normal 4 2 2 3 2 3 2" xfId="828" xr:uid="{00000000-0005-0000-0000-000055020000}"/>
    <cellStyle name="Normal 4 2 2 3 2 3 2 2" xfId="1663" xr:uid="{BBAA1001-BB42-4EC7-8C4A-87C39180025E}"/>
    <cellStyle name="Normal 4 2 2 3 2 3 2 2 2" xfId="7283" xr:uid="{F2A94C12-C74A-4DED-912A-DB64A1ADE457}"/>
    <cellStyle name="Normal 4 2 2 3 2 3 2 3" xfId="5138" xr:uid="{8DD2F14F-E389-40FB-A3DF-2B2A75578AFA}"/>
    <cellStyle name="Normal 4 2 2 3 2 3 3" xfId="1247" xr:uid="{A5FFFB40-CD26-4DA9-9CE9-B2CCEE9864B0}"/>
    <cellStyle name="Normal 4 2 2 3 2 3 3 2" xfId="3481" xr:uid="{18C546EE-896F-426D-9F60-D3D80D70D1B3}"/>
    <cellStyle name="Normal 4 2 2 3 2 3 3 2 2" xfId="7696" xr:uid="{12D4B6A2-2873-4CF8-BA8D-251F69B6C56A}"/>
    <cellStyle name="Normal 4 2 2 3 2 3 3 3" xfId="5551" xr:uid="{3B51A9CD-1CB9-41ED-852B-5F2174C0C8C2}"/>
    <cellStyle name="Normal 4 2 2 3 2 3 4" xfId="2078" xr:uid="{20D292A3-3042-4CBE-AE99-78627F1AC8E7}"/>
    <cellStyle name="Normal 4 2 2 3 2 3 4 2" xfId="3894" xr:uid="{5BB24148-D3E1-48E9-A0A5-7362662A9E60}"/>
    <cellStyle name="Normal 4 2 2 3 2 3 4 2 2" xfId="8109" xr:uid="{620DDE03-F797-4872-A2EF-B6B4F93A17EA}"/>
    <cellStyle name="Normal 4 2 2 3 2 3 4 3" xfId="5964" xr:uid="{D9DBBBB1-668F-43B3-A2A5-CBAF7E992D8D}"/>
    <cellStyle name="Normal 4 2 2 3 2 3 5" xfId="2491" xr:uid="{28BF33CA-FA42-4CEF-A09D-1DFF18A8574F}"/>
    <cellStyle name="Normal 4 2 2 3 2 3 5 2" xfId="4307" xr:uid="{3DA63D5A-926B-4F35-84C6-D0AECEA30BD3}"/>
    <cellStyle name="Normal 4 2 2 3 2 3 5 2 2" xfId="8522" xr:uid="{CC1A8986-3A05-470E-A288-00ADBAED9432}"/>
    <cellStyle name="Normal 4 2 2 3 2 3 5 3" xfId="6377" xr:uid="{52D49601-9FCF-46D2-AE14-8D49E933A31C}"/>
    <cellStyle name="Normal 4 2 2 3 2 3 6" xfId="2927" xr:uid="{E4AAB061-7DF6-443D-9C93-1D23BD37584D}"/>
    <cellStyle name="Normal 4 2 2 3 2 3 6 2" xfId="6790" xr:uid="{004CF3F8-468C-410B-A8E0-19C4E2DF49A4}"/>
    <cellStyle name="Normal 4 2 2 3 2 3 7" xfId="4725" xr:uid="{0C3E2F6A-A0A2-4B4E-B60B-E76A06C2A3FE}"/>
    <cellStyle name="Normal 4 2 2 3 2 4" xfId="825" xr:uid="{00000000-0005-0000-0000-000056020000}"/>
    <cellStyle name="Normal 4 2 2 3 2 4 2" xfId="1660" xr:uid="{A9BBD599-105E-48FA-9E1B-47B3318E0513}"/>
    <cellStyle name="Normal 4 2 2 3 2 4 2 2" xfId="7280" xr:uid="{E8002946-5CBB-414C-8832-6C0008E2F7D9}"/>
    <cellStyle name="Normal 4 2 2 3 2 4 3" xfId="5135" xr:uid="{599F14D9-A29B-4F98-BFF4-07821D0EA3AB}"/>
    <cellStyle name="Normal 4 2 2 3 2 5" xfId="1244" xr:uid="{3FCB3465-8BEF-4065-B723-1D56DF7C9196}"/>
    <cellStyle name="Normal 4 2 2 3 2 5 2" xfId="3478" xr:uid="{211F02C7-06A7-4D9E-B000-883D2220A1BB}"/>
    <cellStyle name="Normal 4 2 2 3 2 5 2 2" xfId="7693" xr:uid="{67D6C4B8-DD5A-4993-8DD3-A2F36B0010E3}"/>
    <cellStyle name="Normal 4 2 2 3 2 5 3" xfId="5548" xr:uid="{596C7B3C-D767-4B19-913F-6B489D2E14EF}"/>
    <cellStyle name="Normal 4 2 2 3 2 6" xfId="2075" xr:uid="{01266D26-DDE4-49D1-999E-14E49963DF4F}"/>
    <cellStyle name="Normal 4 2 2 3 2 6 2" xfId="3891" xr:uid="{90C74A90-D2E8-43C8-A016-B89EA0357508}"/>
    <cellStyle name="Normal 4 2 2 3 2 6 2 2" xfId="8106" xr:uid="{74C78B2A-14AF-4D75-AFC0-2D0CF9A16A3E}"/>
    <cellStyle name="Normal 4 2 2 3 2 6 3" xfId="5961" xr:uid="{5DE793A8-35D3-402E-969C-D4EFE7F33BF2}"/>
    <cellStyle name="Normal 4 2 2 3 2 7" xfId="2488" xr:uid="{213FCE29-8797-4088-ACDD-B436A2DAC9DB}"/>
    <cellStyle name="Normal 4 2 2 3 2 7 2" xfId="4304" xr:uid="{5D0108E2-398C-4BB1-985A-19744696B10F}"/>
    <cellStyle name="Normal 4 2 2 3 2 7 2 2" xfId="8519" xr:uid="{DC96E5BF-6630-4041-A6D1-B0813DB893AD}"/>
    <cellStyle name="Normal 4 2 2 3 2 7 3" xfId="6374" xr:uid="{6D479899-55B9-4392-B0E4-113493F74C62}"/>
    <cellStyle name="Normal 4 2 2 3 2 8" xfId="2924" xr:uid="{A14512DB-DF6E-49A1-B55F-109F319EA204}"/>
    <cellStyle name="Normal 4 2 2 3 2 8 2" xfId="6787" xr:uid="{5F412EDD-FEFA-4538-AC2E-54F59BEF1468}"/>
    <cellStyle name="Normal 4 2 2 3 2 9" xfId="4722" xr:uid="{97A2B5D8-09A4-4082-8048-E41AA5F4303F}"/>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5" xr:uid="{AE4FBE2B-7758-42C5-8343-DC112074A243}"/>
    <cellStyle name="Normal 4 2 2 3 3 2 2 2 2" xfId="7285" xr:uid="{A86BD9B5-C9C4-40B8-B602-6731D286B043}"/>
    <cellStyle name="Normal 4 2 2 3 3 2 2 3" xfId="5140" xr:uid="{7E5E347D-F5CD-4F6A-A6E7-4972E23447C4}"/>
    <cellStyle name="Normal 4 2 2 3 3 2 3" xfId="1249" xr:uid="{7887105D-3877-40F0-8186-72BF10C119DF}"/>
    <cellStyle name="Normal 4 2 2 3 3 2 3 2" xfId="3483" xr:uid="{003D7F55-55A1-40F6-ABAE-63AAB971F436}"/>
    <cellStyle name="Normal 4 2 2 3 3 2 3 2 2" xfId="7698" xr:uid="{6CB64F1A-3AD4-467D-994A-F4A335508EE1}"/>
    <cellStyle name="Normal 4 2 2 3 3 2 3 3" xfId="5553" xr:uid="{5BDAC37D-0471-4D9E-8841-A39D1AF4AC2C}"/>
    <cellStyle name="Normal 4 2 2 3 3 2 4" xfId="2080" xr:uid="{ABFD2643-E7C8-49B1-B765-86E5AF4822AB}"/>
    <cellStyle name="Normal 4 2 2 3 3 2 4 2" xfId="3896" xr:uid="{165C4C87-DFF5-4DF3-AB7C-5CE2AD56BAB9}"/>
    <cellStyle name="Normal 4 2 2 3 3 2 4 2 2" xfId="8111" xr:uid="{E50EF066-EE5D-4B19-8B38-E336141B167B}"/>
    <cellStyle name="Normal 4 2 2 3 3 2 4 3" xfId="5966" xr:uid="{EEAA6D96-C144-46E1-BAD2-FCCE5340F7D5}"/>
    <cellStyle name="Normal 4 2 2 3 3 2 5" xfId="2493" xr:uid="{0A097547-DB1A-4117-BAC4-D6BE60C92EB0}"/>
    <cellStyle name="Normal 4 2 2 3 3 2 5 2" xfId="4309" xr:uid="{6A8A8D0C-33FD-49E4-BA04-AD355D184E8C}"/>
    <cellStyle name="Normal 4 2 2 3 3 2 5 2 2" xfId="8524" xr:uid="{171AD27A-06FA-4ACF-99AA-C7B1BE734D32}"/>
    <cellStyle name="Normal 4 2 2 3 3 2 5 3" xfId="6379" xr:uid="{075CB503-2C72-4173-A0A8-682E40029BDB}"/>
    <cellStyle name="Normal 4 2 2 3 3 2 6" xfId="2929" xr:uid="{99A81194-B800-47CF-8EF6-DEEAC7805967}"/>
    <cellStyle name="Normal 4 2 2 3 3 2 6 2" xfId="6792" xr:uid="{BE50BC2C-1F61-4551-AC2F-E07791E88E11}"/>
    <cellStyle name="Normal 4 2 2 3 3 2 7" xfId="4727" xr:uid="{59646788-123A-4353-8F4B-9DCDD3E5B425}"/>
    <cellStyle name="Normal 4 2 2 3 3 3" xfId="829" xr:uid="{00000000-0005-0000-0000-00005A020000}"/>
    <cellStyle name="Normal 4 2 2 3 3 3 2" xfId="1664" xr:uid="{85174FB5-6B2B-4305-845B-0F0EE4CDCE54}"/>
    <cellStyle name="Normal 4 2 2 3 3 3 2 2" xfId="7284" xr:uid="{4D9E4344-2B04-4787-8FD9-624387D7D80B}"/>
    <cellStyle name="Normal 4 2 2 3 3 3 3" xfId="5139" xr:uid="{58FA87E2-DE10-4B26-9ED9-E3BF5A7885E8}"/>
    <cellStyle name="Normal 4 2 2 3 3 4" xfId="1248" xr:uid="{0CF6DBA3-6105-4313-B164-66EF2100AEC9}"/>
    <cellStyle name="Normal 4 2 2 3 3 4 2" xfId="3482" xr:uid="{976A262F-63D8-4E3C-BFBB-A0881F799D63}"/>
    <cellStyle name="Normal 4 2 2 3 3 4 2 2" xfId="7697" xr:uid="{ED1B4EC7-80CF-41F8-AB9E-4147FDEDAC1C}"/>
    <cellStyle name="Normal 4 2 2 3 3 4 3" xfId="5552" xr:uid="{1FC61BF2-8607-47D4-9C1B-6D00AB8C5A69}"/>
    <cellStyle name="Normal 4 2 2 3 3 5" xfId="2079" xr:uid="{F712EA6C-FACD-44EE-A43A-8851633223BA}"/>
    <cellStyle name="Normal 4 2 2 3 3 5 2" xfId="3895" xr:uid="{D78CC650-1F66-4206-A699-8D16DDFF2591}"/>
    <cellStyle name="Normal 4 2 2 3 3 5 2 2" xfId="8110" xr:uid="{6CFC7C5A-EAF3-4B08-94C5-933BAC139295}"/>
    <cellStyle name="Normal 4 2 2 3 3 5 3" xfId="5965" xr:uid="{1DF51890-EDE8-45EB-8CB2-2745203CD258}"/>
    <cellStyle name="Normal 4 2 2 3 3 6" xfId="2492" xr:uid="{A43BAC28-E421-4DF5-BC0A-23E7EE5C752B}"/>
    <cellStyle name="Normal 4 2 2 3 3 6 2" xfId="4308" xr:uid="{481D5E18-6181-4395-ACA1-1D65871EF4CF}"/>
    <cellStyle name="Normal 4 2 2 3 3 6 2 2" xfId="8523" xr:uid="{86EAFE4F-DD61-4065-A95E-D7E5CA9A7D21}"/>
    <cellStyle name="Normal 4 2 2 3 3 6 3" xfId="6378" xr:uid="{EFC6CC19-3E0F-42E4-8681-B65C2A7DA715}"/>
    <cellStyle name="Normal 4 2 2 3 3 7" xfId="2928" xr:uid="{CFBFBDD7-14CE-41B6-93D7-31913A60E569}"/>
    <cellStyle name="Normal 4 2 2 3 3 7 2" xfId="6791" xr:uid="{2A9738BD-FB2D-4B2C-85B7-ECE3F690BAA8}"/>
    <cellStyle name="Normal 4 2 2 3 3 8" xfId="4726" xr:uid="{E23317F0-8193-4FBA-9046-4AB2460029F1}"/>
    <cellStyle name="Normal 4 2 2 3 4" xfId="349" xr:uid="{00000000-0005-0000-0000-00005B020000}"/>
    <cellStyle name="Normal 4 2 2 3 4 2" xfId="831" xr:uid="{00000000-0005-0000-0000-00005C020000}"/>
    <cellStyle name="Normal 4 2 2 3 4 2 2" xfId="1666" xr:uid="{37FD6E20-7DBA-41AB-BAAB-7BF3D9D88819}"/>
    <cellStyle name="Normal 4 2 2 3 4 2 2 2" xfId="7286" xr:uid="{DC8929A1-9D6F-450B-919B-21472E753390}"/>
    <cellStyle name="Normal 4 2 2 3 4 2 3" xfId="5141" xr:uid="{DF4B9CC3-8055-4AB1-8F20-70D363806340}"/>
    <cellStyle name="Normal 4 2 2 3 4 3" xfId="1250" xr:uid="{5725AD1C-7DAE-43DB-865C-9D15AB66472A}"/>
    <cellStyle name="Normal 4 2 2 3 4 3 2" xfId="3484" xr:uid="{48727CEA-C6EC-4FAE-9FB9-9EDF23ADF92C}"/>
    <cellStyle name="Normal 4 2 2 3 4 3 2 2" xfId="7699" xr:uid="{3E1512B5-B230-49E5-B255-5E6E57AED051}"/>
    <cellStyle name="Normal 4 2 2 3 4 3 3" xfId="5554" xr:uid="{CEFA5166-D6E7-4FB0-88C5-F74F4BC21332}"/>
    <cellStyle name="Normal 4 2 2 3 4 4" xfId="2081" xr:uid="{8E3EEAA0-286D-4798-942B-87EDDE210242}"/>
    <cellStyle name="Normal 4 2 2 3 4 4 2" xfId="3897" xr:uid="{DAF2AD43-B1A3-4DA1-8ED9-9C41C13C6388}"/>
    <cellStyle name="Normal 4 2 2 3 4 4 2 2" xfId="8112" xr:uid="{FB237275-176C-4576-9D4B-B57BF16B9DA3}"/>
    <cellStyle name="Normal 4 2 2 3 4 4 3" xfId="5967" xr:uid="{2C5721C4-785D-43A6-B9A4-533E033FE8BD}"/>
    <cellStyle name="Normal 4 2 2 3 4 5" xfId="2494" xr:uid="{E44D1966-D786-4E9A-B368-9840A00FCE0D}"/>
    <cellStyle name="Normal 4 2 2 3 4 5 2" xfId="4310" xr:uid="{7B837FDE-9745-4060-886F-132BFF590086}"/>
    <cellStyle name="Normal 4 2 2 3 4 5 2 2" xfId="8525" xr:uid="{57011217-9331-482A-8A41-C2C4A83DA630}"/>
    <cellStyle name="Normal 4 2 2 3 4 5 3" xfId="6380" xr:uid="{3641D895-F514-4AED-933D-422A645F95F3}"/>
    <cellStyle name="Normal 4 2 2 3 4 6" xfId="2930" xr:uid="{71D9FCE2-53AE-4636-BF3C-4EE1FCC1D647}"/>
    <cellStyle name="Normal 4 2 2 3 4 6 2" xfId="6793" xr:uid="{FABF63EB-BE1B-4CEC-9A1F-806C98A6AB3C}"/>
    <cellStyle name="Normal 4 2 2 3 4 7" xfId="4728" xr:uid="{0016D2D3-3BB2-46BF-8EEF-EB06826182FC}"/>
    <cellStyle name="Normal 4 2 2 3 5" xfId="824" xr:uid="{00000000-0005-0000-0000-00005D020000}"/>
    <cellStyle name="Normal 4 2 2 3 5 2" xfId="1659" xr:uid="{A3A787CC-72DA-453E-B992-180703E1EF96}"/>
    <cellStyle name="Normal 4 2 2 3 5 2 2" xfId="7279" xr:uid="{B17AB1C3-B0DD-4D21-813A-4AB5E4FD32C5}"/>
    <cellStyle name="Normal 4 2 2 3 5 3" xfId="5134" xr:uid="{10BF4659-5D09-49EC-BCEF-D8A3D8F022FF}"/>
    <cellStyle name="Normal 4 2 2 3 6" xfId="1243" xr:uid="{8756E7AD-1BD4-4AB7-91F6-D46E9C0D1B36}"/>
    <cellStyle name="Normal 4 2 2 3 6 2" xfId="3477" xr:uid="{F170F237-B8F9-4B98-AA08-74B616410207}"/>
    <cellStyle name="Normal 4 2 2 3 6 2 2" xfId="7692" xr:uid="{69A0B5D8-4F65-4EE0-A79A-0C5C95187431}"/>
    <cellStyle name="Normal 4 2 2 3 6 3" xfId="5547" xr:uid="{1370ADBC-9418-4299-B7B9-3BFD89C79874}"/>
    <cellStyle name="Normal 4 2 2 3 7" xfId="2074" xr:uid="{2237A912-8B74-40F3-8F28-F90EF5E1EA41}"/>
    <cellStyle name="Normal 4 2 2 3 7 2" xfId="3890" xr:uid="{82683BE3-9796-4830-B5D6-DA17894CF662}"/>
    <cellStyle name="Normal 4 2 2 3 7 2 2" xfId="8105" xr:uid="{84B108E5-126E-4706-B454-9158600A94C3}"/>
    <cellStyle name="Normal 4 2 2 3 7 3" xfId="5960" xr:uid="{B948446D-1825-41C8-94C8-CA8B8D01BAA2}"/>
    <cellStyle name="Normal 4 2 2 3 8" xfId="2487" xr:uid="{068FBD98-8B77-42A0-A970-62044304DE2E}"/>
    <cellStyle name="Normal 4 2 2 3 8 2" xfId="4303" xr:uid="{C4CF0D0B-A2D8-45A9-A698-877BE8ECE4CF}"/>
    <cellStyle name="Normal 4 2 2 3 8 2 2" xfId="8518" xr:uid="{1D89C828-9A16-4913-999B-F9E7DBFF7D44}"/>
    <cellStyle name="Normal 4 2 2 3 8 3" xfId="6373" xr:uid="{9A268D34-590B-4498-97A5-52602EEDA844}"/>
    <cellStyle name="Normal 4 2 2 3 9" xfId="2923" xr:uid="{E52BA1F2-DC87-4CEB-9E30-A0CAC22B04F2}"/>
    <cellStyle name="Normal 4 2 2 3 9 2" xfId="6786" xr:uid="{95D5E928-6D4F-4A7B-AD91-385018F87B69}"/>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69" xr:uid="{4AC40D3E-1982-4C64-9338-BBAC0104E7B9}"/>
    <cellStyle name="Normal 4 2 2 4 2 2 2 2 2" xfId="7289" xr:uid="{93BCBE37-5B3B-43B9-82E1-57B406F0CC21}"/>
    <cellStyle name="Normal 4 2 2 4 2 2 2 3" xfId="5144" xr:uid="{E8E9F63B-0E5F-4E86-98F6-8F38D4034702}"/>
    <cellStyle name="Normal 4 2 2 4 2 2 3" xfId="1253" xr:uid="{2E983C1F-43B3-4580-8FDA-4CBDB1C748C1}"/>
    <cellStyle name="Normal 4 2 2 4 2 2 3 2" xfId="3487" xr:uid="{20A0256C-12EE-4B8F-9B91-10C8E14DD6D7}"/>
    <cellStyle name="Normal 4 2 2 4 2 2 3 2 2" xfId="7702" xr:uid="{0604E5D5-0B6A-41DE-98FF-164824C3A86C}"/>
    <cellStyle name="Normal 4 2 2 4 2 2 3 3" xfId="5557" xr:uid="{F36740A1-1E6E-4A4A-96BF-0852AD91E1F1}"/>
    <cellStyle name="Normal 4 2 2 4 2 2 4" xfId="2084" xr:uid="{7B7A7B47-11E6-43E8-8566-B3B57B73D77F}"/>
    <cellStyle name="Normal 4 2 2 4 2 2 4 2" xfId="3900" xr:uid="{6F1FCDD9-A4B9-4831-A41E-B1ED7A8DCC9D}"/>
    <cellStyle name="Normal 4 2 2 4 2 2 4 2 2" xfId="8115" xr:uid="{F7807A10-F4DA-4D51-82C9-A71AF4778A1F}"/>
    <cellStyle name="Normal 4 2 2 4 2 2 4 3" xfId="5970" xr:uid="{56F96885-FBA0-4F3C-A7B5-112A1DCBF96D}"/>
    <cellStyle name="Normal 4 2 2 4 2 2 5" xfId="2497" xr:uid="{84E4EFEF-6787-4266-8219-B7241771CF57}"/>
    <cellStyle name="Normal 4 2 2 4 2 2 5 2" xfId="4313" xr:uid="{0D71C39B-3B11-47A2-A0C5-71074EB39E1D}"/>
    <cellStyle name="Normal 4 2 2 4 2 2 5 2 2" xfId="8528" xr:uid="{7D859C60-4D8A-41B5-BDA3-29E63BCD2B59}"/>
    <cellStyle name="Normal 4 2 2 4 2 2 5 3" xfId="6383" xr:uid="{DD804C88-D1B3-4288-A8F6-08D6A94BB4A1}"/>
    <cellStyle name="Normal 4 2 2 4 2 2 6" xfId="2933" xr:uid="{F072FD11-266E-433D-B3DC-9BFE75BBBB8C}"/>
    <cellStyle name="Normal 4 2 2 4 2 2 6 2" xfId="6796" xr:uid="{82A6EAF6-1B74-407A-ABB6-17F881841A97}"/>
    <cellStyle name="Normal 4 2 2 4 2 2 7" xfId="4731" xr:uid="{785370FD-5D5A-4933-8490-D289C190B7D7}"/>
    <cellStyle name="Normal 4 2 2 4 2 3" xfId="833" xr:uid="{00000000-0005-0000-0000-000062020000}"/>
    <cellStyle name="Normal 4 2 2 4 2 3 2" xfId="1668" xr:uid="{A11C0FD2-6A3D-4473-BD37-F746D5DD2C80}"/>
    <cellStyle name="Normal 4 2 2 4 2 3 2 2" xfId="7288" xr:uid="{802D9A20-4AB6-4AF9-92B4-D46CCAE5BB74}"/>
    <cellStyle name="Normal 4 2 2 4 2 3 3" xfId="5143" xr:uid="{6EE1F0BA-FD47-490E-9CEE-C99190CD7186}"/>
    <cellStyle name="Normal 4 2 2 4 2 4" xfId="1252" xr:uid="{5F4A315E-1E50-4166-B868-5949E4B094E7}"/>
    <cellStyle name="Normal 4 2 2 4 2 4 2" xfId="3486" xr:uid="{5456FB36-EC11-4A3B-9B34-D3F1A770D259}"/>
    <cellStyle name="Normal 4 2 2 4 2 4 2 2" xfId="7701" xr:uid="{57BA3CA1-691C-4A61-BB6A-9360F808ECC0}"/>
    <cellStyle name="Normal 4 2 2 4 2 4 3" xfId="5556" xr:uid="{49399E8F-859B-4258-890E-F36BA34E9C08}"/>
    <cellStyle name="Normal 4 2 2 4 2 5" xfId="2083" xr:uid="{981D36D8-9D40-4508-94D1-555E290EF4B6}"/>
    <cellStyle name="Normal 4 2 2 4 2 5 2" xfId="3899" xr:uid="{4EBA319C-330D-4DF3-AA81-8AB3294B7244}"/>
    <cellStyle name="Normal 4 2 2 4 2 5 2 2" xfId="8114" xr:uid="{389CF251-8E9A-4978-A1F0-F15AD4250BCA}"/>
    <cellStyle name="Normal 4 2 2 4 2 5 3" xfId="5969" xr:uid="{D7782B7F-20A8-4D73-B391-7E76F87D3DE3}"/>
    <cellStyle name="Normal 4 2 2 4 2 6" xfId="2496" xr:uid="{FC88BB98-8106-41D1-B8BB-1BECB45BB4B7}"/>
    <cellStyle name="Normal 4 2 2 4 2 6 2" xfId="4312" xr:uid="{3DCDEFB5-CD66-42AE-86C3-7E8A7AB6334B}"/>
    <cellStyle name="Normal 4 2 2 4 2 6 2 2" xfId="8527" xr:uid="{DA75F182-8834-4F4C-9057-89DAEB483839}"/>
    <cellStyle name="Normal 4 2 2 4 2 6 3" xfId="6382" xr:uid="{1AA49019-2B79-4AF3-A65A-2A545C95AF97}"/>
    <cellStyle name="Normal 4 2 2 4 2 7" xfId="2932" xr:uid="{B080E6D5-836B-4A81-A805-6F72549287B4}"/>
    <cellStyle name="Normal 4 2 2 4 2 7 2" xfId="6795" xr:uid="{DC8B5C85-B3B6-48FE-A3AD-4C9AD58B21C7}"/>
    <cellStyle name="Normal 4 2 2 4 2 8" xfId="4730" xr:uid="{BA78D704-3446-4A15-BD75-997FB73BEEAD}"/>
    <cellStyle name="Normal 4 2 2 4 3" xfId="353" xr:uid="{00000000-0005-0000-0000-000063020000}"/>
    <cellStyle name="Normal 4 2 2 4 3 2" xfId="835" xr:uid="{00000000-0005-0000-0000-000064020000}"/>
    <cellStyle name="Normal 4 2 2 4 3 2 2" xfId="1670" xr:uid="{1038DE6D-EE7A-4257-96B3-9BB140743851}"/>
    <cellStyle name="Normal 4 2 2 4 3 2 2 2" xfId="7290" xr:uid="{1FB09778-54E6-4B0D-AED0-46393D745ECB}"/>
    <cellStyle name="Normal 4 2 2 4 3 2 3" xfId="5145" xr:uid="{73EF86B4-99E7-4FDA-B09F-4B42B5C3CEF8}"/>
    <cellStyle name="Normal 4 2 2 4 3 3" xfId="1254" xr:uid="{C37922C3-5044-4212-9466-F7BB899B4E4A}"/>
    <cellStyle name="Normal 4 2 2 4 3 3 2" xfId="3488" xr:uid="{41438506-0DA3-4FCF-9808-CD0BB5901583}"/>
    <cellStyle name="Normal 4 2 2 4 3 3 2 2" xfId="7703" xr:uid="{29493C2C-5D5E-49D8-9FF6-FED5CA143369}"/>
    <cellStyle name="Normal 4 2 2 4 3 3 3" xfId="5558" xr:uid="{7A53D8D3-D716-489F-9988-4F4B0C433D1E}"/>
    <cellStyle name="Normal 4 2 2 4 3 4" xfId="2085" xr:uid="{6C1BB09A-0EA8-45EC-BB17-D6B5BD5A70B2}"/>
    <cellStyle name="Normal 4 2 2 4 3 4 2" xfId="3901" xr:uid="{94952252-B2C4-4832-A0A0-2F1952D2552B}"/>
    <cellStyle name="Normal 4 2 2 4 3 4 2 2" xfId="8116" xr:uid="{AB048550-5AC7-4280-9928-71B143C6C7F4}"/>
    <cellStyle name="Normal 4 2 2 4 3 4 3" xfId="5971" xr:uid="{17383EB3-49E1-4F40-B373-D85BE4B44302}"/>
    <cellStyle name="Normal 4 2 2 4 3 5" xfId="2498" xr:uid="{ADFBE00C-634C-4652-B0B6-B81F181F525E}"/>
    <cellStyle name="Normal 4 2 2 4 3 5 2" xfId="4314" xr:uid="{E421C443-5ACF-47B3-848F-2616FF200D56}"/>
    <cellStyle name="Normal 4 2 2 4 3 5 2 2" xfId="8529" xr:uid="{182EB204-AD18-4A5B-8B26-5B5353CDBCD4}"/>
    <cellStyle name="Normal 4 2 2 4 3 5 3" xfId="6384" xr:uid="{95CD0896-A6BC-4289-9AC7-B2B16F677087}"/>
    <cellStyle name="Normal 4 2 2 4 3 6" xfId="2934" xr:uid="{E8A783A4-7631-4E2B-8DFE-6321403D026F}"/>
    <cellStyle name="Normal 4 2 2 4 3 6 2" xfId="6797" xr:uid="{D9BCDE0B-3C04-41C0-A6B0-E2F871F8DC06}"/>
    <cellStyle name="Normal 4 2 2 4 3 7" xfId="4732" xr:uid="{B6542DC7-665E-4B61-B9AE-42CF18C2896C}"/>
    <cellStyle name="Normal 4 2 2 4 4" xfId="832" xr:uid="{00000000-0005-0000-0000-000065020000}"/>
    <cellStyle name="Normal 4 2 2 4 4 2" xfId="1667" xr:uid="{AF06330C-A398-42EA-824D-90C756CD7F14}"/>
    <cellStyle name="Normal 4 2 2 4 4 2 2" xfId="7287" xr:uid="{E7BAE079-8552-4B92-83BC-CC697C9CF434}"/>
    <cellStyle name="Normal 4 2 2 4 4 3" xfId="5142" xr:uid="{5DA3D631-AAC1-46FA-945D-3526C3D64278}"/>
    <cellStyle name="Normal 4 2 2 4 5" xfId="1251" xr:uid="{D6FCD59D-E85E-4F21-B736-2B97F02EDA73}"/>
    <cellStyle name="Normal 4 2 2 4 5 2" xfId="3485" xr:uid="{D741D567-4AAF-42E6-A8D3-1DB99A6A8413}"/>
    <cellStyle name="Normal 4 2 2 4 5 2 2" xfId="7700" xr:uid="{0030202A-5EED-422C-8A1F-8740B3CE197D}"/>
    <cellStyle name="Normal 4 2 2 4 5 3" xfId="5555" xr:uid="{4E8FABE5-339C-498C-96CF-BD779E14010F}"/>
    <cellStyle name="Normal 4 2 2 4 6" xfId="2082" xr:uid="{ABE2294E-909A-47E0-91C7-72A0A46B2BE3}"/>
    <cellStyle name="Normal 4 2 2 4 6 2" xfId="3898" xr:uid="{CB84C220-5EE9-435C-8AF6-0080C6FE46CC}"/>
    <cellStyle name="Normal 4 2 2 4 6 2 2" xfId="8113" xr:uid="{6283B692-A61D-4218-AA39-CE65F7A60E8B}"/>
    <cellStyle name="Normal 4 2 2 4 6 3" xfId="5968" xr:uid="{34EA5055-624A-444E-BA4D-D42ED061E92F}"/>
    <cellStyle name="Normal 4 2 2 4 7" xfId="2495" xr:uid="{A4AE332F-8D46-4B09-9AF5-B32BEDBBDB6D}"/>
    <cellStyle name="Normal 4 2 2 4 7 2" xfId="4311" xr:uid="{E788EE9D-1B22-4E30-8FA7-D6F1DBD70025}"/>
    <cellStyle name="Normal 4 2 2 4 7 2 2" xfId="8526" xr:uid="{8C419D2A-BC49-4441-80E4-1914B4B815D9}"/>
    <cellStyle name="Normal 4 2 2 4 7 3" xfId="6381" xr:uid="{822BCB34-E783-42F7-AD0B-B2C66A898829}"/>
    <cellStyle name="Normal 4 2 2 4 8" xfId="2931" xr:uid="{24C51362-18F7-43B5-9516-B005CF34AE59}"/>
    <cellStyle name="Normal 4 2 2 4 8 2" xfId="6794" xr:uid="{917D86B2-EA57-4702-B4EF-7940FFFFB9FE}"/>
    <cellStyle name="Normal 4 2 2 4 9" xfId="4729" xr:uid="{86C6BE27-EBDF-4908-962D-795E8DA56528}"/>
    <cellStyle name="Normal 4 2 2 5" xfId="354" xr:uid="{00000000-0005-0000-0000-000066020000}"/>
    <cellStyle name="Normal 4 2 2 5 2" xfId="355" xr:uid="{00000000-0005-0000-0000-000067020000}"/>
    <cellStyle name="Normal 4 2 2 5 2 2" xfId="837" xr:uid="{00000000-0005-0000-0000-000068020000}"/>
    <cellStyle name="Normal 4 2 2 5 2 2 2" xfId="1672" xr:uid="{E8C22C0C-5028-4D1F-9AA3-6AF21BA1B41C}"/>
    <cellStyle name="Normal 4 2 2 5 2 2 2 2" xfId="7292" xr:uid="{B4768D69-C647-40B3-ACFB-9F2EC8C776B5}"/>
    <cellStyle name="Normal 4 2 2 5 2 2 3" xfId="5147" xr:uid="{3F270CBA-DC12-4854-9BA2-9FCB03FD29EF}"/>
    <cellStyle name="Normal 4 2 2 5 2 3" xfId="1256" xr:uid="{9A97EBF1-A629-4AA1-83CA-797AE097B44E}"/>
    <cellStyle name="Normal 4 2 2 5 2 3 2" xfId="3490" xr:uid="{DB0FE2B0-B212-4807-A1EF-45D6883E0CA7}"/>
    <cellStyle name="Normal 4 2 2 5 2 3 2 2" xfId="7705" xr:uid="{7B5B5EDA-2BEC-4695-8A90-053B31CBA132}"/>
    <cellStyle name="Normal 4 2 2 5 2 3 3" xfId="5560" xr:uid="{42287B35-B15A-4B2E-AEFD-70202DB9D15C}"/>
    <cellStyle name="Normal 4 2 2 5 2 4" xfId="2087" xr:uid="{4416E130-4ED3-4681-88D7-62E524D5A052}"/>
    <cellStyle name="Normal 4 2 2 5 2 4 2" xfId="3903" xr:uid="{926FEC63-50FF-4A15-8AAA-025E6ED0E2B5}"/>
    <cellStyle name="Normal 4 2 2 5 2 4 2 2" xfId="8118" xr:uid="{E32E8334-9956-4823-9196-9B8F93DFE218}"/>
    <cellStyle name="Normal 4 2 2 5 2 4 3" xfId="5973" xr:uid="{95D2987A-EF1F-45E6-B4A8-1A47380C73C5}"/>
    <cellStyle name="Normal 4 2 2 5 2 5" xfId="2500" xr:uid="{5F9B4482-5DDF-4325-BE07-CBEFC3343771}"/>
    <cellStyle name="Normal 4 2 2 5 2 5 2" xfId="4316" xr:uid="{D8EBAE11-7B5A-4E3E-BA4F-0DA4B915E125}"/>
    <cellStyle name="Normal 4 2 2 5 2 5 2 2" xfId="8531" xr:uid="{6C2B9E77-EB80-4ECD-A74A-F8698AD554AB}"/>
    <cellStyle name="Normal 4 2 2 5 2 5 3" xfId="6386" xr:uid="{3D6E27E2-BE26-4CE2-B4CA-469C38DDA42F}"/>
    <cellStyle name="Normal 4 2 2 5 2 6" xfId="2936" xr:uid="{65EF6B07-7A07-4913-9050-FA94DFEE7A06}"/>
    <cellStyle name="Normal 4 2 2 5 2 6 2" xfId="6799" xr:uid="{1AEE14CC-E4BE-4063-9621-F21793010159}"/>
    <cellStyle name="Normal 4 2 2 5 2 7" xfId="4734" xr:uid="{CFA24B37-E283-484D-82E7-D2BDD567E4A3}"/>
    <cellStyle name="Normal 4 2 2 5 3" xfId="836" xr:uid="{00000000-0005-0000-0000-000069020000}"/>
    <cellStyle name="Normal 4 2 2 5 3 2" xfId="1671" xr:uid="{4AF175AB-BDA7-44B9-8D86-B7A9101EE4C6}"/>
    <cellStyle name="Normal 4 2 2 5 3 2 2" xfId="7291" xr:uid="{F38C7B01-72A5-4717-9437-F1AEF7A0B7F2}"/>
    <cellStyle name="Normal 4 2 2 5 3 3" xfId="5146" xr:uid="{ADB07453-1E19-403A-B04F-871206CDE269}"/>
    <cellStyle name="Normal 4 2 2 5 4" xfId="1255" xr:uid="{D8D56BCB-659A-4B27-9F3F-7D7DBF24B3D8}"/>
    <cellStyle name="Normal 4 2 2 5 4 2" xfId="3489" xr:uid="{C316F2FC-3EE1-4045-8B8E-F1663A06B37D}"/>
    <cellStyle name="Normal 4 2 2 5 4 2 2" xfId="7704" xr:uid="{8B13839B-FDF7-4B56-BF33-C2C05453DFFB}"/>
    <cellStyle name="Normal 4 2 2 5 4 3" xfId="5559" xr:uid="{E4F7A185-CFC8-477B-BD3A-CA6F7D2E6F90}"/>
    <cellStyle name="Normal 4 2 2 5 5" xfId="2086" xr:uid="{8DBE74AE-BB7D-4675-9103-91410BE1FA52}"/>
    <cellStyle name="Normal 4 2 2 5 5 2" xfId="3902" xr:uid="{520AC593-E81A-4006-B50C-6FD72B2C22FD}"/>
    <cellStyle name="Normal 4 2 2 5 5 2 2" xfId="8117" xr:uid="{05A16445-2AE5-4920-B35A-D02B92527FC1}"/>
    <cellStyle name="Normal 4 2 2 5 5 3" xfId="5972" xr:uid="{3BFBABE0-2C24-44CC-B0F0-22BFE5D21196}"/>
    <cellStyle name="Normal 4 2 2 5 6" xfId="2499" xr:uid="{60CE3506-69CD-44D2-A314-A6EF61BE9841}"/>
    <cellStyle name="Normal 4 2 2 5 6 2" xfId="4315" xr:uid="{2C4AABA4-E331-4439-9D1E-B5500AF3DE5C}"/>
    <cellStyle name="Normal 4 2 2 5 6 2 2" xfId="8530" xr:uid="{170416A6-0DAC-4DE1-8F86-AFB8F59C09FE}"/>
    <cellStyle name="Normal 4 2 2 5 6 3" xfId="6385" xr:uid="{0A84FC82-84E6-4053-BA26-4C311CBB0F10}"/>
    <cellStyle name="Normal 4 2 2 5 7" xfId="2935" xr:uid="{6081B452-7C3A-40FA-905F-A284F7BBC450}"/>
    <cellStyle name="Normal 4 2 2 5 7 2" xfId="6798" xr:uid="{A06CA469-6DEC-400B-85FB-C49DEDD67B02}"/>
    <cellStyle name="Normal 4 2 2 5 8" xfId="4733" xr:uid="{D6830433-688A-4577-AE4C-E59573254F31}"/>
    <cellStyle name="Normal 4 2 2 6" xfId="356" xr:uid="{00000000-0005-0000-0000-00006A020000}"/>
    <cellStyle name="Normal 4 2 2 6 2" xfId="838" xr:uid="{00000000-0005-0000-0000-00006B020000}"/>
    <cellStyle name="Normal 4 2 2 6 2 2" xfId="1673" xr:uid="{8E449C9F-2BBE-4DD2-B4A9-B9A9501060FF}"/>
    <cellStyle name="Normal 4 2 2 6 2 2 2" xfId="7293" xr:uid="{C5999919-DFAC-407D-9E76-919A45B513F3}"/>
    <cellStyle name="Normal 4 2 2 6 2 3" xfId="5148" xr:uid="{405787FB-4D0B-447E-B951-FFBF27BF7056}"/>
    <cellStyle name="Normal 4 2 2 6 3" xfId="1257" xr:uid="{36A3894A-BC60-4DA9-8AC0-7188D9D747E1}"/>
    <cellStyle name="Normal 4 2 2 6 3 2" xfId="3491" xr:uid="{4CE85E4C-9F80-41EB-AB42-04C5F6C2CAB6}"/>
    <cellStyle name="Normal 4 2 2 6 3 2 2" xfId="7706" xr:uid="{16E30105-EBA6-44A2-BFB1-FDCD5BF47E10}"/>
    <cellStyle name="Normal 4 2 2 6 3 3" xfId="5561" xr:uid="{519279AC-FA7F-4FD6-A07B-883226E807F7}"/>
    <cellStyle name="Normal 4 2 2 6 4" xfId="2088" xr:uid="{05DDCE40-55E4-440E-AD78-D24B5F6B0843}"/>
    <cellStyle name="Normal 4 2 2 6 4 2" xfId="3904" xr:uid="{F7CC8C17-BEE6-49BC-8236-6B16230B8D3C}"/>
    <cellStyle name="Normal 4 2 2 6 4 2 2" xfId="8119" xr:uid="{C7E44042-B1D6-46E7-BDF2-AAA98240B772}"/>
    <cellStyle name="Normal 4 2 2 6 4 3" xfId="5974" xr:uid="{B0B144DF-1793-4A33-AFCA-1D9AEB34AB8E}"/>
    <cellStyle name="Normal 4 2 2 6 5" xfId="2501" xr:uid="{038DFF9A-7B80-45A5-B741-DBB51EFF10CA}"/>
    <cellStyle name="Normal 4 2 2 6 5 2" xfId="4317" xr:uid="{B1EDEC35-4D03-40D1-90D8-A2789DD3E379}"/>
    <cellStyle name="Normal 4 2 2 6 5 2 2" xfId="8532" xr:uid="{E2CA24D4-1CA1-4688-B4C5-9B2BDFDF42B0}"/>
    <cellStyle name="Normal 4 2 2 6 5 3" xfId="6387" xr:uid="{5F6965CD-15E0-46DE-9DE9-B32F715D5D21}"/>
    <cellStyle name="Normal 4 2 2 6 6" xfId="2937" xr:uid="{6545B687-2C1D-4BFD-B7F2-38A494CD9216}"/>
    <cellStyle name="Normal 4 2 2 6 6 2" xfId="6800" xr:uid="{BC2D3664-9DCE-4C65-B70B-E1BFEBD5758A}"/>
    <cellStyle name="Normal 4 2 2 6 7" xfId="4735" xr:uid="{BE5BFD04-5935-4E4E-865F-1E9B90913F71}"/>
    <cellStyle name="Normal 4 2 2 7" xfId="823" xr:uid="{00000000-0005-0000-0000-00006C020000}"/>
    <cellStyle name="Normal 4 2 2 7 2" xfId="1658" xr:uid="{B5863CCB-5A1A-4BAD-B07B-3D3D5FB8FFCB}"/>
    <cellStyle name="Normal 4 2 2 7 2 2" xfId="7278" xr:uid="{67639BAD-7F4E-458A-BB31-115A911FC0AD}"/>
    <cellStyle name="Normal 4 2 2 7 3" xfId="5133" xr:uid="{CF261F2E-8434-43F0-991B-3315984CE869}"/>
    <cellStyle name="Normal 4 2 2 8" xfId="1242" xr:uid="{6EAF2DDA-4779-4D70-A48C-7522A2227F80}"/>
    <cellStyle name="Normal 4 2 2 8 2" xfId="3476" xr:uid="{07160F1A-B5CA-4D9B-94DB-54D41496E52F}"/>
    <cellStyle name="Normal 4 2 2 8 2 2" xfId="7691" xr:uid="{3F39B7AA-2D81-4BD7-80F1-734B655E2B8D}"/>
    <cellStyle name="Normal 4 2 2 8 3" xfId="5546" xr:uid="{9B72A8CB-09CD-4094-998D-1A5913DA4E0B}"/>
    <cellStyle name="Normal 4 2 2 9" xfId="2073" xr:uid="{29B6EC97-716E-414F-B80E-D1FFEF05A3F5}"/>
    <cellStyle name="Normal 4 2 2 9 2" xfId="3889" xr:uid="{D2C7D3B8-0EBF-42C8-93B7-2AAA26FC011B}"/>
    <cellStyle name="Normal 4 2 2 9 2 2" xfId="8104" xr:uid="{D43CBAA2-BD8B-41EE-9DD6-F569454D2A83}"/>
    <cellStyle name="Normal 4 2 2 9 3" xfId="5959" xr:uid="{67E57748-D522-49D4-B263-AC9B28590294}"/>
    <cellStyle name="Normal 4 2 3" xfId="357" xr:uid="{00000000-0005-0000-0000-00006D020000}"/>
    <cellStyle name="Normal 4 2 4" xfId="358" xr:uid="{00000000-0005-0000-0000-00006E020000}"/>
    <cellStyle name="Normal 4 2 4 10" xfId="4736" xr:uid="{7F04E4C5-325A-4C55-9A88-70802003629E}"/>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7" xr:uid="{B0BAE39B-F243-4016-881D-A3516EFA6D25}"/>
    <cellStyle name="Normal 4 2 4 2 2 2 2 2 2" xfId="7297" xr:uid="{F1952AD2-83F3-4BE8-9A0D-3665FBB62A39}"/>
    <cellStyle name="Normal 4 2 4 2 2 2 2 3" xfId="5152" xr:uid="{C61485B3-EE0F-451E-A90D-73FA6464D03B}"/>
    <cellStyle name="Normal 4 2 4 2 2 2 3" xfId="1261" xr:uid="{3050A7E4-8363-414E-A3AF-0F3B7042E59D}"/>
    <cellStyle name="Normal 4 2 4 2 2 2 3 2" xfId="3495" xr:uid="{96819DE1-AEA0-4212-B6A8-6ECFD10B3D9F}"/>
    <cellStyle name="Normal 4 2 4 2 2 2 3 2 2" xfId="7710" xr:uid="{A7BFBFF8-DCDB-4C05-836F-527F20ABB82D}"/>
    <cellStyle name="Normal 4 2 4 2 2 2 3 3" xfId="5565" xr:uid="{BBFE43FF-6790-411F-8DD8-35FA712D7C4D}"/>
    <cellStyle name="Normal 4 2 4 2 2 2 4" xfId="2092" xr:uid="{82505201-C1C9-4951-9BD6-0A539C1A307E}"/>
    <cellStyle name="Normal 4 2 4 2 2 2 4 2" xfId="3908" xr:uid="{EF8C205A-337D-4A22-B820-5B1F22F848CA}"/>
    <cellStyle name="Normal 4 2 4 2 2 2 4 2 2" xfId="8123" xr:uid="{22760E6C-BEA8-4230-B030-A3C05ED3C6AA}"/>
    <cellStyle name="Normal 4 2 4 2 2 2 4 3" xfId="5978" xr:uid="{D58DC49A-5514-4072-A6EF-A727E0A75849}"/>
    <cellStyle name="Normal 4 2 4 2 2 2 5" xfId="2505" xr:uid="{E116A765-BE21-46B4-8DAD-F15BBA9F1228}"/>
    <cellStyle name="Normal 4 2 4 2 2 2 5 2" xfId="4321" xr:uid="{F2CD8E50-10E2-4243-AFEC-F4C65AB38D39}"/>
    <cellStyle name="Normal 4 2 4 2 2 2 5 2 2" xfId="8536" xr:uid="{50B87BAC-E577-4AF1-99A5-65C5E4EB9EC6}"/>
    <cellStyle name="Normal 4 2 4 2 2 2 5 3" xfId="6391" xr:uid="{487EF06E-FD67-4761-B29F-5362A2799481}"/>
    <cellStyle name="Normal 4 2 4 2 2 2 6" xfId="2941" xr:uid="{03233370-AADD-40BD-A4BC-2C9455F7432C}"/>
    <cellStyle name="Normal 4 2 4 2 2 2 6 2" xfId="6804" xr:uid="{99F9CE98-72E4-43BA-A4C8-235186752324}"/>
    <cellStyle name="Normal 4 2 4 2 2 2 7" xfId="4739" xr:uid="{776737E5-254A-4357-AA61-F892C8E1E492}"/>
    <cellStyle name="Normal 4 2 4 2 2 3" xfId="841" xr:uid="{00000000-0005-0000-0000-000073020000}"/>
    <cellStyle name="Normal 4 2 4 2 2 3 2" xfId="1676" xr:uid="{19E1B728-EA40-4A3D-96E3-647C452CED0C}"/>
    <cellStyle name="Normal 4 2 4 2 2 3 2 2" xfId="7296" xr:uid="{1E6BDE67-515B-4F12-A47F-E729F936E18C}"/>
    <cellStyle name="Normal 4 2 4 2 2 3 3" xfId="5151" xr:uid="{6B786D3E-C78E-4617-A96B-94D0273B7351}"/>
    <cellStyle name="Normal 4 2 4 2 2 4" xfId="1260" xr:uid="{BF61EF0C-F4D9-4895-B1CA-5A9F02D4D2FB}"/>
    <cellStyle name="Normal 4 2 4 2 2 4 2" xfId="3494" xr:uid="{19F79C56-05A9-416D-B146-96C9ED4A0F08}"/>
    <cellStyle name="Normal 4 2 4 2 2 4 2 2" xfId="7709" xr:uid="{DFF97AA7-AC50-4E61-B171-C143D99CCCB5}"/>
    <cellStyle name="Normal 4 2 4 2 2 4 3" xfId="5564" xr:uid="{8A5F2A10-8E11-479A-B892-31482928438E}"/>
    <cellStyle name="Normal 4 2 4 2 2 5" xfId="2091" xr:uid="{037DFB11-37E1-44A0-BB0E-2E077C3B595E}"/>
    <cellStyle name="Normal 4 2 4 2 2 5 2" xfId="3907" xr:uid="{BB3E00A5-5B36-4321-B613-E32B95C9D5F3}"/>
    <cellStyle name="Normal 4 2 4 2 2 5 2 2" xfId="8122" xr:uid="{B1457220-CD0A-4346-8D6C-F21FEC8FF1F0}"/>
    <cellStyle name="Normal 4 2 4 2 2 5 3" xfId="5977" xr:uid="{C35CE59A-3EAF-408E-9625-FAA6D1EF2868}"/>
    <cellStyle name="Normal 4 2 4 2 2 6" xfId="2504" xr:uid="{AE3D2C59-F8D8-464E-8C41-CDB31FB19F50}"/>
    <cellStyle name="Normal 4 2 4 2 2 6 2" xfId="4320" xr:uid="{6A908981-886A-4160-8823-4A55E73471D9}"/>
    <cellStyle name="Normal 4 2 4 2 2 6 2 2" xfId="8535" xr:uid="{28631C19-8E75-4E9F-A4B5-C27E31A0B9B5}"/>
    <cellStyle name="Normal 4 2 4 2 2 6 3" xfId="6390" xr:uid="{2969A8E3-4A40-4A1F-9593-4C8E64F8EDEF}"/>
    <cellStyle name="Normal 4 2 4 2 2 7" xfId="2940" xr:uid="{9DE0D731-5821-49F6-9098-60372C009032}"/>
    <cellStyle name="Normal 4 2 4 2 2 7 2" xfId="6803" xr:uid="{6C0773E5-A00C-45F8-A17A-6DEC4035AB2B}"/>
    <cellStyle name="Normal 4 2 4 2 2 8" xfId="4738" xr:uid="{33E9D328-4590-47BD-B1C1-16EEF1FBF9FA}"/>
    <cellStyle name="Normal 4 2 4 2 3" xfId="362" xr:uid="{00000000-0005-0000-0000-000074020000}"/>
    <cellStyle name="Normal 4 2 4 2 3 2" xfId="843" xr:uid="{00000000-0005-0000-0000-000075020000}"/>
    <cellStyle name="Normal 4 2 4 2 3 2 2" xfId="1678" xr:uid="{6F345118-59C1-4ECE-B9E8-443F21668F75}"/>
    <cellStyle name="Normal 4 2 4 2 3 2 2 2" xfId="7298" xr:uid="{8768C093-4BC3-453D-9578-6565E0BD8CCF}"/>
    <cellStyle name="Normal 4 2 4 2 3 2 3" xfId="5153" xr:uid="{B9269331-473E-4934-9135-C2D15CC870AB}"/>
    <cellStyle name="Normal 4 2 4 2 3 3" xfId="1262" xr:uid="{BD0D69B5-E753-4128-B9C7-A92DB7AD62E3}"/>
    <cellStyle name="Normal 4 2 4 2 3 3 2" xfId="3496" xr:uid="{F8A219F3-2765-42D0-9B5B-616B43140759}"/>
    <cellStyle name="Normal 4 2 4 2 3 3 2 2" xfId="7711" xr:uid="{7FAAFE62-87EC-4C53-A0C3-7256F1F78743}"/>
    <cellStyle name="Normal 4 2 4 2 3 3 3" xfId="5566" xr:uid="{56E29F7C-F512-4C06-AF4D-9E31C834897E}"/>
    <cellStyle name="Normal 4 2 4 2 3 4" xfId="2093" xr:uid="{BE36010A-4743-4F54-8DFF-AFEB1E34A5C2}"/>
    <cellStyle name="Normal 4 2 4 2 3 4 2" xfId="3909" xr:uid="{CA00F108-2446-4BF1-B581-A9D54E40FC09}"/>
    <cellStyle name="Normal 4 2 4 2 3 4 2 2" xfId="8124" xr:uid="{D7D1E36F-3175-4B42-B560-02295FAFAAA4}"/>
    <cellStyle name="Normal 4 2 4 2 3 4 3" xfId="5979" xr:uid="{70E3B2E5-EBAB-4A36-AFE5-054F7951BECA}"/>
    <cellStyle name="Normal 4 2 4 2 3 5" xfId="2506" xr:uid="{FA7C0E2A-51E1-4AF5-AE56-FD6289F6BB6C}"/>
    <cellStyle name="Normal 4 2 4 2 3 5 2" xfId="4322" xr:uid="{84313383-523F-4EC8-B2ED-1F221DB3A317}"/>
    <cellStyle name="Normal 4 2 4 2 3 5 2 2" xfId="8537" xr:uid="{D32EC636-FC79-44F4-A47A-CEFBFA0DB360}"/>
    <cellStyle name="Normal 4 2 4 2 3 5 3" xfId="6392" xr:uid="{46D03E19-A829-4951-8D59-355FDACC1ECD}"/>
    <cellStyle name="Normal 4 2 4 2 3 6" xfId="2942" xr:uid="{FB552038-8B39-4941-8B1F-E08BF56A0A10}"/>
    <cellStyle name="Normal 4 2 4 2 3 6 2" xfId="6805" xr:uid="{CE2251F0-D0DA-495E-A8F4-AAC8DB86736C}"/>
    <cellStyle name="Normal 4 2 4 2 3 7" xfId="4740" xr:uid="{8E8F2DD1-2F21-4F4E-B247-11D3A23E7177}"/>
    <cellStyle name="Normal 4 2 4 2 4" xfId="840" xr:uid="{00000000-0005-0000-0000-000076020000}"/>
    <cellStyle name="Normal 4 2 4 2 4 2" xfId="1675" xr:uid="{485AE435-2440-44EF-990A-E5E2C57653AB}"/>
    <cellStyle name="Normal 4 2 4 2 4 2 2" xfId="7295" xr:uid="{C3A79E4B-1704-48FC-BF8C-67D9FB35DD84}"/>
    <cellStyle name="Normal 4 2 4 2 4 3" xfId="5150" xr:uid="{6537ED79-06C7-4932-9FBB-7661064A530E}"/>
    <cellStyle name="Normal 4 2 4 2 5" xfId="1259" xr:uid="{64AED33E-F66E-4E1B-A4B5-0DC0187112E1}"/>
    <cellStyle name="Normal 4 2 4 2 5 2" xfId="3493" xr:uid="{1D5BE994-F230-4716-A3C0-E9F32A6580F0}"/>
    <cellStyle name="Normal 4 2 4 2 5 2 2" xfId="7708" xr:uid="{CEDE89CB-60C4-4869-88F7-37457B8A669D}"/>
    <cellStyle name="Normal 4 2 4 2 5 3" xfId="5563" xr:uid="{E979EEF2-5231-419E-9AE9-22D17EDB86DD}"/>
    <cellStyle name="Normal 4 2 4 2 6" xfId="2090" xr:uid="{DCD52DB5-244C-4FB0-A689-A41845FBE438}"/>
    <cellStyle name="Normal 4 2 4 2 6 2" xfId="3906" xr:uid="{E9CDC908-7DD7-462E-A386-74F7EB0A57E7}"/>
    <cellStyle name="Normal 4 2 4 2 6 2 2" xfId="8121" xr:uid="{F349D13C-DD72-4811-8A97-F5379227CA24}"/>
    <cellStyle name="Normal 4 2 4 2 6 3" xfId="5976" xr:uid="{DD2A1DAD-495E-465A-A235-8759D4C40400}"/>
    <cellStyle name="Normal 4 2 4 2 7" xfId="2503" xr:uid="{9422D88F-B1EE-4A27-B61B-16BFFF2BF514}"/>
    <cellStyle name="Normal 4 2 4 2 7 2" xfId="4319" xr:uid="{C7F7F68A-C8C5-41D5-8A7F-8EE09B86C2A6}"/>
    <cellStyle name="Normal 4 2 4 2 7 2 2" xfId="8534" xr:uid="{8D767750-7DAC-48C9-BE61-1B142CE3DCE5}"/>
    <cellStyle name="Normal 4 2 4 2 7 3" xfId="6389" xr:uid="{F53E79D6-A645-4977-AEC2-C2824FFF9F42}"/>
    <cellStyle name="Normal 4 2 4 2 8" xfId="2939" xr:uid="{8EDE715B-BE3B-4DB1-B456-E9C2083801D4}"/>
    <cellStyle name="Normal 4 2 4 2 8 2" xfId="6802" xr:uid="{926088DE-A6AF-4491-B877-CFFCA44D7524}"/>
    <cellStyle name="Normal 4 2 4 2 9" xfId="4737" xr:uid="{891F1207-C012-40F2-93B6-BEACC29A3654}"/>
    <cellStyle name="Normal 4 2 4 3" xfId="363" xr:uid="{00000000-0005-0000-0000-000077020000}"/>
    <cellStyle name="Normal 4 2 4 3 2" xfId="364" xr:uid="{00000000-0005-0000-0000-000078020000}"/>
    <cellStyle name="Normal 4 2 4 3 2 2" xfId="845" xr:uid="{00000000-0005-0000-0000-000079020000}"/>
    <cellStyle name="Normal 4 2 4 3 2 2 2" xfId="1680" xr:uid="{74AE3FB8-3735-4782-A20A-6FC177AA6CE2}"/>
    <cellStyle name="Normal 4 2 4 3 2 2 2 2" xfId="7300" xr:uid="{C37D553F-3A0A-408D-A857-0DDC28C0FEC4}"/>
    <cellStyle name="Normal 4 2 4 3 2 2 3" xfId="5155" xr:uid="{4ACFF40F-D708-4130-826B-343C9D96E306}"/>
    <cellStyle name="Normal 4 2 4 3 2 3" xfId="1264" xr:uid="{5B87BFD4-4FD1-41C4-BA92-555785D40F8C}"/>
    <cellStyle name="Normal 4 2 4 3 2 3 2" xfId="3498" xr:uid="{00C64C16-F393-4903-A359-EE49A870BCF8}"/>
    <cellStyle name="Normal 4 2 4 3 2 3 2 2" xfId="7713" xr:uid="{65EA74CC-9EB1-4745-8F45-8146F19C5E6A}"/>
    <cellStyle name="Normal 4 2 4 3 2 3 3" xfId="5568" xr:uid="{94C24F78-2D7C-47B4-8F19-C6A7524A0C77}"/>
    <cellStyle name="Normal 4 2 4 3 2 4" xfId="2095" xr:uid="{0F8DB251-5D09-464B-8ECB-6CC79B005CCC}"/>
    <cellStyle name="Normal 4 2 4 3 2 4 2" xfId="3911" xr:uid="{B903D315-8E6F-4D51-8C30-29930E1C6176}"/>
    <cellStyle name="Normal 4 2 4 3 2 4 2 2" xfId="8126" xr:uid="{585FD14E-4A12-4C00-816F-162237947132}"/>
    <cellStyle name="Normal 4 2 4 3 2 4 3" xfId="5981" xr:uid="{CA07B2C6-BE26-4C1D-A581-5F46267A11FB}"/>
    <cellStyle name="Normal 4 2 4 3 2 5" xfId="2508" xr:uid="{D0A340EC-F26E-4E7D-BCC7-AC2ADF1E3437}"/>
    <cellStyle name="Normal 4 2 4 3 2 5 2" xfId="4324" xr:uid="{B5C1F957-1799-4F8E-B113-A3355FFD1ADF}"/>
    <cellStyle name="Normal 4 2 4 3 2 5 2 2" xfId="8539" xr:uid="{61D650CF-E08A-45C7-B8E6-6B399FE833AA}"/>
    <cellStyle name="Normal 4 2 4 3 2 5 3" xfId="6394" xr:uid="{D185E0D1-2E44-49F4-B066-A5035F6A3B58}"/>
    <cellStyle name="Normal 4 2 4 3 2 6" xfId="2944" xr:uid="{9DA83C76-C3DA-4983-BB98-DBD0EB300B1F}"/>
    <cellStyle name="Normal 4 2 4 3 2 6 2" xfId="6807" xr:uid="{438EF502-38A3-4556-AA99-D54651379067}"/>
    <cellStyle name="Normal 4 2 4 3 2 7" xfId="4742" xr:uid="{A8067077-CB1D-478D-8E24-5B6F5CFECE83}"/>
    <cellStyle name="Normal 4 2 4 3 3" xfId="844" xr:uid="{00000000-0005-0000-0000-00007A020000}"/>
    <cellStyle name="Normal 4 2 4 3 3 2" xfId="1679" xr:uid="{EDE5AAE6-A765-4B86-8EEE-FCF3C8F26D73}"/>
    <cellStyle name="Normal 4 2 4 3 3 2 2" xfId="7299" xr:uid="{01EE9F4F-4BD3-4C16-AC7B-4776F7B4F1C4}"/>
    <cellStyle name="Normal 4 2 4 3 3 3" xfId="5154" xr:uid="{F8BD8D30-8894-4F1A-8829-0797E4746098}"/>
    <cellStyle name="Normal 4 2 4 3 4" xfId="1263" xr:uid="{0DABE04F-8CAA-4C9A-8EE3-6F7D4016BAF9}"/>
    <cellStyle name="Normal 4 2 4 3 4 2" xfId="3497" xr:uid="{30722887-A257-479C-9ADB-BCF467BCCFC7}"/>
    <cellStyle name="Normal 4 2 4 3 4 2 2" xfId="7712" xr:uid="{F6021668-C8F9-4DFF-A5BE-D655D2765326}"/>
    <cellStyle name="Normal 4 2 4 3 4 3" xfId="5567" xr:uid="{491D9B07-3044-48B6-9624-18C5998FDF6A}"/>
    <cellStyle name="Normal 4 2 4 3 5" xfId="2094" xr:uid="{3A3148FD-43C6-467C-8FEA-5DE10429CD7C}"/>
    <cellStyle name="Normal 4 2 4 3 5 2" xfId="3910" xr:uid="{8D1798F7-53E1-4EBC-AB99-DA5EBBAC15E1}"/>
    <cellStyle name="Normal 4 2 4 3 5 2 2" xfId="8125" xr:uid="{FF8F5163-AA49-42C3-920A-66D6DE2BBB09}"/>
    <cellStyle name="Normal 4 2 4 3 5 3" xfId="5980" xr:uid="{339C2EED-3BE3-497E-A9BA-BBB379893075}"/>
    <cellStyle name="Normal 4 2 4 3 6" xfId="2507" xr:uid="{8D995763-8526-4861-BA33-C941107B1242}"/>
    <cellStyle name="Normal 4 2 4 3 6 2" xfId="4323" xr:uid="{61F99107-4922-4507-98A7-D39CBCC9D4D2}"/>
    <cellStyle name="Normal 4 2 4 3 6 2 2" xfId="8538" xr:uid="{3875C986-9D43-4D7B-8240-2E2C8CD7B195}"/>
    <cellStyle name="Normal 4 2 4 3 6 3" xfId="6393" xr:uid="{89EA66A4-597C-4FA7-89F2-4D4843E2F619}"/>
    <cellStyle name="Normal 4 2 4 3 7" xfId="2943" xr:uid="{4CBF4A3D-2BA6-48BA-A83E-E736376C7A6F}"/>
    <cellStyle name="Normal 4 2 4 3 7 2" xfId="6806" xr:uid="{773502FE-A78D-47DF-8D54-9C20C313960F}"/>
    <cellStyle name="Normal 4 2 4 3 8" xfId="4741" xr:uid="{F01326A3-89DB-4E4B-B89F-B530EC629B09}"/>
    <cellStyle name="Normal 4 2 4 4" xfId="365" xr:uid="{00000000-0005-0000-0000-00007B020000}"/>
    <cellStyle name="Normal 4 2 4 4 2" xfId="846" xr:uid="{00000000-0005-0000-0000-00007C020000}"/>
    <cellStyle name="Normal 4 2 4 4 2 2" xfId="1681" xr:uid="{4DF41C31-584C-4F9B-888E-7B1F2D19687A}"/>
    <cellStyle name="Normal 4 2 4 4 2 2 2" xfId="7301" xr:uid="{9670BF7A-90D9-48E3-927E-C2A9EF035657}"/>
    <cellStyle name="Normal 4 2 4 4 2 3" xfId="5156" xr:uid="{6E14ECFF-DEE4-41F9-9ADD-108C74253A2B}"/>
    <cellStyle name="Normal 4 2 4 4 3" xfId="1265" xr:uid="{E02649FB-26C8-4EE0-924F-BEBED1F9CDFC}"/>
    <cellStyle name="Normal 4 2 4 4 3 2" xfId="3499" xr:uid="{7D942DBF-5987-47EE-96C0-0B1F46CA07D3}"/>
    <cellStyle name="Normal 4 2 4 4 3 2 2" xfId="7714" xr:uid="{168B3816-5238-46CC-A931-3F2B23706615}"/>
    <cellStyle name="Normal 4 2 4 4 3 3" xfId="5569" xr:uid="{53662536-EB0B-4930-84BA-0F54FA533BAD}"/>
    <cellStyle name="Normal 4 2 4 4 4" xfId="2096" xr:uid="{F189FAF0-9A8B-4732-BB4B-97A1D74A9A41}"/>
    <cellStyle name="Normal 4 2 4 4 4 2" xfId="3912" xr:uid="{D13E5E38-E651-4E1A-A586-670365B9C501}"/>
    <cellStyle name="Normal 4 2 4 4 4 2 2" xfId="8127" xr:uid="{17710D37-48F2-4247-AFD6-125C97B7F891}"/>
    <cellStyle name="Normal 4 2 4 4 4 3" xfId="5982" xr:uid="{2650E9F3-FA43-49E5-AF96-F587E45D6C98}"/>
    <cellStyle name="Normal 4 2 4 4 5" xfId="2509" xr:uid="{486123BD-0649-46F3-8182-18F232B81BB6}"/>
    <cellStyle name="Normal 4 2 4 4 5 2" xfId="4325" xr:uid="{29AA8E05-1331-40FC-B083-97085301ACF8}"/>
    <cellStyle name="Normal 4 2 4 4 5 2 2" xfId="8540" xr:uid="{FBCF4F88-DC72-499B-BE89-7D6B45EF4D87}"/>
    <cellStyle name="Normal 4 2 4 4 5 3" xfId="6395" xr:uid="{868A1B78-4B13-4DE9-90D6-797C1EE717F5}"/>
    <cellStyle name="Normal 4 2 4 4 6" xfId="2945" xr:uid="{0EFE806B-F70E-4434-A29E-987B88AF7174}"/>
    <cellStyle name="Normal 4 2 4 4 6 2" xfId="6808" xr:uid="{FFA8B55C-BF7B-4FFF-BC2C-5C64F8EA086E}"/>
    <cellStyle name="Normal 4 2 4 4 7" xfId="4743" xr:uid="{31B79A12-918D-4F02-98EF-092EF84C8FE1}"/>
    <cellStyle name="Normal 4 2 4 5" xfId="839" xr:uid="{00000000-0005-0000-0000-00007D020000}"/>
    <cellStyle name="Normal 4 2 4 5 2" xfId="1674" xr:uid="{8F23663D-C029-437D-B6A9-67F2588174DB}"/>
    <cellStyle name="Normal 4 2 4 5 2 2" xfId="7294" xr:uid="{75E3E789-7A78-4368-B645-806AB998A75D}"/>
    <cellStyle name="Normal 4 2 4 5 3" xfId="5149" xr:uid="{FCA1A557-E5E0-48C9-BDDD-0B2F8A0EEBDC}"/>
    <cellStyle name="Normal 4 2 4 6" xfId="1258" xr:uid="{5A204F38-DE2C-4792-A930-336B4B17DF67}"/>
    <cellStyle name="Normal 4 2 4 6 2" xfId="3492" xr:uid="{A4CC7A3E-D66F-40F1-8308-8880B2505267}"/>
    <cellStyle name="Normal 4 2 4 6 2 2" xfId="7707" xr:uid="{BC736046-60E9-4818-9413-BBDA40F22DB5}"/>
    <cellStyle name="Normal 4 2 4 6 3" xfId="5562" xr:uid="{5EC239B4-9FC4-4DF3-8291-7FC4413B2728}"/>
    <cellStyle name="Normal 4 2 4 7" xfId="2089" xr:uid="{E0E88300-A685-4E61-9CA1-C8EF7F6062E6}"/>
    <cellStyle name="Normal 4 2 4 7 2" xfId="3905" xr:uid="{125AE077-0664-43A4-A1C3-C9A26490870B}"/>
    <cellStyle name="Normal 4 2 4 7 2 2" xfId="8120" xr:uid="{DC63BCCD-E1A4-4B16-8EA9-6225D270634B}"/>
    <cellStyle name="Normal 4 2 4 7 3" xfId="5975" xr:uid="{9C6FB0CD-4FA2-4165-B8B5-F44219662ED5}"/>
    <cellStyle name="Normal 4 2 4 8" xfId="2502" xr:uid="{751ACB1E-269F-40CF-9DCE-447238BEEEE9}"/>
    <cellStyle name="Normal 4 2 4 8 2" xfId="4318" xr:uid="{93DCB317-378A-495F-B8A0-72E4AB1BC492}"/>
    <cellStyle name="Normal 4 2 4 8 2 2" xfId="8533" xr:uid="{FEEA0378-3559-4C7B-A952-5ED7B98E7FC6}"/>
    <cellStyle name="Normal 4 2 4 8 3" xfId="6388" xr:uid="{B15FCBC8-8479-4209-933E-BF035D21355A}"/>
    <cellStyle name="Normal 4 2 4 9" xfId="2938" xr:uid="{03E8024A-5C9E-4C6A-8A97-F499B838ACBC}"/>
    <cellStyle name="Normal 4 2 4 9 2" xfId="6801" xr:uid="{2A13A54A-DADA-4C14-80DD-4C2E78D63819}"/>
    <cellStyle name="Normal 4 2 5" xfId="366" xr:uid="{00000000-0005-0000-0000-00007E020000}"/>
    <cellStyle name="Normal 4 2 5 2" xfId="367" xr:uid="{00000000-0005-0000-0000-00007F020000}"/>
    <cellStyle name="Normal 4 2 5 2 2" xfId="848" xr:uid="{00000000-0005-0000-0000-000080020000}"/>
    <cellStyle name="Normal 4 2 5 2 2 2" xfId="1683" xr:uid="{1698A960-4722-434E-A183-89BF498C01C3}"/>
    <cellStyle name="Normal 4 2 5 2 2 2 2" xfId="7303" xr:uid="{17CEBDDE-9337-4E5E-9485-25988FD0A255}"/>
    <cellStyle name="Normal 4 2 5 2 2 3" xfId="5158" xr:uid="{B3C6375C-8D09-4C52-9CEA-31D1956505A3}"/>
    <cellStyle name="Normal 4 2 5 2 3" xfId="1267" xr:uid="{F6F1A7FA-8C0D-4709-AF21-EF9A3A6837E4}"/>
    <cellStyle name="Normal 4 2 5 2 3 2" xfId="3501" xr:uid="{BE3E6659-13E2-48E9-9769-E92CAB56F7A4}"/>
    <cellStyle name="Normal 4 2 5 2 3 2 2" xfId="7716" xr:uid="{98975412-0308-45D3-96B1-BBA295A3CEFA}"/>
    <cellStyle name="Normal 4 2 5 2 3 3" xfId="5571" xr:uid="{1230AC12-B8E4-4EFF-83FD-40DED8335AF3}"/>
    <cellStyle name="Normal 4 2 5 2 4" xfId="2098" xr:uid="{62E4FDDD-9A7B-4666-B134-1365F5F1ECBA}"/>
    <cellStyle name="Normal 4 2 5 2 4 2" xfId="3914" xr:uid="{07E08289-4076-4F72-98C3-E7385741A3B6}"/>
    <cellStyle name="Normal 4 2 5 2 4 2 2" xfId="8129" xr:uid="{4AFA983F-662D-42B2-80EA-33DA38E5514E}"/>
    <cellStyle name="Normal 4 2 5 2 4 3" xfId="5984" xr:uid="{80EFFC4C-40BB-4DD6-8107-2A1111793574}"/>
    <cellStyle name="Normal 4 2 5 2 5" xfId="2511" xr:uid="{0519F1D8-0B9A-4094-A30A-1F33CD0438A0}"/>
    <cellStyle name="Normal 4 2 5 2 5 2" xfId="4327" xr:uid="{FE003560-3192-4E3E-8AB4-48C70C879103}"/>
    <cellStyle name="Normal 4 2 5 2 5 2 2" xfId="8542" xr:uid="{CFC4EF4D-1847-41B9-87E1-00F76ECE7A9E}"/>
    <cellStyle name="Normal 4 2 5 2 5 3" xfId="6397" xr:uid="{A2992BDC-0E68-48B6-8F05-0871C63D83E0}"/>
    <cellStyle name="Normal 4 2 5 2 6" xfId="2947" xr:uid="{31E79D2F-D644-45D5-9D02-11B1CD867E5C}"/>
    <cellStyle name="Normal 4 2 5 2 6 2" xfId="6810" xr:uid="{666779E1-813A-4B6E-A204-CDA7D4B1C27F}"/>
    <cellStyle name="Normal 4 2 5 2 7" xfId="4745" xr:uid="{DA72244E-3B48-4967-9B41-F262F7F4CAE7}"/>
    <cellStyle name="Normal 4 2 5 3" xfId="847" xr:uid="{00000000-0005-0000-0000-000081020000}"/>
    <cellStyle name="Normal 4 2 5 3 2" xfId="1682" xr:uid="{5D8D87C9-17A3-4FA8-95E9-4A67A5FA4B4E}"/>
    <cellStyle name="Normal 4 2 5 3 2 2" xfId="7302" xr:uid="{AAC5D92F-F8C1-47C6-A880-28BBCC57D70B}"/>
    <cellStyle name="Normal 4 2 5 3 3" xfId="5157" xr:uid="{ED0F8F48-DE79-4E5D-8946-178FF560AE55}"/>
    <cellStyle name="Normal 4 2 5 4" xfId="1266" xr:uid="{96192D28-2D70-4421-A429-74996FEFCE48}"/>
    <cellStyle name="Normal 4 2 5 4 2" xfId="3500" xr:uid="{6617D14B-2A5B-4BDC-9787-663FECBA20E6}"/>
    <cellStyle name="Normal 4 2 5 4 2 2" xfId="7715" xr:uid="{F9206D85-6618-4AA0-925F-201B756D05C9}"/>
    <cellStyle name="Normal 4 2 5 4 3" xfId="5570" xr:uid="{334C25D7-84A1-4FF0-9759-90A45B481C32}"/>
    <cellStyle name="Normal 4 2 5 5" xfId="2097" xr:uid="{ED0B8A35-FF9D-4E18-B2DC-41BCA93D0CE6}"/>
    <cellStyle name="Normal 4 2 5 5 2" xfId="3913" xr:uid="{3DBD9CA4-EBFA-4607-B926-DFD8960BF56A}"/>
    <cellStyle name="Normal 4 2 5 5 2 2" xfId="8128" xr:uid="{4BCDEB07-9FC8-413A-8753-C1DA18B37A85}"/>
    <cellStyle name="Normal 4 2 5 5 3" xfId="5983" xr:uid="{215639BF-BAFC-421A-937C-8A20809679CD}"/>
    <cellStyle name="Normal 4 2 5 6" xfId="2510" xr:uid="{37354EF3-0AB3-416A-8040-57F2521A8738}"/>
    <cellStyle name="Normal 4 2 5 6 2" xfId="4326" xr:uid="{29BAD791-E988-4132-B1FA-3A88511FF145}"/>
    <cellStyle name="Normal 4 2 5 6 2 2" xfId="8541" xr:uid="{BDA81CE3-3B25-40C0-965D-36EF7B58B027}"/>
    <cellStyle name="Normal 4 2 5 6 3" xfId="6396" xr:uid="{8D79EC57-123B-49D4-9ACB-D5489226CD88}"/>
    <cellStyle name="Normal 4 2 5 7" xfId="2946" xr:uid="{34C7406E-AA51-4664-973C-8BC27456194F}"/>
    <cellStyle name="Normal 4 2 5 7 2" xfId="6809" xr:uid="{3D3CE693-32F0-4729-8B8F-A41C9B5A4623}"/>
    <cellStyle name="Normal 4 2 5 8" xfId="4744" xr:uid="{3AD395E2-2E71-447B-9EF3-FB54E9AB2CC4}"/>
    <cellStyle name="Normal 4 2 6" xfId="368" xr:uid="{00000000-0005-0000-0000-000082020000}"/>
    <cellStyle name="Normal 4 2 6 2" xfId="849" xr:uid="{00000000-0005-0000-0000-000083020000}"/>
    <cellStyle name="Normal 4 2 6 2 2" xfId="1684" xr:uid="{0DB85B5A-5E13-4BF5-A5D3-D0C3A409D6F4}"/>
    <cellStyle name="Normal 4 2 6 2 2 2" xfId="7304" xr:uid="{1FED288D-406B-4E45-A8E2-C0CF46C1B1E6}"/>
    <cellStyle name="Normal 4 2 6 2 3" xfId="5159" xr:uid="{287E67B2-EDE3-4234-969C-394BB337F215}"/>
    <cellStyle name="Normal 4 2 6 3" xfId="1268" xr:uid="{C05B74FD-0A27-4136-B8A1-A37289AD41B6}"/>
    <cellStyle name="Normal 4 2 6 3 2" xfId="3502" xr:uid="{4B0E1C31-4163-4A9F-AE5C-E3BAEF0EF341}"/>
    <cellStyle name="Normal 4 2 6 3 2 2" xfId="7717" xr:uid="{DBACA056-9A6F-4195-AED9-F7661E841708}"/>
    <cellStyle name="Normal 4 2 6 3 3" xfId="5572" xr:uid="{9046B33D-6A2A-4F00-AAA8-1FCA38BAFD0F}"/>
    <cellStyle name="Normal 4 2 6 4" xfId="2099" xr:uid="{7CAC7445-525D-488A-A570-EBBF18EA7646}"/>
    <cellStyle name="Normal 4 2 6 4 2" xfId="3915" xr:uid="{9B0464D6-AC14-40D2-8B47-C1C273DAD087}"/>
    <cellStyle name="Normal 4 2 6 4 2 2" xfId="8130" xr:uid="{20162C4C-7894-4803-A24D-D16CB99CAE36}"/>
    <cellStyle name="Normal 4 2 6 4 3" xfId="5985" xr:uid="{B6FA48C8-5738-4024-903A-988A44ED791B}"/>
    <cellStyle name="Normal 4 2 6 5" xfId="2512" xr:uid="{099E5A0C-3258-4411-A107-950CF294F777}"/>
    <cellStyle name="Normal 4 2 6 5 2" xfId="4328" xr:uid="{08AAF229-B509-4152-BC21-289DDA0D97E3}"/>
    <cellStyle name="Normal 4 2 6 5 2 2" xfId="8543" xr:uid="{1748104C-AF07-485B-B32A-8D8C01F77A2A}"/>
    <cellStyle name="Normal 4 2 6 5 3" xfId="6398" xr:uid="{16377FFA-788C-4FC1-9EC7-8A45F456CBA3}"/>
    <cellStyle name="Normal 4 2 6 6" xfId="2948" xr:uid="{127E1D59-EC5E-4C6D-B614-412294BD04E5}"/>
    <cellStyle name="Normal 4 2 6 6 2" xfId="6811" xr:uid="{ECC5B780-1884-4123-95E3-B5286666996A}"/>
    <cellStyle name="Normal 4 2 6 7" xfId="4746" xr:uid="{E43A688F-F382-46DC-98F0-6C3F7A046905}"/>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8" xr:uid="{49475E64-1E6B-43B9-98CA-A37F2D82602B}"/>
    <cellStyle name="Normal 4 3 2 2 2 2 2 2 2 2" xfId="7308" xr:uid="{3BA5B96D-B99D-4700-9481-758D0C7B4856}"/>
    <cellStyle name="Normal 4 3 2 2 2 2 2 2 3" xfId="5163" xr:uid="{0F9E23EA-4812-4180-B00C-FA4BB84C20DC}"/>
    <cellStyle name="Normal 4 3 2 2 2 2 2 3" xfId="1272" xr:uid="{23E074B7-58FF-48CD-8BE7-FDBE2E514F7B}"/>
    <cellStyle name="Normal 4 3 2 2 2 2 2 3 2" xfId="3506" xr:uid="{03692E51-EFD9-4009-A472-00CDCCEA734B}"/>
    <cellStyle name="Normal 4 3 2 2 2 2 2 3 2 2" xfId="7721" xr:uid="{40CBF70B-0D6F-48AB-B4E1-01B80B0C20E4}"/>
    <cellStyle name="Normal 4 3 2 2 2 2 2 3 3" xfId="5576" xr:uid="{4142D3C9-AFAC-4148-AB9A-03B152D69F5B}"/>
    <cellStyle name="Normal 4 3 2 2 2 2 2 4" xfId="2103" xr:uid="{DF6EAF4A-1F08-4EE3-BEE5-30271CA38ACB}"/>
    <cellStyle name="Normal 4 3 2 2 2 2 2 4 2" xfId="3919" xr:uid="{40354A9D-F64E-420D-A1F1-7F433F9689B0}"/>
    <cellStyle name="Normal 4 3 2 2 2 2 2 4 2 2" xfId="8134" xr:uid="{C17C1052-F42D-4BA2-9CDE-4A0BACDB90FC}"/>
    <cellStyle name="Normal 4 3 2 2 2 2 2 4 3" xfId="5989" xr:uid="{CBFA974D-E9E3-4BEA-8561-1D89BCBB61BD}"/>
    <cellStyle name="Normal 4 3 2 2 2 2 2 5" xfId="2516" xr:uid="{78BFC2E3-6596-45EC-930E-601065600C23}"/>
    <cellStyle name="Normal 4 3 2 2 2 2 2 5 2" xfId="4332" xr:uid="{C3C31461-4ED4-4141-A9C4-EDD754B96ADB}"/>
    <cellStyle name="Normal 4 3 2 2 2 2 2 5 2 2" xfId="8547" xr:uid="{0A4E07AD-37DE-4A42-9B1F-FCB0ED806177}"/>
    <cellStyle name="Normal 4 3 2 2 2 2 2 5 3" xfId="6402" xr:uid="{30F6B017-4579-4FE8-BAA5-BC84E21B6B79}"/>
    <cellStyle name="Normal 4 3 2 2 2 2 2 6" xfId="2952" xr:uid="{66B182D8-77F4-4839-B6A5-463F6759BD13}"/>
    <cellStyle name="Normal 4 3 2 2 2 2 2 6 2" xfId="6815" xr:uid="{5F3B907C-6F9E-4B78-B5B2-97DF8277E4D5}"/>
    <cellStyle name="Normal 4 3 2 2 2 2 2 7" xfId="4750" xr:uid="{38EF16A9-761E-4DF7-A94D-140A01FA16F7}"/>
    <cellStyle name="Normal 4 3 2 2 2 2 3" xfId="853" xr:uid="{00000000-0005-0000-0000-00008B020000}"/>
    <cellStyle name="Normal 4 3 2 2 2 2 3 2" xfId="1687" xr:uid="{C126A954-DCC9-4B88-A898-8179DA202D24}"/>
    <cellStyle name="Normal 4 3 2 2 2 2 3 2 2" xfId="7307" xr:uid="{E510DBBD-454D-4C95-979F-9DDCD1C192E1}"/>
    <cellStyle name="Normal 4 3 2 2 2 2 3 3" xfId="5162" xr:uid="{BFC85E53-DE67-495F-8B19-D2B43DFCA7CA}"/>
    <cellStyle name="Normal 4 3 2 2 2 2 4" xfId="1271" xr:uid="{084DF7DD-B9C3-46D7-BCD6-3DA191BA215C}"/>
    <cellStyle name="Normal 4 3 2 2 2 2 4 2" xfId="3505" xr:uid="{AA45CC07-E53E-410C-BABE-407BFA3E6144}"/>
    <cellStyle name="Normal 4 3 2 2 2 2 4 2 2" xfId="7720" xr:uid="{8AD0874F-F52C-43A1-B0C1-7F3974E75225}"/>
    <cellStyle name="Normal 4 3 2 2 2 2 4 3" xfId="5575" xr:uid="{E17D1115-9C5E-462D-BD07-7411ADB853ED}"/>
    <cellStyle name="Normal 4 3 2 2 2 2 5" xfId="2102" xr:uid="{C7128E1C-D09A-4FBB-BFB4-2D829F670B39}"/>
    <cellStyle name="Normal 4 3 2 2 2 2 5 2" xfId="3918" xr:uid="{C50087B5-B6E4-4BB1-B0D4-3E2128E64AFE}"/>
    <cellStyle name="Normal 4 3 2 2 2 2 5 2 2" xfId="8133" xr:uid="{57111603-550F-40AD-9DC5-5CE3DEF420D8}"/>
    <cellStyle name="Normal 4 3 2 2 2 2 5 3" xfId="5988" xr:uid="{A4CBB0D6-0844-43B1-9105-F787F06E2768}"/>
    <cellStyle name="Normal 4 3 2 2 2 2 6" xfId="2515" xr:uid="{F284B8A4-4FCA-4292-B6A8-D363499C60B0}"/>
    <cellStyle name="Normal 4 3 2 2 2 2 6 2" xfId="4331" xr:uid="{078E45B2-0185-4B65-BF54-5ABC2C267741}"/>
    <cellStyle name="Normal 4 3 2 2 2 2 6 2 2" xfId="8546" xr:uid="{0831D947-15F0-4696-98FF-0AB8F1DE0D45}"/>
    <cellStyle name="Normal 4 3 2 2 2 2 6 3" xfId="6401" xr:uid="{A1FBFBCF-0D17-4281-B5A0-FFCE500BC94F}"/>
    <cellStyle name="Normal 4 3 2 2 2 2 7" xfId="2951" xr:uid="{BC010093-2CB3-4C13-BBCB-A0E5611A9B3D}"/>
    <cellStyle name="Normal 4 3 2 2 2 2 7 2" xfId="6814" xr:uid="{6A7B5506-2000-4747-AA81-55F6A33D8EAE}"/>
    <cellStyle name="Normal 4 3 2 2 2 2 8" xfId="4749" xr:uid="{31179953-D869-4B78-945B-D797C9559414}"/>
    <cellStyle name="Normal 4 3 2 2 2 3" xfId="375" xr:uid="{00000000-0005-0000-0000-00008C020000}"/>
    <cellStyle name="Normal 4 3 2 2 2 3 2" xfId="855" xr:uid="{00000000-0005-0000-0000-00008D020000}"/>
    <cellStyle name="Normal 4 3 2 2 2 3 2 2" xfId="1689" xr:uid="{9B32EA19-6A61-4C7B-8841-77494B433DEC}"/>
    <cellStyle name="Normal 4 3 2 2 2 3 2 2 2" xfId="7309" xr:uid="{55286986-8C65-4743-BD03-69B7B2766A10}"/>
    <cellStyle name="Normal 4 3 2 2 2 3 2 3" xfId="5164" xr:uid="{3CF8CD75-DC98-4CA3-9F31-03E0F6D289DF}"/>
    <cellStyle name="Normal 4 3 2 2 2 3 3" xfId="1273" xr:uid="{0EAA99E0-23D2-48FD-BBB8-70593A801EBA}"/>
    <cellStyle name="Normal 4 3 2 2 2 3 3 2" xfId="3507" xr:uid="{4FEC07EB-6E40-4928-84A8-B5590BF41274}"/>
    <cellStyle name="Normal 4 3 2 2 2 3 3 2 2" xfId="7722" xr:uid="{2AC53F99-9173-4B6A-9F11-DADC4AE7FE8D}"/>
    <cellStyle name="Normal 4 3 2 2 2 3 3 3" xfId="5577" xr:uid="{ACD4BDDE-F6CF-4C9F-9701-96ED0219AD9C}"/>
    <cellStyle name="Normal 4 3 2 2 2 3 4" xfId="2104" xr:uid="{C5ACC8F7-73DA-47B9-BAC0-8A0B3946CCB3}"/>
    <cellStyle name="Normal 4 3 2 2 2 3 4 2" xfId="3920" xr:uid="{9BCD2445-7D3C-4FCB-ABC9-B7E1CEE8819A}"/>
    <cellStyle name="Normal 4 3 2 2 2 3 4 2 2" xfId="8135" xr:uid="{2CF65766-B999-4B61-814D-88B58175920F}"/>
    <cellStyle name="Normal 4 3 2 2 2 3 4 3" xfId="5990" xr:uid="{AF07A07C-6A9C-47B8-8343-473A1569FA5A}"/>
    <cellStyle name="Normal 4 3 2 2 2 3 5" xfId="2517" xr:uid="{4143CF59-0E24-4D24-BE5E-4E23FA2DAA89}"/>
    <cellStyle name="Normal 4 3 2 2 2 3 5 2" xfId="4333" xr:uid="{16A658BA-1CDD-40A3-87F7-B64EFB73B69A}"/>
    <cellStyle name="Normal 4 3 2 2 2 3 5 2 2" xfId="8548" xr:uid="{AD6F9EA9-03FD-4067-9950-94900B8C574C}"/>
    <cellStyle name="Normal 4 3 2 2 2 3 5 3" xfId="6403" xr:uid="{554D372C-7595-4954-A8D8-7D32C1BD5E23}"/>
    <cellStyle name="Normal 4 3 2 2 2 3 6" xfId="2953" xr:uid="{4249B09C-ABB9-4ACB-B710-8E12804AB708}"/>
    <cellStyle name="Normal 4 3 2 2 2 3 6 2" xfId="6816" xr:uid="{363DE911-FD89-432B-85C1-271F22816330}"/>
    <cellStyle name="Normal 4 3 2 2 2 3 7" xfId="4751" xr:uid="{087A8806-DB13-4CC3-9631-667420D163A6}"/>
    <cellStyle name="Normal 4 3 2 2 2 4" xfId="852" xr:uid="{00000000-0005-0000-0000-00008E020000}"/>
    <cellStyle name="Normal 4 3 2 2 2 4 2" xfId="1686" xr:uid="{9E77F50A-CE31-4CBC-8DDC-D7F665728033}"/>
    <cellStyle name="Normal 4 3 2 2 2 4 2 2" xfId="7306" xr:uid="{78EA0210-CFDA-4FE2-9E51-C690ED52CB52}"/>
    <cellStyle name="Normal 4 3 2 2 2 4 3" xfId="5161" xr:uid="{6FDB9DD5-BE61-43B0-8B06-A551832B8483}"/>
    <cellStyle name="Normal 4 3 2 2 2 5" xfId="1270" xr:uid="{3E61BB43-76A4-44ED-A397-809507029E25}"/>
    <cellStyle name="Normal 4 3 2 2 2 5 2" xfId="3504" xr:uid="{AD00B18B-27DE-43B4-A2DF-E7CAA3ED6A96}"/>
    <cellStyle name="Normal 4 3 2 2 2 5 2 2" xfId="7719" xr:uid="{FE4C3B3B-45CF-47CB-9752-9C0EE0D19445}"/>
    <cellStyle name="Normal 4 3 2 2 2 5 3" xfId="5574" xr:uid="{FB40908B-839D-4AD5-B710-726B583EB856}"/>
    <cellStyle name="Normal 4 3 2 2 2 6" xfId="2101" xr:uid="{5BDA7270-F2D0-4065-A390-EAC36C756D5D}"/>
    <cellStyle name="Normal 4 3 2 2 2 6 2" xfId="3917" xr:uid="{2C27D738-44B8-498F-AA85-A8201D898F21}"/>
    <cellStyle name="Normal 4 3 2 2 2 6 2 2" xfId="8132" xr:uid="{240D26D4-DC88-4444-8840-47D1C61B7E1E}"/>
    <cellStyle name="Normal 4 3 2 2 2 6 3" xfId="5987" xr:uid="{0B64A4DB-6C4E-45DF-A224-C52359DE232B}"/>
    <cellStyle name="Normal 4 3 2 2 2 7" xfId="2514" xr:uid="{88F70DF5-CEFD-4123-AAF1-1DB061E6A148}"/>
    <cellStyle name="Normal 4 3 2 2 2 7 2" xfId="4330" xr:uid="{4FEF12C6-6D4D-4A45-90A0-FF2B7392C050}"/>
    <cellStyle name="Normal 4 3 2 2 2 7 2 2" xfId="8545" xr:uid="{D21EFD86-5004-410E-91DF-0BEDC3795E29}"/>
    <cellStyle name="Normal 4 3 2 2 2 7 3" xfId="6400" xr:uid="{843A93F2-C520-4D47-BE9E-53CE4C5F28AD}"/>
    <cellStyle name="Normal 4 3 2 2 2 8" xfId="2950" xr:uid="{F6BACB45-81ED-44E1-B57E-D6BDD7FD1A0C}"/>
    <cellStyle name="Normal 4 3 2 2 2 8 2" xfId="6813" xr:uid="{244FEBA5-4A23-42AB-87EA-B964C932A8F2}"/>
    <cellStyle name="Normal 4 3 2 2 2 9" xfId="4748" xr:uid="{7454C4D0-5481-4128-AB8A-A4FAE241A7E7}"/>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2" xr:uid="{D20B7A55-92B1-4E0E-A1FA-41D87E593C77}"/>
    <cellStyle name="Normal 4 3 3 2 2 2 2 2" xfId="7312" xr:uid="{7A891B1D-A906-42CD-84BA-A112D8D5998D}"/>
    <cellStyle name="Normal 4 3 3 2 2 2 3" xfId="5167" xr:uid="{65A05532-63A6-4178-A577-7DE8B31BB0BB}"/>
    <cellStyle name="Normal 4 3 3 2 2 3" xfId="1276" xr:uid="{237FAF8C-9221-4F2A-8449-8461BB3122C7}"/>
    <cellStyle name="Normal 4 3 3 2 2 3 2" xfId="3510" xr:uid="{50F82906-2774-4575-9ADF-228BB46B14C4}"/>
    <cellStyle name="Normal 4 3 3 2 2 3 2 2" xfId="7725" xr:uid="{8D7A0835-4B58-4097-B9F3-F7F55143F6AF}"/>
    <cellStyle name="Normal 4 3 3 2 2 3 3" xfId="5580" xr:uid="{2BE3E143-85B1-4194-8902-20CFE92F6B40}"/>
    <cellStyle name="Normal 4 3 3 2 2 4" xfId="2107" xr:uid="{237AE055-1FFD-4BC3-A370-E5CCBF9259AA}"/>
    <cellStyle name="Normal 4 3 3 2 2 4 2" xfId="3923" xr:uid="{BD679792-3E52-48C0-A8B4-4FE8F48162FB}"/>
    <cellStyle name="Normal 4 3 3 2 2 4 2 2" xfId="8138" xr:uid="{9171BCC5-5BA5-46A9-9B84-C68374F77CA8}"/>
    <cellStyle name="Normal 4 3 3 2 2 4 3" xfId="5993" xr:uid="{CD58C21E-9CDF-4E3B-9895-89F7E9ECDB92}"/>
    <cellStyle name="Normal 4 3 3 2 2 5" xfId="2520" xr:uid="{CF45ED38-201A-44E2-AE36-997E84CC5D12}"/>
    <cellStyle name="Normal 4 3 3 2 2 5 2" xfId="4336" xr:uid="{353F782F-8FF9-48FC-9849-1286B2B6FECE}"/>
    <cellStyle name="Normal 4 3 3 2 2 5 2 2" xfId="8551" xr:uid="{B328673A-7525-4850-B31B-63EE86ECDB12}"/>
    <cellStyle name="Normal 4 3 3 2 2 5 3" xfId="6406" xr:uid="{60B4F3C2-FE6F-4B22-B11C-C90721D0F72B}"/>
    <cellStyle name="Normal 4 3 3 2 2 6" xfId="2956" xr:uid="{420B7A77-B1FA-4485-AC34-245E35A7DA88}"/>
    <cellStyle name="Normal 4 3 3 2 2 6 2" xfId="6819" xr:uid="{54F41423-EC2A-4FFE-B185-5CCE3A83F316}"/>
    <cellStyle name="Normal 4 3 3 2 2 7" xfId="4754" xr:uid="{49612A73-8558-4D9A-ADA2-78518699F58C}"/>
    <cellStyle name="Normal 4 3 3 2 3" xfId="858" xr:uid="{00000000-0005-0000-0000-000096020000}"/>
    <cellStyle name="Normal 4 3 3 2 3 2" xfId="1691" xr:uid="{4C642DB9-6390-41D9-B59A-39EC631B27F2}"/>
    <cellStyle name="Normal 4 3 3 2 3 2 2" xfId="7311" xr:uid="{C7417A38-4D62-4A37-BEC2-647DCB6FE08B}"/>
    <cellStyle name="Normal 4 3 3 2 3 3" xfId="5166" xr:uid="{CCD1ADE8-76DA-475C-BC5C-995CE851DD45}"/>
    <cellStyle name="Normal 4 3 3 2 4" xfId="1275" xr:uid="{4891F626-801B-4CF6-BF5B-9ABA5349C1DC}"/>
    <cellStyle name="Normal 4 3 3 2 4 2" xfId="3509" xr:uid="{5550164A-E5AD-4FAF-9FC6-511EE2C7F111}"/>
    <cellStyle name="Normal 4 3 3 2 4 2 2" xfId="7724" xr:uid="{0FA9DCCB-71A3-404D-9489-04A96D19A593}"/>
    <cellStyle name="Normal 4 3 3 2 4 3" xfId="5579" xr:uid="{EA19CDC0-8A9A-4642-B0CB-7203D0932C9B}"/>
    <cellStyle name="Normal 4 3 3 2 5" xfId="2106" xr:uid="{DA67A9BC-1E09-4CBA-B3AC-61E157220CEE}"/>
    <cellStyle name="Normal 4 3 3 2 5 2" xfId="3922" xr:uid="{A634C87A-F47F-4E01-8F0A-DFE78B25F92A}"/>
    <cellStyle name="Normal 4 3 3 2 5 2 2" xfId="8137" xr:uid="{B3D0F902-2AAA-4D83-90A9-908621261AF0}"/>
    <cellStyle name="Normal 4 3 3 2 5 3" xfId="5992" xr:uid="{9A83960E-1571-45FF-AD65-1E1E83CD6089}"/>
    <cellStyle name="Normal 4 3 3 2 6" xfId="2519" xr:uid="{158CB0DF-CF6D-4FBD-BD64-44660C46CE79}"/>
    <cellStyle name="Normal 4 3 3 2 6 2" xfId="4335" xr:uid="{0B8E7D73-370C-4C28-AB25-A9B058DA5907}"/>
    <cellStyle name="Normal 4 3 3 2 6 2 2" xfId="8550" xr:uid="{3BC93C5D-2FD5-43AF-9B9F-02EFB961E757}"/>
    <cellStyle name="Normal 4 3 3 2 6 3" xfId="6405" xr:uid="{2BF11F0B-7697-47EA-9C4E-CA8F065F80A1}"/>
    <cellStyle name="Normal 4 3 3 2 7" xfId="2955" xr:uid="{659F6EE0-D6E0-435C-AC58-9A1DB30E874F}"/>
    <cellStyle name="Normal 4 3 3 2 7 2" xfId="6818" xr:uid="{E4889C86-0586-41BC-A5B5-FC10251B6D1E}"/>
    <cellStyle name="Normal 4 3 3 2 8" xfId="4753" xr:uid="{8CC952F1-6216-4DFB-85C3-51752340C5A5}"/>
    <cellStyle name="Normal 4 3 3 3" xfId="380" xr:uid="{00000000-0005-0000-0000-000097020000}"/>
    <cellStyle name="Normal 4 3 3 3 2" xfId="860" xr:uid="{00000000-0005-0000-0000-000098020000}"/>
    <cellStyle name="Normal 4 3 3 3 2 2" xfId="1693" xr:uid="{7767058F-D846-4FC2-90D8-44FEED6303B8}"/>
    <cellStyle name="Normal 4 3 3 3 2 2 2" xfId="7313" xr:uid="{D38A2EB1-66C0-4909-9D81-D22B6B8FFD67}"/>
    <cellStyle name="Normal 4 3 3 3 2 3" xfId="5168" xr:uid="{58E1D46C-2BB4-47B3-855C-8482DDCD33F5}"/>
    <cellStyle name="Normal 4 3 3 3 3" xfId="1277" xr:uid="{C0642D32-5D21-49FF-A55E-8669F88D3E91}"/>
    <cellStyle name="Normal 4 3 3 3 3 2" xfId="3511" xr:uid="{0145159E-556E-4DA3-AD0E-3FC21E76A659}"/>
    <cellStyle name="Normal 4 3 3 3 3 2 2" xfId="7726" xr:uid="{F1397A31-37F3-4ADB-8DED-D049A307D515}"/>
    <cellStyle name="Normal 4 3 3 3 3 3" xfId="5581" xr:uid="{91A68701-A723-4D42-8E7D-5E3988BCE535}"/>
    <cellStyle name="Normal 4 3 3 3 4" xfId="2108" xr:uid="{E5DA95F1-DC36-4C1A-A8C4-899E20689D78}"/>
    <cellStyle name="Normal 4 3 3 3 4 2" xfId="3924" xr:uid="{D09035C7-29A1-4F33-803E-EFE154A81791}"/>
    <cellStyle name="Normal 4 3 3 3 4 2 2" xfId="8139" xr:uid="{DB87A325-1A10-42AC-B1BB-86BCFE2FCA57}"/>
    <cellStyle name="Normal 4 3 3 3 4 3" xfId="5994" xr:uid="{C1D50257-00AF-42A3-A5B3-FA67C4354265}"/>
    <cellStyle name="Normal 4 3 3 3 5" xfId="2521" xr:uid="{8DD33F24-929A-4C3B-9088-7A6209D92A93}"/>
    <cellStyle name="Normal 4 3 3 3 5 2" xfId="4337" xr:uid="{6A9A41E9-A056-4058-8EBF-27322AF71C4C}"/>
    <cellStyle name="Normal 4 3 3 3 5 2 2" xfId="8552" xr:uid="{92A43C54-16EA-4962-A7FA-F0D4CB291815}"/>
    <cellStyle name="Normal 4 3 3 3 5 3" xfId="6407" xr:uid="{BD1226D2-6E43-43A1-BC9C-517E718148A0}"/>
    <cellStyle name="Normal 4 3 3 3 6" xfId="2957" xr:uid="{98DF6B4C-B2FC-4577-A857-F95BCC43FA31}"/>
    <cellStyle name="Normal 4 3 3 3 6 2" xfId="6820" xr:uid="{51FAF2F7-2108-49B6-B29A-BD94A54F3035}"/>
    <cellStyle name="Normal 4 3 3 3 7" xfId="4755" xr:uid="{19CEB520-DF27-4C64-9C99-FBA984BB7A92}"/>
    <cellStyle name="Normal 4 3 3 4" xfId="857" xr:uid="{00000000-0005-0000-0000-000099020000}"/>
    <cellStyle name="Normal 4 3 3 4 2" xfId="1690" xr:uid="{8C5F9740-DD56-475F-A744-542BAA2095D8}"/>
    <cellStyle name="Normal 4 3 3 4 2 2" xfId="7310" xr:uid="{04299321-8137-4FA1-81A9-AEF0F4E0B2AB}"/>
    <cellStyle name="Normal 4 3 3 4 3" xfId="5165" xr:uid="{D7ED18E7-08E5-49D2-A5BF-60BA5B7846F0}"/>
    <cellStyle name="Normal 4 3 3 5" xfId="1274" xr:uid="{5D4CA2CB-F39D-41D7-A458-665BDA0792AD}"/>
    <cellStyle name="Normal 4 3 3 5 2" xfId="3508" xr:uid="{C188AFA8-6C50-490D-BB8A-28AC0EFF9398}"/>
    <cellStyle name="Normal 4 3 3 5 2 2" xfId="7723" xr:uid="{D3E3A2D3-63ED-46C3-B44B-069B69D11945}"/>
    <cellStyle name="Normal 4 3 3 5 3" xfId="5578" xr:uid="{05BDB84C-C6D7-41D6-BA6E-722A4B3F4F04}"/>
    <cellStyle name="Normal 4 3 3 6" xfId="2105" xr:uid="{EEC62159-D349-4D1E-B04C-0285985239A3}"/>
    <cellStyle name="Normal 4 3 3 6 2" xfId="3921" xr:uid="{33431D45-6BBF-4604-BDB5-753D953D4E8F}"/>
    <cellStyle name="Normal 4 3 3 6 2 2" xfId="8136" xr:uid="{E8D741B1-0FE3-4D7A-A4A6-B936968CFAC3}"/>
    <cellStyle name="Normal 4 3 3 6 3" xfId="5991" xr:uid="{195EDA64-11A5-43B5-A220-78B573F8413E}"/>
    <cellStyle name="Normal 4 3 3 7" xfId="2518" xr:uid="{714440DE-919D-4B24-BAD8-E340E7670102}"/>
    <cellStyle name="Normal 4 3 3 7 2" xfId="4334" xr:uid="{8EA3B518-E782-4186-AEC6-F831FC264253}"/>
    <cellStyle name="Normal 4 3 3 7 2 2" xfId="8549" xr:uid="{35E71A4F-0522-4E2F-9F30-4266AC33CD4E}"/>
    <cellStyle name="Normal 4 3 3 7 3" xfId="6404" xr:uid="{A3C78FFE-A567-4CC1-B8DF-8B4C48A83F1A}"/>
    <cellStyle name="Normal 4 3 3 8" xfId="2954" xr:uid="{4FA6AD5F-E8B2-49F2-B539-480A8E734DB7}"/>
    <cellStyle name="Normal 4 3 3 8 2" xfId="6817" xr:uid="{DB2B443D-7E37-44E6-BB99-D62CA1C4C456}"/>
    <cellStyle name="Normal 4 3 3 9" xfId="4752" xr:uid="{0629109C-0E00-4C92-B086-9167C6E43ACC}"/>
    <cellStyle name="Normal 4 3 4" xfId="850" xr:uid="{00000000-0005-0000-0000-00009A020000}"/>
    <cellStyle name="Normal 4 3 4 2" xfId="1685" xr:uid="{B131ECBB-2664-414F-B9A1-0545F3DDBDEC}"/>
    <cellStyle name="Normal 4 3 4 2 2" xfId="7305" xr:uid="{E0B65DCF-FAC1-4EA9-BAA3-EB639BB9F271}"/>
    <cellStyle name="Normal 4 3 4 3" xfId="5160" xr:uid="{44E30F7B-04DE-4C96-83F5-565E0A55705A}"/>
    <cellStyle name="Normal 4 3 5" xfId="1269" xr:uid="{0E0B94EC-E59B-4671-AAE2-1301EF9CEF55}"/>
    <cellStyle name="Normal 4 3 5 2" xfId="3503" xr:uid="{16A94D7D-E772-4259-93BE-50421323DB2C}"/>
    <cellStyle name="Normal 4 3 5 2 2" xfId="7718" xr:uid="{A6F8D47B-4F5A-4FDE-80DB-9AEEC811B2AB}"/>
    <cellStyle name="Normal 4 3 5 3" xfId="5573" xr:uid="{A4E80694-C554-4CAE-A4F8-77427D93EA3E}"/>
    <cellStyle name="Normal 4 3 6" xfId="2100" xr:uid="{D7F3B71D-CEE5-4DE7-975B-16871ABAE3D1}"/>
    <cellStyle name="Normal 4 3 6 2" xfId="3916" xr:uid="{88172665-6F59-48E0-B21E-B33A82E4C72E}"/>
    <cellStyle name="Normal 4 3 6 2 2" xfId="8131" xr:uid="{BA8514D5-65D9-40F5-93D8-688F55FA551A}"/>
    <cellStyle name="Normal 4 3 6 3" xfId="5986" xr:uid="{7471E951-C11E-4076-98DF-93789F4788DC}"/>
    <cellStyle name="Normal 4 3 7" xfId="2513" xr:uid="{9EC07AEA-5643-4C3D-8934-559AFB7C1873}"/>
    <cellStyle name="Normal 4 3 7 2" xfId="4329" xr:uid="{D58A47E3-B68F-406B-A2C4-8DDCCED7120B}"/>
    <cellStyle name="Normal 4 3 7 2 2" xfId="8544" xr:uid="{9706D16A-314F-4EBE-B129-9671C6CE8591}"/>
    <cellStyle name="Normal 4 3 7 3" xfId="6399" xr:uid="{AF4456F9-278D-4596-94B2-50EA7A7B8D0B}"/>
    <cellStyle name="Normal 4 3 8" xfId="2949" xr:uid="{33D9512A-CAAE-4CAD-87AF-2DBCB1D58829}"/>
    <cellStyle name="Normal 4 3 8 2" xfId="6812" xr:uid="{A1AF9245-C581-4F9C-9F55-83E4C37C4B62}"/>
    <cellStyle name="Normal 4 3 9" xfId="4747" xr:uid="{3B8CC80D-451C-4C85-9456-2918B102BAEB}"/>
    <cellStyle name="Normal 4 4" xfId="381" xr:uid="{00000000-0005-0000-0000-00009B020000}"/>
    <cellStyle name="Normal 4 4 10" xfId="2958" xr:uid="{4AB0C049-F6AE-40E9-9EDB-77F558EC73B0}"/>
    <cellStyle name="Normal 4 4 10 2" xfId="6821" xr:uid="{B4A606AA-55C4-4CA4-B3C2-65840B086710}"/>
    <cellStyle name="Normal 4 4 11" xfId="4756" xr:uid="{47F247E1-534A-47A8-8257-DFD5FFC8D516}"/>
    <cellStyle name="Normal 4 4 2" xfId="382" xr:uid="{00000000-0005-0000-0000-00009C020000}"/>
    <cellStyle name="Normal 4 4 2 10" xfId="4757" xr:uid="{F1AD6C57-B25D-4DE9-B912-520500065FD4}"/>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8" xr:uid="{B9664866-5052-480C-B7C3-6A30CD73E6F3}"/>
    <cellStyle name="Normal 4 4 2 2 2 2 2 2 2" xfId="7318" xr:uid="{86673681-F4A9-497B-A2F8-BA45AF646028}"/>
    <cellStyle name="Normal 4 4 2 2 2 2 2 3" xfId="5173" xr:uid="{DAFB9377-1749-4DFF-9715-60759F49CA2F}"/>
    <cellStyle name="Normal 4 4 2 2 2 2 3" xfId="1282" xr:uid="{7EBD08A6-2707-419F-B650-CBFDB04046F2}"/>
    <cellStyle name="Normal 4 4 2 2 2 2 3 2" xfId="3516" xr:uid="{4CD8C3D1-415D-407C-A55E-1DA8D711FE65}"/>
    <cellStyle name="Normal 4 4 2 2 2 2 3 2 2" xfId="7731" xr:uid="{C6EADEAE-D463-4B5B-B0D6-9A8909200D56}"/>
    <cellStyle name="Normal 4 4 2 2 2 2 3 3" xfId="5586" xr:uid="{E1180D4F-3E64-42CB-A9EC-DB92EB760EA5}"/>
    <cellStyle name="Normal 4 4 2 2 2 2 4" xfId="2113" xr:uid="{1F693539-8293-42CB-AE7A-BA88D65E551B}"/>
    <cellStyle name="Normal 4 4 2 2 2 2 4 2" xfId="3929" xr:uid="{DF354541-55F9-4A2E-BA34-F9E4E222C8F9}"/>
    <cellStyle name="Normal 4 4 2 2 2 2 4 2 2" xfId="8144" xr:uid="{66D84613-4A57-4C85-B213-7D07A26ECD57}"/>
    <cellStyle name="Normal 4 4 2 2 2 2 4 3" xfId="5999" xr:uid="{EB491AC4-820F-4585-8492-AA333CF962E1}"/>
    <cellStyle name="Normal 4 4 2 2 2 2 5" xfId="2526" xr:uid="{8583610D-8B34-43CC-88E5-6AAACEDF144E}"/>
    <cellStyle name="Normal 4 4 2 2 2 2 5 2" xfId="4342" xr:uid="{1BB5022A-31D1-4711-90AE-B54BCB582C24}"/>
    <cellStyle name="Normal 4 4 2 2 2 2 5 2 2" xfId="8557" xr:uid="{A700D3BD-0F41-42DF-8960-B3FA7F39DE4B}"/>
    <cellStyle name="Normal 4 4 2 2 2 2 5 3" xfId="6412" xr:uid="{24DAC4D5-6192-4BA4-9ECA-392BB8475B1E}"/>
    <cellStyle name="Normal 4 4 2 2 2 2 6" xfId="2962" xr:uid="{E0D20144-5873-40F4-BFA0-E4C9A0A93C45}"/>
    <cellStyle name="Normal 4 4 2 2 2 2 6 2" xfId="6825" xr:uid="{13140CF9-C604-468B-86D8-7E711983DAE0}"/>
    <cellStyle name="Normal 4 4 2 2 2 2 7" xfId="4760" xr:uid="{8972011D-7220-46FA-AB01-701FEC6109F0}"/>
    <cellStyle name="Normal 4 4 2 2 2 3" xfId="864" xr:uid="{00000000-0005-0000-0000-0000A1020000}"/>
    <cellStyle name="Normal 4 4 2 2 2 3 2" xfId="1697" xr:uid="{F131FAB9-434A-494F-BE6E-288892A24923}"/>
    <cellStyle name="Normal 4 4 2 2 2 3 2 2" xfId="7317" xr:uid="{FAE844F9-2288-43E1-A13F-83826597F020}"/>
    <cellStyle name="Normal 4 4 2 2 2 3 3" xfId="5172" xr:uid="{7A9CE981-4517-4C5D-9A67-F8FB70519A23}"/>
    <cellStyle name="Normal 4 4 2 2 2 4" xfId="1281" xr:uid="{78438541-18C6-4C5E-B787-6B4DEA11665E}"/>
    <cellStyle name="Normal 4 4 2 2 2 4 2" xfId="3515" xr:uid="{7C56E770-8633-4E25-AC7E-3C2C37DCBA51}"/>
    <cellStyle name="Normal 4 4 2 2 2 4 2 2" xfId="7730" xr:uid="{0BC09DE9-BDD5-4CCC-BDBE-7AA343310430}"/>
    <cellStyle name="Normal 4 4 2 2 2 4 3" xfId="5585" xr:uid="{CAD86693-242A-44E8-90F9-0F3AD9F394BA}"/>
    <cellStyle name="Normal 4 4 2 2 2 5" xfId="2112" xr:uid="{192EC17A-B531-49B5-AE34-D4D3D8B321BA}"/>
    <cellStyle name="Normal 4 4 2 2 2 5 2" xfId="3928" xr:uid="{3BD7524F-F04F-4E03-A224-06CADB35F5EF}"/>
    <cellStyle name="Normal 4 4 2 2 2 5 2 2" xfId="8143" xr:uid="{859B18A9-723B-470E-9339-77EC369326AE}"/>
    <cellStyle name="Normal 4 4 2 2 2 5 3" xfId="5998" xr:uid="{EFE5BC83-4646-45D3-BE9E-237377D8C5F6}"/>
    <cellStyle name="Normal 4 4 2 2 2 6" xfId="2525" xr:uid="{0C97E3F0-9A9F-4A5D-A631-BF616A7AE821}"/>
    <cellStyle name="Normal 4 4 2 2 2 6 2" xfId="4341" xr:uid="{FD1BD9DF-18E9-4D0F-9A50-923937450E63}"/>
    <cellStyle name="Normal 4 4 2 2 2 6 2 2" xfId="8556" xr:uid="{F2A5924D-CAEA-4494-8DA8-CB99C4A1C399}"/>
    <cellStyle name="Normal 4 4 2 2 2 6 3" xfId="6411" xr:uid="{1FA38B72-926E-4F48-89C8-F154884FC275}"/>
    <cellStyle name="Normal 4 4 2 2 2 7" xfId="2961" xr:uid="{6346C475-1AE5-485E-BB6D-5C8909CDDAD2}"/>
    <cellStyle name="Normal 4 4 2 2 2 7 2" xfId="6824" xr:uid="{E69B1B94-AECE-4D60-B78B-69FB93186D44}"/>
    <cellStyle name="Normal 4 4 2 2 2 8" xfId="4759" xr:uid="{3FA7B525-8F8E-4C21-A3BA-BD5EB929ECB1}"/>
    <cellStyle name="Normal 4 4 2 2 3" xfId="386" xr:uid="{00000000-0005-0000-0000-0000A2020000}"/>
    <cellStyle name="Normal 4 4 2 2 3 2" xfId="866" xr:uid="{00000000-0005-0000-0000-0000A3020000}"/>
    <cellStyle name="Normal 4 4 2 2 3 2 2" xfId="1699" xr:uid="{ACB3158C-8EB5-46C9-91AD-21F2CE181A21}"/>
    <cellStyle name="Normal 4 4 2 2 3 2 2 2" xfId="7319" xr:uid="{A09A2DEC-C0FF-4334-9A90-E17424117B76}"/>
    <cellStyle name="Normal 4 4 2 2 3 2 3" xfId="5174" xr:uid="{B99A8755-ED9B-478E-B17D-136A5361B7D7}"/>
    <cellStyle name="Normal 4 4 2 2 3 3" xfId="1283" xr:uid="{DB584AE2-C069-45D6-98FC-46044CBE6B17}"/>
    <cellStyle name="Normal 4 4 2 2 3 3 2" xfId="3517" xr:uid="{B27AF99E-3EF2-4A10-A4B9-EB3BC0E072A9}"/>
    <cellStyle name="Normal 4 4 2 2 3 3 2 2" xfId="7732" xr:uid="{1733147A-E478-410D-9A5C-F19F37A173E8}"/>
    <cellStyle name="Normal 4 4 2 2 3 3 3" xfId="5587" xr:uid="{1336073A-2256-4D48-A02D-56FE7AA22DB8}"/>
    <cellStyle name="Normal 4 4 2 2 3 4" xfId="2114" xr:uid="{3360444B-AC61-4F43-910F-3925B8F84441}"/>
    <cellStyle name="Normal 4 4 2 2 3 4 2" xfId="3930" xr:uid="{90566072-14E9-466C-BD62-0B68B8843B06}"/>
    <cellStyle name="Normal 4 4 2 2 3 4 2 2" xfId="8145" xr:uid="{9FD1B19F-5242-4397-A893-DC1904F54C7D}"/>
    <cellStyle name="Normal 4 4 2 2 3 4 3" xfId="6000" xr:uid="{C05960C6-DBC3-408F-AE44-A4CB5AFE7AFA}"/>
    <cellStyle name="Normal 4 4 2 2 3 5" xfId="2527" xr:uid="{B57BBE23-BF7C-408D-A569-EC32A133E0AA}"/>
    <cellStyle name="Normal 4 4 2 2 3 5 2" xfId="4343" xr:uid="{DB6CF078-9641-4DE6-B7CE-89AE9EC943D9}"/>
    <cellStyle name="Normal 4 4 2 2 3 5 2 2" xfId="8558" xr:uid="{EED2FDCA-3323-42E3-A070-9379DBE784B7}"/>
    <cellStyle name="Normal 4 4 2 2 3 5 3" xfId="6413" xr:uid="{2FE01261-B795-4AE7-B13D-0CCD9FAF4CDA}"/>
    <cellStyle name="Normal 4 4 2 2 3 6" xfId="2963" xr:uid="{DFD4DC33-C64D-47BD-9CE5-26D6C6D9CDFF}"/>
    <cellStyle name="Normal 4 4 2 2 3 6 2" xfId="6826" xr:uid="{F4232DE0-B4AD-46E2-A355-A410414DD760}"/>
    <cellStyle name="Normal 4 4 2 2 3 7" xfId="4761" xr:uid="{2C1C14C7-921F-4D55-9976-A303BFD5D889}"/>
    <cellStyle name="Normal 4 4 2 2 4" xfId="863" xr:uid="{00000000-0005-0000-0000-0000A4020000}"/>
    <cellStyle name="Normal 4 4 2 2 4 2" xfId="1696" xr:uid="{FF079540-7DB2-4C84-BF8C-92090ECB4958}"/>
    <cellStyle name="Normal 4 4 2 2 4 2 2" xfId="7316" xr:uid="{2564EB61-EB5C-4E49-806D-911D69C8DC88}"/>
    <cellStyle name="Normal 4 4 2 2 4 3" xfId="5171" xr:uid="{6957E5D5-8B9E-44D1-9B33-9ABCC8068DEE}"/>
    <cellStyle name="Normal 4 4 2 2 5" xfId="1280" xr:uid="{38C71121-BE75-4446-88F0-D2E94A130E88}"/>
    <cellStyle name="Normal 4 4 2 2 5 2" xfId="3514" xr:uid="{699A6E32-0E1F-4A17-9795-763F91847110}"/>
    <cellStyle name="Normal 4 4 2 2 5 2 2" xfId="7729" xr:uid="{7E842138-CB50-4771-B46F-95F1F42A3766}"/>
    <cellStyle name="Normal 4 4 2 2 5 3" xfId="5584" xr:uid="{9D46C0B7-9433-49ED-BA2A-5A0F4115D8E9}"/>
    <cellStyle name="Normal 4 4 2 2 6" xfId="2111" xr:uid="{6E4A760D-4CCC-44A8-9FBB-E0F134E91620}"/>
    <cellStyle name="Normal 4 4 2 2 6 2" xfId="3927" xr:uid="{5C49CA7D-7646-4DF0-92E2-2CA9E1BC402A}"/>
    <cellStyle name="Normal 4 4 2 2 6 2 2" xfId="8142" xr:uid="{AE0769CF-BE93-4D09-A712-52583BD8D238}"/>
    <cellStyle name="Normal 4 4 2 2 6 3" xfId="5997" xr:uid="{F44D70E5-E1AF-47C1-8676-AC97A9B1220D}"/>
    <cellStyle name="Normal 4 4 2 2 7" xfId="2524" xr:uid="{D92817AC-7FE3-4405-AE86-9DE1B7564D43}"/>
    <cellStyle name="Normal 4 4 2 2 7 2" xfId="4340" xr:uid="{89AFABC1-6E27-4362-8BE2-232D7FB1B089}"/>
    <cellStyle name="Normal 4 4 2 2 7 2 2" xfId="8555" xr:uid="{217183F3-6D90-4581-ABC8-9523596B692E}"/>
    <cellStyle name="Normal 4 4 2 2 7 3" xfId="6410" xr:uid="{921CF025-6959-43EA-B891-6F2ED4003434}"/>
    <cellStyle name="Normal 4 4 2 2 8" xfId="2960" xr:uid="{C1622068-51A4-4AE1-99CA-E20C668D49A6}"/>
    <cellStyle name="Normal 4 4 2 2 8 2" xfId="6823" xr:uid="{6069982D-B94F-4641-A0F7-2EBCD9E56CB2}"/>
    <cellStyle name="Normal 4 4 2 2 9" xfId="4758" xr:uid="{4651A46D-2D28-45B8-9ABC-9D6A3005B518}"/>
    <cellStyle name="Normal 4 4 2 3" xfId="387" xr:uid="{00000000-0005-0000-0000-0000A5020000}"/>
    <cellStyle name="Normal 4 4 2 3 2" xfId="388" xr:uid="{00000000-0005-0000-0000-0000A6020000}"/>
    <cellStyle name="Normal 4 4 2 3 2 2" xfId="868" xr:uid="{00000000-0005-0000-0000-0000A7020000}"/>
    <cellStyle name="Normal 4 4 2 3 2 2 2" xfId="1701" xr:uid="{CF2DB2AC-A0CD-4242-9958-1F673EE7D4F3}"/>
    <cellStyle name="Normal 4 4 2 3 2 2 2 2" xfId="7321" xr:uid="{A3124C8F-D858-42ED-8FED-F44B66FC7DF6}"/>
    <cellStyle name="Normal 4 4 2 3 2 2 3" xfId="5176" xr:uid="{540F7E56-854B-4AB9-A1EF-0D63A7675D9A}"/>
    <cellStyle name="Normal 4 4 2 3 2 3" xfId="1285" xr:uid="{11BF87D1-4B61-4F50-985C-CACBFC0B657D}"/>
    <cellStyle name="Normal 4 4 2 3 2 3 2" xfId="3519" xr:uid="{DD39AB63-2ED9-4AD3-9088-385D1847C0DF}"/>
    <cellStyle name="Normal 4 4 2 3 2 3 2 2" xfId="7734" xr:uid="{96212ACA-6671-4D05-9F55-A820B0F3449E}"/>
    <cellStyle name="Normal 4 4 2 3 2 3 3" xfId="5589" xr:uid="{8A09D3AC-DDA6-4458-8258-A579E48C38EA}"/>
    <cellStyle name="Normal 4 4 2 3 2 4" xfId="2116" xr:uid="{FA3C59DB-A8A9-4EBC-87D1-AE813EA00C6E}"/>
    <cellStyle name="Normal 4 4 2 3 2 4 2" xfId="3932" xr:uid="{62E5A467-943D-4B78-A6A5-F3AADF460A7B}"/>
    <cellStyle name="Normal 4 4 2 3 2 4 2 2" xfId="8147" xr:uid="{7CF401C9-2C7F-472F-8B04-66B365B383BE}"/>
    <cellStyle name="Normal 4 4 2 3 2 4 3" xfId="6002" xr:uid="{26CDAC9E-711B-4761-A451-CD419ECBAF15}"/>
    <cellStyle name="Normal 4 4 2 3 2 5" xfId="2529" xr:uid="{310623FB-7F8B-46BB-9878-5AE32921D065}"/>
    <cellStyle name="Normal 4 4 2 3 2 5 2" xfId="4345" xr:uid="{F0EDF3FD-F3E7-4366-8869-1DBDF184F6D4}"/>
    <cellStyle name="Normal 4 4 2 3 2 5 2 2" xfId="8560" xr:uid="{0D0F4B27-1495-41B0-A273-59100B033B13}"/>
    <cellStyle name="Normal 4 4 2 3 2 5 3" xfId="6415" xr:uid="{53B83AC9-C39F-4DB7-AEBE-5D2910986205}"/>
    <cellStyle name="Normal 4 4 2 3 2 6" xfId="2965" xr:uid="{C8392735-27CC-4324-8722-DD4F9F9FF3BB}"/>
    <cellStyle name="Normal 4 4 2 3 2 6 2" xfId="6828" xr:uid="{9EE69E3D-57DD-4BEA-9E0C-788C0C40E700}"/>
    <cellStyle name="Normal 4 4 2 3 2 7" xfId="4763" xr:uid="{28D49C20-A148-4F2B-8E0C-55B190EF618D}"/>
    <cellStyle name="Normal 4 4 2 3 3" xfId="867" xr:uid="{00000000-0005-0000-0000-0000A8020000}"/>
    <cellStyle name="Normal 4 4 2 3 3 2" xfId="1700" xr:uid="{033F8DAE-19F1-4150-8BEA-44CADEC31262}"/>
    <cellStyle name="Normal 4 4 2 3 3 2 2" xfId="7320" xr:uid="{96FBF515-CF10-44CE-B601-1D7994F69CDF}"/>
    <cellStyle name="Normal 4 4 2 3 3 3" xfId="5175" xr:uid="{D88027F9-4514-40D9-86A0-C4E2A2A7519B}"/>
    <cellStyle name="Normal 4 4 2 3 4" xfId="1284" xr:uid="{8D982930-E064-4E2F-B064-AF77C382DE82}"/>
    <cellStyle name="Normal 4 4 2 3 4 2" xfId="3518" xr:uid="{1D737A0D-BF52-433E-B8D4-980A4FED4DFB}"/>
    <cellStyle name="Normal 4 4 2 3 4 2 2" xfId="7733" xr:uid="{F2CE43B9-2B33-48BC-8008-B93AEEF257A9}"/>
    <cellStyle name="Normal 4 4 2 3 4 3" xfId="5588" xr:uid="{E2599012-86DC-4756-9B38-122ACD97A181}"/>
    <cellStyle name="Normal 4 4 2 3 5" xfId="2115" xr:uid="{617DF8C9-2D1B-4692-9E1D-0CC9FEABE024}"/>
    <cellStyle name="Normal 4 4 2 3 5 2" xfId="3931" xr:uid="{0C82F1DC-36D2-4ADE-95E4-5A268E026758}"/>
    <cellStyle name="Normal 4 4 2 3 5 2 2" xfId="8146" xr:uid="{EC526BC0-3EC6-43ED-987E-91AD8040078B}"/>
    <cellStyle name="Normal 4 4 2 3 5 3" xfId="6001" xr:uid="{54844F4E-7849-4A71-BD1E-D752043BCCC8}"/>
    <cellStyle name="Normal 4 4 2 3 6" xfId="2528" xr:uid="{6D26CFD3-E14A-4D08-A1B7-706EF4ECA5AD}"/>
    <cellStyle name="Normal 4 4 2 3 6 2" xfId="4344" xr:uid="{323FBD09-597C-4D22-842B-EBD89E7AAB45}"/>
    <cellStyle name="Normal 4 4 2 3 6 2 2" xfId="8559" xr:uid="{31428E6D-752F-4924-AC86-C4798AC26017}"/>
    <cellStyle name="Normal 4 4 2 3 6 3" xfId="6414" xr:uid="{9AD44F3D-B3F7-4548-9100-313FF523AB58}"/>
    <cellStyle name="Normal 4 4 2 3 7" xfId="2964" xr:uid="{CCC2D1C2-2FE4-489D-BF25-6910D0466B17}"/>
    <cellStyle name="Normal 4 4 2 3 7 2" xfId="6827" xr:uid="{C63B78DC-6468-491C-9085-804B976782B8}"/>
    <cellStyle name="Normal 4 4 2 3 8" xfId="4762" xr:uid="{5F22A7B4-76BC-459F-B030-44FCC9009A0B}"/>
    <cellStyle name="Normal 4 4 2 4" xfId="389" xr:uid="{00000000-0005-0000-0000-0000A9020000}"/>
    <cellStyle name="Normal 4 4 2 4 2" xfId="869" xr:uid="{00000000-0005-0000-0000-0000AA020000}"/>
    <cellStyle name="Normal 4 4 2 4 2 2" xfId="1702" xr:uid="{6F01B668-96F2-4586-927B-14A13848E8A7}"/>
    <cellStyle name="Normal 4 4 2 4 2 2 2" xfId="7322" xr:uid="{68BE0C27-583E-45C7-BBBE-2225CD2B6DB5}"/>
    <cellStyle name="Normal 4 4 2 4 2 3" xfId="5177" xr:uid="{F21089FB-2AE6-47A2-9CBF-246D1B49B4C3}"/>
    <cellStyle name="Normal 4 4 2 4 3" xfId="1286" xr:uid="{86358D2D-C159-4764-A3AC-3932BC01D9B3}"/>
    <cellStyle name="Normal 4 4 2 4 3 2" xfId="3520" xr:uid="{CF263290-64A1-4047-AA6F-1A37A34974F8}"/>
    <cellStyle name="Normal 4 4 2 4 3 2 2" xfId="7735" xr:uid="{DD2E30A6-1F33-4DD6-B786-615475EF6F6B}"/>
    <cellStyle name="Normal 4 4 2 4 3 3" xfId="5590" xr:uid="{ED4C6462-4937-4F73-9CBB-A91D34FB03A7}"/>
    <cellStyle name="Normal 4 4 2 4 4" xfId="2117" xr:uid="{7C51925E-1DAD-41B5-809D-10D2C28A0470}"/>
    <cellStyle name="Normal 4 4 2 4 4 2" xfId="3933" xr:uid="{E96651AC-4F9F-429A-8E52-C660C778FD86}"/>
    <cellStyle name="Normal 4 4 2 4 4 2 2" xfId="8148" xr:uid="{8E6DA6AB-C230-4CDA-A099-72DA1CABDA55}"/>
    <cellStyle name="Normal 4 4 2 4 4 3" xfId="6003" xr:uid="{28E9CA94-5811-42E1-8EDD-3808C561AABF}"/>
    <cellStyle name="Normal 4 4 2 4 5" xfId="2530" xr:uid="{344959EB-335A-4C7F-8E4E-DC11DF8288AF}"/>
    <cellStyle name="Normal 4 4 2 4 5 2" xfId="4346" xr:uid="{84372616-218D-4C89-89BF-3D06E8E32E1E}"/>
    <cellStyle name="Normal 4 4 2 4 5 2 2" xfId="8561" xr:uid="{E611F1C4-8871-431F-844F-54B1BAE4F114}"/>
    <cellStyle name="Normal 4 4 2 4 5 3" xfId="6416" xr:uid="{4094C16D-40FB-4791-B6DE-90998D18F4D6}"/>
    <cellStyle name="Normal 4 4 2 4 6" xfId="2966" xr:uid="{3B954E08-3D11-4199-A5F6-E86E5B80866E}"/>
    <cellStyle name="Normal 4 4 2 4 6 2" xfId="6829" xr:uid="{D377FD65-095D-4C34-B371-9359A6219AAE}"/>
    <cellStyle name="Normal 4 4 2 4 7" xfId="4764" xr:uid="{6F35999D-483D-4C60-9E6C-EC38FC305251}"/>
    <cellStyle name="Normal 4 4 2 5" xfId="862" xr:uid="{00000000-0005-0000-0000-0000AB020000}"/>
    <cellStyle name="Normal 4 4 2 5 2" xfId="1695" xr:uid="{5C0E6185-0E1C-45F0-A7E8-5B8584A026DD}"/>
    <cellStyle name="Normal 4 4 2 5 2 2" xfId="7315" xr:uid="{44B5051B-BD59-4CD1-B11C-A0F1084C6918}"/>
    <cellStyle name="Normal 4 4 2 5 3" xfId="5170" xr:uid="{C010A428-160C-4E8E-839D-8F5B63298417}"/>
    <cellStyle name="Normal 4 4 2 6" xfId="1279" xr:uid="{F921BCE2-2B16-467E-A110-D9BDFEEEBECF}"/>
    <cellStyle name="Normal 4 4 2 6 2" xfId="3513" xr:uid="{ED26D3BD-BAAC-4B34-BFC0-3177966A96A5}"/>
    <cellStyle name="Normal 4 4 2 6 2 2" xfId="7728" xr:uid="{2FBF8714-0DDF-411E-A9E2-B74B183D5901}"/>
    <cellStyle name="Normal 4 4 2 6 3" xfId="5583" xr:uid="{37189C45-8EFA-459C-9825-DB7307C4324F}"/>
    <cellStyle name="Normal 4 4 2 7" xfId="2110" xr:uid="{8AD5B3CB-E665-4E11-B3E1-8753FBFB118A}"/>
    <cellStyle name="Normal 4 4 2 7 2" xfId="3926" xr:uid="{ABCA3392-10B9-4A9A-9AC7-8D882F440509}"/>
    <cellStyle name="Normal 4 4 2 7 2 2" xfId="8141" xr:uid="{DFDF0056-20BB-438F-8878-5448F21BA499}"/>
    <cellStyle name="Normal 4 4 2 7 3" xfId="5996" xr:uid="{24CBF7C0-D93B-43EB-9903-E2C9BE3DF664}"/>
    <cellStyle name="Normal 4 4 2 8" xfId="2523" xr:uid="{7CBAC886-7836-468C-8909-10720FD649D6}"/>
    <cellStyle name="Normal 4 4 2 8 2" xfId="4339" xr:uid="{B98A8287-892E-4A7B-BC0D-DAFDE571CF73}"/>
    <cellStyle name="Normal 4 4 2 8 2 2" xfId="8554" xr:uid="{B503C083-733D-4A3F-8947-9408B9B7EB1B}"/>
    <cellStyle name="Normal 4 4 2 8 3" xfId="6409" xr:uid="{CF3B18AA-4018-4F20-8E67-85BC29A224D0}"/>
    <cellStyle name="Normal 4 4 2 9" xfId="2959" xr:uid="{51CA9909-87B8-492A-928F-677B5A3986F7}"/>
    <cellStyle name="Normal 4 4 2 9 2" xfId="6822" xr:uid="{35DA3550-8C21-4CC8-A8F7-29B8718E2D7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5" xr:uid="{8D45BF6A-F155-452A-AE02-0F2A1D9D3DC1}"/>
    <cellStyle name="Normal 4 4 3 2 2 2 2 2" xfId="7325" xr:uid="{2AE96A7C-43EC-4150-BF03-BC4353D16D87}"/>
    <cellStyle name="Normal 4 4 3 2 2 2 3" xfId="5180" xr:uid="{8D41907C-FC9D-413F-8747-81BA04C22663}"/>
    <cellStyle name="Normal 4 4 3 2 2 3" xfId="1289" xr:uid="{22448303-D898-45B7-B2C1-025663F735F4}"/>
    <cellStyle name="Normal 4 4 3 2 2 3 2" xfId="3523" xr:uid="{D23DED5E-4AF8-43DA-8CE0-677B15D2A05F}"/>
    <cellStyle name="Normal 4 4 3 2 2 3 2 2" xfId="7738" xr:uid="{FEE8B20B-3AC0-4E61-9A39-FA30EC888DA7}"/>
    <cellStyle name="Normal 4 4 3 2 2 3 3" xfId="5593" xr:uid="{0C6CA53F-3E62-40AC-BC77-A839A9FFD149}"/>
    <cellStyle name="Normal 4 4 3 2 2 4" xfId="2120" xr:uid="{FFC1E57C-2EDF-4A9C-A8B8-A8A8FED13BD5}"/>
    <cellStyle name="Normal 4 4 3 2 2 4 2" xfId="3936" xr:uid="{228E145F-C749-4B5B-B39E-36BAFB001543}"/>
    <cellStyle name="Normal 4 4 3 2 2 4 2 2" xfId="8151" xr:uid="{21AC89DA-3777-4D90-A6B8-6EDB406C052A}"/>
    <cellStyle name="Normal 4 4 3 2 2 4 3" xfId="6006" xr:uid="{1CDC9167-96AA-4B04-A9ED-F45EB9CE68A7}"/>
    <cellStyle name="Normal 4 4 3 2 2 5" xfId="2533" xr:uid="{4B60EAC1-6601-4118-8758-C203528E1B56}"/>
    <cellStyle name="Normal 4 4 3 2 2 5 2" xfId="4349" xr:uid="{05CFD88C-A837-4744-80F3-DB6C1F92ADC7}"/>
    <cellStyle name="Normal 4 4 3 2 2 5 2 2" xfId="8564" xr:uid="{355277DC-6168-4F34-811F-10DEAE555C34}"/>
    <cellStyle name="Normal 4 4 3 2 2 5 3" xfId="6419" xr:uid="{300D60BB-4B0B-4440-AC09-A8089C6350C6}"/>
    <cellStyle name="Normal 4 4 3 2 2 6" xfId="2969" xr:uid="{DB57912F-BE4F-4070-8EAC-4162BD72DA89}"/>
    <cellStyle name="Normal 4 4 3 2 2 6 2" xfId="6832" xr:uid="{13DC28F2-B83E-47A8-95B4-743CEBA450DD}"/>
    <cellStyle name="Normal 4 4 3 2 2 7" xfId="4767" xr:uid="{D904B3FF-68C0-476F-A5B4-02E05AA69839}"/>
    <cellStyle name="Normal 4 4 3 2 3" xfId="871" xr:uid="{00000000-0005-0000-0000-0000B0020000}"/>
    <cellStyle name="Normal 4 4 3 2 3 2" xfId="1704" xr:uid="{A3E1C036-AB3A-4701-82FC-7DD5CE583407}"/>
    <cellStyle name="Normal 4 4 3 2 3 2 2" xfId="7324" xr:uid="{17D5B15E-FA87-4454-97B3-EC7B61B366EC}"/>
    <cellStyle name="Normal 4 4 3 2 3 3" xfId="5179" xr:uid="{0D12C3F0-1211-48EC-A51B-217737B71B30}"/>
    <cellStyle name="Normal 4 4 3 2 4" xfId="1288" xr:uid="{DE6A03E0-A33D-411C-B77D-527F9FFD769E}"/>
    <cellStyle name="Normal 4 4 3 2 4 2" xfId="3522" xr:uid="{C94FF8D3-F6DB-44DF-82E2-27F977CB26FB}"/>
    <cellStyle name="Normal 4 4 3 2 4 2 2" xfId="7737" xr:uid="{EDD1B714-A5F9-4AFD-9482-5508FFF335E0}"/>
    <cellStyle name="Normal 4 4 3 2 4 3" xfId="5592" xr:uid="{924C851F-A67F-41DB-9E9C-73A2A8AE804C}"/>
    <cellStyle name="Normal 4 4 3 2 5" xfId="2119" xr:uid="{0471BEB9-5582-432D-A53A-E652E3471B79}"/>
    <cellStyle name="Normal 4 4 3 2 5 2" xfId="3935" xr:uid="{DBEA45B9-CEB3-4893-8301-714B2B0E0ECA}"/>
    <cellStyle name="Normal 4 4 3 2 5 2 2" xfId="8150" xr:uid="{829DFDE5-5122-4F27-BECD-6BDB17279315}"/>
    <cellStyle name="Normal 4 4 3 2 5 3" xfId="6005" xr:uid="{BEC7C578-C304-4214-8637-EBD6393B61D8}"/>
    <cellStyle name="Normal 4 4 3 2 6" xfId="2532" xr:uid="{8F4CF0E3-3893-4A57-9106-17AAE11ADCFF}"/>
    <cellStyle name="Normal 4 4 3 2 6 2" xfId="4348" xr:uid="{832BC2FE-E0FB-44C1-AE9C-B8700FF8CE5D}"/>
    <cellStyle name="Normal 4 4 3 2 6 2 2" xfId="8563" xr:uid="{FD8DBE5B-D7E9-4F88-A5B9-3FDB121FB47D}"/>
    <cellStyle name="Normal 4 4 3 2 6 3" xfId="6418" xr:uid="{59D5F5F9-7974-486B-8CE7-83B605773DB8}"/>
    <cellStyle name="Normal 4 4 3 2 7" xfId="2968" xr:uid="{5864781D-C848-44C9-B070-29E1EB977466}"/>
    <cellStyle name="Normal 4 4 3 2 7 2" xfId="6831" xr:uid="{474D785A-90F6-4863-8DCF-23ED8B6F202D}"/>
    <cellStyle name="Normal 4 4 3 2 8" xfId="4766" xr:uid="{38F87D29-08B8-4349-966E-BF905820C638}"/>
    <cellStyle name="Normal 4 4 3 3" xfId="393" xr:uid="{00000000-0005-0000-0000-0000B1020000}"/>
    <cellStyle name="Normal 4 4 3 3 2" xfId="873" xr:uid="{00000000-0005-0000-0000-0000B2020000}"/>
    <cellStyle name="Normal 4 4 3 3 2 2" xfId="1706" xr:uid="{D0BA7188-8B9E-4F51-A523-904287E47067}"/>
    <cellStyle name="Normal 4 4 3 3 2 2 2" xfId="7326" xr:uid="{E96B4666-2625-463F-B424-2F4EF6B72EE3}"/>
    <cellStyle name="Normal 4 4 3 3 2 3" xfId="5181" xr:uid="{64032B4B-C14C-4C14-8653-2544117298D8}"/>
    <cellStyle name="Normal 4 4 3 3 3" xfId="1290" xr:uid="{241BEBDF-270C-4B51-A0FA-E0F18BEFE319}"/>
    <cellStyle name="Normal 4 4 3 3 3 2" xfId="3524" xr:uid="{75B9F5C7-BD1D-4C55-A3FA-FD9E06AC8F1B}"/>
    <cellStyle name="Normal 4 4 3 3 3 2 2" xfId="7739" xr:uid="{2F509074-6D95-4DF0-A681-4A98B7A5F4E3}"/>
    <cellStyle name="Normal 4 4 3 3 3 3" xfId="5594" xr:uid="{03200080-1807-41C1-8A9F-60E4BEDF54DE}"/>
    <cellStyle name="Normal 4 4 3 3 4" xfId="2121" xr:uid="{8D6C7989-6EAA-4016-A777-56BB1053FCCE}"/>
    <cellStyle name="Normal 4 4 3 3 4 2" xfId="3937" xr:uid="{2FDC4DDB-B0C4-4BF6-8B3B-373F939A8C9B}"/>
    <cellStyle name="Normal 4 4 3 3 4 2 2" xfId="8152" xr:uid="{4A66065F-F7BF-409E-873E-12C2D4B9B280}"/>
    <cellStyle name="Normal 4 4 3 3 4 3" xfId="6007" xr:uid="{958E9716-CCD8-40F3-A3A7-41DFDD22EF39}"/>
    <cellStyle name="Normal 4 4 3 3 5" xfId="2534" xr:uid="{E1B02089-5F13-4F4E-9AF0-46F514DF3346}"/>
    <cellStyle name="Normal 4 4 3 3 5 2" xfId="4350" xr:uid="{B8FCFBC4-58EA-4671-8538-D1076F1368D4}"/>
    <cellStyle name="Normal 4 4 3 3 5 2 2" xfId="8565" xr:uid="{094B0D95-5738-44D0-91DD-478C5B088864}"/>
    <cellStyle name="Normal 4 4 3 3 5 3" xfId="6420" xr:uid="{2DBBD428-442A-4438-A425-E97B269CEADD}"/>
    <cellStyle name="Normal 4 4 3 3 6" xfId="2970" xr:uid="{26EB0B3D-4930-4368-93EE-8F3833B1B443}"/>
    <cellStyle name="Normal 4 4 3 3 6 2" xfId="6833" xr:uid="{87492957-EC30-451F-B1E7-9DB17E74F9F2}"/>
    <cellStyle name="Normal 4 4 3 3 7" xfId="4768" xr:uid="{025D8FAB-BA20-4D5A-8B7F-3D2E94946ECE}"/>
    <cellStyle name="Normal 4 4 3 4" xfId="870" xr:uid="{00000000-0005-0000-0000-0000B3020000}"/>
    <cellStyle name="Normal 4 4 3 4 2" xfId="1703" xr:uid="{6C68D35D-D10F-4DD5-8A6E-AE03B1FF6799}"/>
    <cellStyle name="Normal 4 4 3 4 2 2" xfId="7323" xr:uid="{B7C9075F-F0C0-4DA5-833C-D459C6C30F38}"/>
    <cellStyle name="Normal 4 4 3 4 3" xfId="5178" xr:uid="{D49EC292-A2FA-4CAA-95B7-53AC85078A27}"/>
    <cellStyle name="Normal 4 4 3 5" xfId="1287" xr:uid="{314A6226-AEA7-4510-9049-5C40854AEF12}"/>
    <cellStyle name="Normal 4 4 3 5 2" xfId="3521" xr:uid="{3016B783-8D5D-4D2D-A820-AE254D2E7100}"/>
    <cellStyle name="Normal 4 4 3 5 2 2" xfId="7736" xr:uid="{F93F6635-FFA6-4F46-8443-021E7D533F81}"/>
    <cellStyle name="Normal 4 4 3 5 3" xfId="5591" xr:uid="{B2602C4B-F3F3-48A3-B2F0-9DD75828C842}"/>
    <cellStyle name="Normal 4 4 3 6" xfId="2118" xr:uid="{90305A6A-B990-49E6-A4DF-43FD0E656205}"/>
    <cellStyle name="Normal 4 4 3 6 2" xfId="3934" xr:uid="{3AC0404A-F45E-444C-A1C2-039DA93CF1F8}"/>
    <cellStyle name="Normal 4 4 3 6 2 2" xfId="8149" xr:uid="{1C8736B0-3FF1-43C9-9B8C-102C8EC98531}"/>
    <cellStyle name="Normal 4 4 3 6 3" xfId="6004" xr:uid="{BB5B8F47-1E2B-46EE-B23C-C7EAEA35F428}"/>
    <cellStyle name="Normal 4 4 3 7" xfId="2531" xr:uid="{822C4630-65B6-4E74-8EE2-45456B071AF3}"/>
    <cellStyle name="Normal 4 4 3 7 2" xfId="4347" xr:uid="{6CED4430-FE1A-4B5D-9394-3C830A59DEC8}"/>
    <cellStyle name="Normal 4 4 3 7 2 2" xfId="8562" xr:uid="{0F21617C-AF56-48EB-905D-C9DBD1249366}"/>
    <cellStyle name="Normal 4 4 3 7 3" xfId="6417" xr:uid="{124EB58C-E5E3-4365-A9CA-3384078D4155}"/>
    <cellStyle name="Normal 4 4 3 8" xfId="2967" xr:uid="{A74C5D31-5335-43D9-BE18-AD615773F7D6}"/>
    <cellStyle name="Normal 4 4 3 8 2" xfId="6830" xr:uid="{465B28C9-2F26-4F52-890E-DAAAF940CBA6}"/>
    <cellStyle name="Normal 4 4 3 9" xfId="4765" xr:uid="{B28E7C6D-FB62-46E2-97E2-CBA1DBA81564}"/>
    <cellStyle name="Normal 4 4 4" xfId="394" xr:uid="{00000000-0005-0000-0000-0000B4020000}"/>
    <cellStyle name="Normal 4 4 4 2" xfId="395" xr:uid="{00000000-0005-0000-0000-0000B5020000}"/>
    <cellStyle name="Normal 4 4 4 2 2" xfId="875" xr:uid="{00000000-0005-0000-0000-0000B6020000}"/>
    <cellStyle name="Normal 4 4 4 2 2 2" xfId="1708" xr:uid="{1CABB1C3-1249-437D-A7D2-7BC58CAB8B72}"/>
    <cellStyle name="Normal 4 4 4 2 2 2 2" xfId="7328" xr:uid="{288CC186-893E-48B4-9DCD-DC852C0FFAD8}"/>
    <cellStyle name="Normal 4 4 4 2 2 3" xfId="5183" xr:uid="{A68403A8-0B28-4B75-A1EF-673E2B1ACE01}"/>
    <cellStyle name="Normal 4 4 4 2 3" xfId="1292" xr:uid="{50F53E26-CBA2-489C-886F-F73CADCD3D34}"/>
    <cellStyle name="Normal 4 4 4 2 3 2" xfId="3526" xr:uid="{67AED33A-AA5D-49D5-9575-3D9340B74618}"/>
    <cellStyle name="Normal 4 4 4 2 3 2 2" xfId="7741" xr:uid="{23C7122D-5660-499F-B4DC-4EBEAF67E7B7}"/>
    <cellStyle name="Normal 4 4 4 2 3 3" xfId="5596" xr:uid="{A3D46F29-6CE4-416B-B626-DF8668D1261C}"/>
    <cellStyle name="Normal 4 4 4 2 4" xfId="2123" xr:uid="{FAA1ECCA-B09C-43DC-90D2-2DD6BAFBF47F}"/>
    <cellStyle name="Normal 4 4 4 2 4 2" xfId="3939" xr:uid="{CF218FAD-D05D-4738-9DFF-719DADFADAB2}"/>
    <cellStyle name="Normal 4 4 4 2 4 2 2" xfId="8154" xr:uid="{A285505C-8F4C-4396-9D46-35CBC682FC8C}"/>
    <cellStyle name="Normal 4 4 4 2 4 3" xfId="6009" xr:uid="{5B448831-AAAB-4248-AD1D-0F5A4C62173F}"/>
    <cellStyle name="Normal 4 4 4 2 5" xfId="2536" xr:uid="{D96CC5DE-3D3F-4358-AC9B-B848FF56C6E2}"/>
    <cellStyle name="Normal 4 4 4 2 5 2" xfId="4352" xr:uid="{06026E3B-2D15-4CD3-80FB-F4FAD43424CC}"/>
    <cellStyle name="Normal 4 4 4 2 5 2 2" xfId="8567" xr:uid="{62F864AD-5D28-4E9B-BA77-58EFCF20793E}"/>
    <cellStyle name="Normal 4 4 4 2 5 3" xfId="6422" xr:uid="{17F2C48E-0031-4242-AC3A-30CA2BCF957A}"/>
    <cellStyle name="Normal 4 4 4 2 6" xfId="2972" xr:uid="{D099B518-E414-42F8-A322-F660C51A6D92}"/>
    <cellStyle name="Normal 4 4 4 2 6 2" xfId="6835" xr:uid="{8551758F-E375-444F-BC6A-21B95FA3790D}"/>
    <cellStyle name="Normal 4 4 4 2 7" xfId="4770" xr:uid="{097D62F1-5F46-4763-9A71-262A43887898}"/>
    <cellStyle name="Normal 4 4 4 3" xfId="874" xr:uid="{00000000-0005-0000-0000-0000B7020000}"/>
    <cellStyle name="Normal 4 4 4 3 2" xfId="1707" xr:uid="{D1FBFED9-AC4D-43EF-BF26-354B2A9E8C8D}"/>
    <cellStyle name="Normal 4 4 4 3 2 2" xfId="7327" xr:uid="{FD832374-335F-4E54-BEF3-C6C8CAAD7260}"/>
    <cellStyle name="Normal 4 4 4 3 3" xfId="5182" xr:uid="{FC4C5DCD-7EFA-4930-A068-F82D4DA877A0}"/>
    <cellStyle name="Normal 4 4 4 4" xfId="1291" xr:uid="{5BD441C1-E2DC-4CED-9C51-9BA21D3F1421}"/>
    <cellStyle name="Normal 4 4 4 4 2" xfId="3525" xr:uid="{D86F0DFA-9544-489D-95FC-6A427071E173}"/>
    <cellStyle name="Normal 4 4 4 4 2 2" xfId="7740" xr:uid="{E8247253-E13F-4C34-8435-395728C5CB93}"/>
    <cellStyle name="Normal 4 4 4 4 3" xfId="5595" xr:uid="{DAD02F12-79A0-45E3-9E3B-B7E13D2689D2}"/>
    <cellStyle name="Normal 4 4 4 5" xfId="2122" xr:uid="{914A418E-96B1-44D9-8DD4-84CD173F3FCA}"/>
    <cellStyle name="Normal 4 4 4 5 2" xfId="3938" xr:uid="{D78CC75F-300F-471E-A428-879AACFF9AA2}"/>
    <cellStyle name="Normal 4 4 4 5 2 2" xfId="8153" xr:uid="{AC3455A4-5379-46D4-BC2B-2DDE2A447DB1}"/>
    <cellStyle name="Normal 4 4 4 5 3" xfId="6008" xr:uid="{46A247CE-FF5E-4A65-BCCA-BBC187F5FBDC}"/>
    <cellStyle name="Normal 4 4 4 6" xfId="2535" xr:uid="{3826077D-8D4C-45CD-83E4-CA6C1C59491D}"/>
    <cellStyle name="Normal 4 4 4 6 2" xfId="4351" xr:uid="{CB9FECDE-C47A-4CE7-A9FF-0565FBAE2886}"/>
    <cellStyle name="Normal 4 4 4 6 2 2" xfId="8566" xr:uid="{3D5C01CE-9177-486A-8447-D9E1BFF68589}"/>
    <cellStyle name="Normal 4 4 4 6 3" xfId="6421" xr:uid="{181C9E96-D5C6-45CA-AE69-06A22A08F05E}"/>
    <cellStyle name="Normal 4 4 4 7" xfId="2971" xr:uid="{F3D5989F-EE35-4ED1-94D7-242DA78F5B3A}"/>
    <cellStyle name="Normal 4 4 4 7 2" xfId="6834" xr:uid="{869F2855-6938-4333-A5AF-B56B492256E5}"/>
    <cellStyle name="Normal 4 4 4 8" xfId="4769" xr:uid="{1156CC40-DD4E-4713-8F74-29AD54226750}"/>
    <cellStyle name="Normal 4 4 5" xfId="396" xr:uid="{00000000-0005-0000-0000-0000B8020000}"/>
    <cellStyle name="Normal 4 4 5 2" xfId="876" xr:uid="{00000000-0005-0000-0000-0000B9020000}"/>
    <cellStyle name="Normal 4 4 5 2 2" xfId="1709" xr:uid="{1FF1A0D0-8ED9-4D5E-8B95-EA0A4CFB3890}"/>
    <cellStyle name="Normal 4 4 5 2 2 2" xfId="7329" xr:uid="{3F50D391-CD95-4494-B9D8-8F004EDDC141}"/>
    <cellStyle name="Normal 4 4 5 2 3" xfId="5184" xr:uid="{ABC83926-2883-4635-8875-2E9E820B177A}"/>
    <cellStyle name="Normal 4 4 5 3" xfId="1293" xr:uid="{2DFE2151-932F-4688-88A0-A8E14753F13B}"/>
    <cellStyle name="Normal 4 4 5 3 2" xfId="3527" xr:uid="{601EA5BE-4E64-4773-A149-0D1F004AE115}"/>
    <cellStyle name="Normal 4 4 5 3 2 2" xfId="7742" xr:uid="{12E8AE64-2E69-4726-9EB0-28FCE4D1C059}"/>
    <cellStyle name="Normal 4 4 5 3 3" xfId="5597" xr:uid="{3D9EC018-7155-4DEC-B5DA-35A36F52BE48}"/>
    <cellStyle name="Normal 4 4 5 4" xfId="2124" xr:uid="{93DEBEBD-4747-46C5-808B-5DE2E4E01476}"/>
    <cellStyle name="Normal 4 4 5 4 2" xfId="3940" xr:uid="{C6A88E75-FF70-44CC-9C31-088B9300D29C}"/>
    <cellStyle name="Normal 4 4 5 4 2 2" xfId="8155" xr:uid="{0F0CF4C7-5CDA-46C3-A79A-E1EA2FA9F46A}"/>
    <cellStyle name="Normal 4 4 5 4 3" xfId="6010" xr:uid="{4020C609-3CEE-487C-87F2-E149C5FB62CB}"/>
    <cellStyle name="Normal 4 4 5 5" xfId="2537" xr:uid="{3DD98CEB-13C7-48A0-BDFD-D18EC8D9190D}"/>
    <cellStyle name="Normal 4 4 5 5 2" xfId="4353" xr:uid="{03D14E3C-8156-44A1-8449-651D0D6B4024}"/>
    <cellStyle name="Normal 4 4 5 5 2 2" xfId="8568" xr:uid="{92A97E17-03F6-4AA6-8AD5-5D036F887F4E}"/>
    <cellStyle name="Normal 4 4 5 5 3" xfId="6423" xr:uid="{2EC142C7-A4FA-427F-BC56-27E95AE3727D}"/>
    <cellStyle name="Normal 4 4 5 6" xfId="2973" xr:uid="{E8AD6329-F620-4FFC-BEFA-7143CE43E6A9}"/>
    <cellStyle name="Normal 4 4 5 6 2" xfId="6836" xr:uid="{F5A30CFF-9C28-42F2-8E0D-99B74ACB1B27}"/>
    <cellStyle name="Normal 4 4 5 7" xfId="4771" xr:uid="{AC83ED2A-B836-4ED3-A2F8-2CE7B1D8007F}"/>
    <cellStyle name="Normal 4 4 6" xfId="861" xr:uid="{00000000-0005-0000-0000-0000BA020000}"/>
    <cellStyle name="Normal 4 4 6 2" xfId="1694" xr:uid="{3C6FCD69-E697-4601-8122-FB23EB599E73}"/>
    <cellStyle name="Normal 4 4 6 2 2" xfId="7314" xr:uid="{9EDB1664-9234-4A70-A351-B5464769CBFF}"/>
    <cellStyle name="Normal 4 4 6 3" xfId="5169" xr:uid="{DD05417B-9D27-4DF1-ABE8-16EDCF1FCD1F}"/>
    <cellStyle name="Normal 4 4 7" xfId="1278" xr:uid="{DA613342-E193-4D61-B157-A7BC8C4B62AD}"/>
    <cellStyle name="Normal 4 4 7 2" xfId="3512" xr:uid="{47E8D4DE-CE53-4583-A3F5-A68D9E800816}"/>
    <cellStyle name="Normal 4 4 7 2 2" xfId="7727" xr:uid="{BB0050A5-5B7E-4CB5-9C96-2DB322D3E6C4}"/>
    <cellStyle name="Normal 4 4 7 3" xfId="5582" xr:uid="{689AF250-BC47-4D9D-BE63-551E5BB2D5A8}"/>
    <cellStyle name="Normal 4 4 8" xfId="2109" xr:uid="{214A5D78-569B-4267-A20E-59C2B3C1B36B}"/>
    <cellStyle name="Normal 4 4 8 2" xfId="3925" xr:uid="{6A3E3AEE-B69B-4A15-840F-B3B51982B772}"/>
    <cellStyle name="Normal 4 4 8 2 2" xfId="8140" xr:uid="{B9B90108-785A-4B38-B8A3-AF144D76E08D}"/>
    <cellStyle name="Normal 4 4 8 3" xfId="5995" xr:uid="{4FAEACD1-3D8E-4A85-A808-855BB7917CAC}"/>
    <cellStyle name="Normal 4 4 9" xfId="2522" xr:uid="{14E20065-1F0B-4E10-911C-502A11B1C61F}"/>
    <cellStyle name="Normal 4 4 9 2" xfId="4338" xr:uid="{AC99E7F0-1E60-47D5-930D-7281F617D678}"/>
    <cellStyle name="Normal 4 4 9 2 2" xfId="8553" xr:uid="{CAA02BEF-9B70-4A6A-94D0-E8CBDA90D8B6}"/>
    <cellStyle name="Normal 4 4 9 3" xfId="6408" xr:uid="{B6043463-6EAB-4926-830F-155C427542DA}"/>
    <cellStyle name="Normal 4 5" xfId="397" xr:uid="{00000000-0005-0000-0000-0000BB020000}"/>
    <cellStyle name="Normal 4 6" xfId="398" xr:uid="{00000000-0005-0000-0000-0000BC020000}"/>
    <cellStyle name="Normal 4 6 10" xfId="4772" xr:uid="{B4B7B348-B8C5-486E-89A0-CBEE313D432B}"/>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3" xr:uid="{EE950D50-A49D-4EBB-BB67-77280B87B4C4}"/>
    <cellStyle name="Normal 4 6 2 2 2 2 2 2" xfId="7333" xr:uid="{45ED2AE0-2702-469E-A663-B4B9F7AAC6BF}"/>
    <cellStyle name="Normal 4 6 2 2 2 2 3" xfId="5188" xr:uid="{8B91FDE1-5A6F-4A87-BC7E-7EEDF11CCB51}"/>
    <cellStyle name="Normal 4 6 2 2 2 3" xfId="1297" xr:uid="{2BC96C6F-D92C-4C76-A78E-E2E733038617}"/>
    <cellStyle name="Normal 4 6 2 2 2 3 2" xfId="3531" xr:uid="{8A9EABB1-B5EA-4CB8-8C17-BB918FFBE0E0}"/>
    <cellStyle name="Normal 4 6 2 2 2 3 2 2" xfId="7746" xr:uid="{7EA425D1-542F-4B06-B2CC-3E97C60B06AB}"/>
    <cellStyle name="Normal 4 6 2 2 2 3 3" xfId="5601" xr:uid="{A603D01E-33C8-4BBD-8372-74547AA08AA7}"/>
    <cellStyle name="Normal 4 6 2 2 2 4" xfId="2128" xr:uid="{A663DED6-950A-4E65-9A0A-96C7E4BD541C}"/>
    <cellStyle name="Normal 4 6 2 2 2 4 2" xfId="3944" xr:uid="{7C231EF8-7E32-49F2-946B-B52B7093E129}"/>
    <cellStyle name="Normal 4 6 2 2 2 4 2 2" xfId="8159" xr:uid="{07D8F769-6F5F-4F0F-801E-0A869A3FEE48}"/>
    <cellStyle name="Normal 4 6 2 2 2 4 3" xfId="6014" xr:uid="{6279F040-1B4F-4F35-9E4A-77C6FF641B34}"/>
    <cellStyle name="Normal 4 6 2 2 2 5" xfId="2541" xr:uid="{50F4D38E-C95A-4AD1-BE7E-15BCDE2CA9F4}"/>
    <cellStyle name="Normal 4 6 2 2 2 5 2" xfId="4357" xr:uid="{3DCEE36C-F22F-47D6-A2AE-9F2A3719E814}"/>
    <cellStyle name="Normal 4 6 2 2 2 5 2 2" xfId="8572" xr:uid="{BD9C8CC2-16E1-40E4-9B76-F36B0D61DEEA}"/>
    <cellStyle name="Normal 4 6 2 2 2 5 3" xfId="6427" xr:uid="{B92C43A9-6825-4569-A66B-93DDC6C7F962}"/>
    <cellStyle name="Normal 4 6 2 2 2 6" xfId="2977" xr:uid="{1B1DBA89-DC94-40A8-9F0E-34FA95F3F69B}"/>
    <cellStyle name="Normal 4 6 2 2 2 6 2" xfId="6840" xr:uid="{8C9B32BA-D07F-498C-8CF1-4DE37B092ED0}"/>
    <cellStyle name="Normal 4 6 2 2 2 7" xfId="4775" xr:uid="{9D7D9090-12C0-46B3-82FB-674F505CF161}"/>
    <cellStyle name="Normal 4 6 2 2 3" xfId="879" xr:uid="{00000000-0005-0000-0000-0000C1020000}"/>
    <cellStyle name="Normal 4 6 2 2 3 2" xfId="1712" xr:uid="{07449425-7428-43F5-812A-4DE87D014491}"/>
    <cellStyle name="Normal 4 6 2 2 3 2 2" xfId="7332" xr:uid="{11F198A6-AFAA-4FF2-8550-2D0463113260}"/>
    <cellStyle name="Normal 4 6 2 2 3 3" xfId="5187" xr:uid="{56CAC1A0-D2D2-4F3F-B1C7-19DEC40439CB}"/>
    <cellStyle name="Normal 4 6 2 2 4" xfId="1296" xr:uid="{146053CA-F0DD-4B6F-8B4A-8D123E00AB1E}"/>
    <cellStyle name="Normal 4 6 2 2 4 2" xfId="3530" xr:uid="{4AAED9A8-647B-461B-A2BF-81911912ECD2}"/>
    <cellStyle name="Normal 4 6 2 2 4 2 2" xfId="7745" xr:uid="{631E393E-D131-45E1-9BC2-C8B987B51EA6}"/>
    <cellStyle name="Normal 4 6 2 2 4 3" xfId="5600" xr:uid="{2D1248BC-110F-4CFE-ACC4-F75C1701F9C5}"/>
    <cellStyle name="Normal 4 6 2 2 5" xfId="2127" xr:uid="{E592050E-5D61-428F-B192-27ABD761B74A}"/>
    <cellStyle name="Normal 4 6 2 2 5 2" xfId="3943" xr:uid="{80398D5D-F5C9-42B3-924C-6B104C565949}"/>
    <cellStyle name="Normal 4 6 2 2 5 2 2" xfId="8158" xr:uid="{38453E6D-0876-4C66-8060-77C44BAA6570}"/>
    <cellStyle name="Normal 4 6 2 2 5 3" xfId="6013" xr:uid="{65792C7C-ABC8-4021-8116-D90B52628A3A}"/>
    <cellStyle name="Normal 4 6 2 2 6" xfId="2540" xr:uid="{33596FF0-EA2F-4264-AE3A-2792A9F391E3}"/>
    <cellStyle name="Normal 4 6 2 2 6 2" xfId="4356" xr:uid="{46ECE22F-E9EA-4536-8701-FB6E76AFB867}"/>
    <cellStyle name="Normal 4 6 2 2 6 2 2" xfId="8571" xr:uid="{95FB438C-3671-4853-A59D-526297A82C51}"/>
    <cellStyle name="Normal 4 6 2 2 6 3" xfId="6426" xr:uid="{BF7FD692-A9AD-4B29-9369-506F59222782}"/>
    <cellStyle name="Normal 4 6 2 2 7" xfId="2976" xr:uid="{9588F9C0-1235-49A1-9BAF-63A8C5FDF6AF}"/>
    <cellStyle name="Normal 4 6 2 2 7 2" xfId="6839" xr:uid="{78073C29-E484-4DFC-9104-4F37B44E0AFC}"/>
    <cellStyle name="Normal 4 6 2 2 8" xfId="4774" xr:uid="{7C3293A6-ED4C-4405-BE16-F0A1C22496C7}"/>
    <cellStyle name="Normal 4 6 2 3" xfId="402" xr:uid="{00000000-0005-0000-0000-0000C2020000}"/>
    <cellStyle name="Normal 4 6 2 3 2" xfId="881" xr:uid="{00000000-0005-0000-0000-0000C3020000}"/>
    <cellStyle name="Normal 4 6 2 3 2 2" xfId="1714" xr:uid="{9555EAD7-CCF6-45FA-BCCB-A2FF0FECF2C7}"/>
    <cellStyle name="Normal 4 6 2 3 2 2 2" xfId="7334" xr:uid="{929ABBBC-CE5D-4A4E-9F54-49041B3387E8}"/>
    <cellStyle name="Normal 4 6 2 3 2 3" xfId="5189" xr:uid="{D8C2C272-89F7-4A4B-A86A-0EFFCF080EB4}"/>
    <cellStyle name="Normal 4 6 2 3 3" xfId="1298" xr:uid="{FA43C6DE-0771-4290-A462-285807DF5737}"/>
    <cellStyle name="Normal 4 6 2 3 3 2" xfId="3532" xr:uid="{9F55CC77-E333-48DE-91A2-82BABBC4936A}"/>
    <cellStyle name="Normal 4 6 2 3 3 2 2" xfId="7747" xr:uid="{8A3D0F6C-09BA-49B6-AD82-320DEDB85217}"/>
    <cellStyle name="Normal 4 6 2 3 3 3" xfId="5602" xr:uid="{5E134CF7-D7AB-42A8-8EA2-CC3C798AC943}"/>
    <cellStyle name="Normal 4 6 2 3 4" xfId="2129" xr:uid="{9B8A792F-A83D-4BB5-A513-B899279807E7}"/>
    <cellStyle name="Normal 4 6 2 3 4 2" xfId="3945" xr:uid="{9B1A9444-7C35-4ACB-A2A0-C988AB35BE73}"/>
    <cellStyle name="Normal 4 6 2 3 4 2 2" xfId="8160" xr:uid="{E04837F6-47FD-4465-A65E-3BE938895FD7}"/>
    <cellStyle name="Normal 4 6 2 3 4 3" xfId="6015" xr:uid="{6C26C524-4F26-4E85-BD04-30F00FCC99BE}"/>
    <cellStyle name="Normal 4 6 2 3 5" xfId="2542" xr:uid="{9A9B02E4-990E-4DB9-8E91-3C08D8EB2F81}"/>
    <cellStyle name="Normal 4 6 2 3 5 2" xfId="4358" xr:uid="{6361B8D3-2526-404D-B35F-9F1B5DA3B968}"/>
    <cellStyle name="Normal 4 6 2 3 5 2 2" xfId="8573" xr:uid="{35047108-BD0D-41F5-B1BA-39CC06172550}"/>
    <cellStyle name="Normal 4 6 2 3 5 3" xfId="6428" xr:uid="{3B271D95-BEA7-47DD-ACE4-5DC681D837FE}"/>
    <cellStyle name="Normal 4 6 2 3 6" xfId="2978" xr:uid="{6950FC40-C020-4CB0-AD0F-7AE787E6AB38}"/>
    <cellStyle name="Normal 4 6 2 3 6 2" xfId="6841" xr:uid="{86E87EE9-02DB-4249-A145-47161424D838}"/>
    <cellStyle name="Normal 4 6 2 3 7" xfId="4776" xr:uid="{5016344B-870B-4912-B6E3-CBBC0FD31D7B}"/>
    <cellStyle name="Normal 4 6 2 4" xfId="878" xr:uid="{00000000-0005-0000-0000-0000C4020000}"/>
    <cellStyle name="Normal 4 6 2 4 2" xfId="1711" xr:uid="{D8FCE97B-1076-4126-9965-8166AF423CFA}"/>
    <cellStyle name="Normal 4 6 2 4 2 2" xfId="7331" xr:uid="{D14CC6FD-FB7A-4332-A722-F2AA5CA1C83C}"/>
    <cellStyle name="Normal 4 6 2 4 3" xfId="5186" xr:uid="{B35017D0-A055-4DA0-93D3-979EBABC51B0}"/>
    <cellStyle name="Normal 4 6 2 5" xfId="1295" xr:uid="{7084146C-B739-47C5-AD7E-4190D97548FA}"/>
    <cellStyle name="Normal 4 6 2 5 2" xfId="3529" xr:uid="{89660C9D-0406-415C-A12C-70B367704109}"/>
    <cellStyle name="Normal 4 6 2 5 2 2" xfId="7744" xr:uid="{1B0F2EC3-2F2A-4E13-A6C7-E1B70C5A6462}"/>
    <cellStyle name="Normal 4 6 2 5 3" xfId="5599" xr:uid="{576EE651-004B-4E98-8B57-91BF6BCC19E7}"/>
    <cellStyle name="Normal 4 6 2 6" xfId="2126" xr:uid="{AD92E444-121A-45ED-B073-455D3139C54A}"/>
    <cellStyle name="Normal 4 6 2 6 2" xfId="3942" xr:uid="{B9279799-96C0-49B5-8339-DB446382C78C}"/>
    <cellStyle name="Normal 4 6 2 6 2 2" xfId="8157" xr:uid="{981C5AEA-21CA-404D-A1F0-B831A8263CE6}"/>
    <cellStyle name="Normal 4 6 2 6 3" xfId="6012" xr:uid="{1F6B941A-6369-4502-A212-61D8DBE71219}"/>
    <cellStyle name="Normal 4 6 2 7" xfId="2539" xr:uid="{53C2E9BD-EFA5-4993-AA3D-047B066AD72F}"/>
    <cellStyle name="Normal 4 6 2 7 2" xfId="4355" xr:uid="{506C2ED0-F507-489E-BBBC-B6ACCF179D16}"/>
    <cellStyle name="Normal 4 6 2 7 2 2" xfId="8570" xr:uid="{6B2F8681-F486-480A-9F8A-642BDEC7F8A8}"/>
    <cellStyle name="Normal 4 6 2 7 3" xfId="6425" xr:uid="{1D8D9E3F-5449-4C20-A411-2AD4F0A8E9B5}"/>
    <cellStyle name="Normal 4 6 2 8" xfId="2975" xr:uid="{4A91368E-833C-43BD-A291-288F1792ACEF}"/>
    <cellStyle name="Normal 4 6 2 8 2" xfId="6838" xr:uid="{328A70FD-DEAC-4083-B9CC-D5BAC295327C}"/>
    <cellStyle name="Normal 4 6 2 9" xfId="4773" xr:uid="{60667D76-CA71-4F01-B67B-BC03ABA57C54}"/>
    <cellStyle name="Normal 4 6 3" xfId="403" xr:uid="{00000000-0005-0000-0000-0000C5020000}"/>
    <cellStyle name="Normal 4 6 3 2" xfId="404" xr:uid="{00000000-0005-0000-0000-0000C6020000}"/>
    <cellStyle name="Normal 4 6 3 2 2" xfId="883" xr:uid="{00000000-0005-0000-0000-0000C7020000}"/>
    <cellStyle name="Normal 4 6 3 2 2 2" xfId="1716" xr:uid="{C88FB43C-830B-4206-88BE-C57D64D333B3}"/>
    <cellStyle name="Normal 4 6 3 2 2 2 2" xfId="7336" xr:uid="{4B287180-D582-4F33-9230-F8E171EF07D1}"/>
    <cellStyle name="Normal 4 6 3 2 2 3" xfId="5191" xr:uid="{685AAC33-283B-44AE-87A2-6828E1449760}"/>
    <cellStyle name="Normal 4 6 3 2 3" xfId="1300" xr:uid="{25B6F833-669E-4BCE-971D-4B31CFA4CB7D}"/>
    <cellStyle name="Normal 4 6 3 2 3 2" xfId="3534" xr:uid="{A88B0C51-EADE-425C-9FE6-67A3B9AC4877}"/>
    <cellStyle name="Normal 4 6 3 2 3 2 2" xfId="7749" xr:uid="{AB623E1A-51ED-46A8-B853-0E5DBF6C8877}"/>
    <cellStyle name="Normal 4 6 3 2 3 3" xfId="5604" xr:uid="{B480B84B-C2AB-436F-8224-3F3B647AB0E1}"/>
    <cellStyle name="Normal 4 6 3 2 4" xfId="2131" xr:uid="{F0C1CADB-5258-4FAC-B681-25C7209ADAFF}"/>
    <cellStyle name="Normal 4 6 3 2 4 2" xfId="3947" xr:uid="{DA213C43-7514-4E30-A6A4-CD26C873DED1}"/>
    <cellStyle name="Normal 4 6 3 2 4 2 2" xfId="8162" xr:uid="{6A2AAF96-2560-4E57-8B6B-5F2FEFFC6DB0}"/>
    <cellStyle name="Normal 4 6 3 2 4 3" xfId="6017" xr:uid="{5906DBAF-6DF3-4595-8F62-BFE90C039266}"/>
    <cellStyle name="Normal 4 6 3 2 5" xfId="2544" xr:uid="{CDC22655-0EAE-4E2E-AE07-7922D786187B}"/>
    <cellStyle name="Normal 4 6 3 2 5 2" xfId="4360" xr:uid="{B48942E4-BE94-433C-9ED9-5B3675B2BAFD}"/>
    <cellStyle name="Normal 4 6 3 2 5 2 2" xfId="8575" xr:uid="{9E27347A-768C-42BC-B296-9223CD6EB147}"/>
    <cellStyle name="Normal 4 6 3 2 5 3" xfId="6430" xr:uid="{5B468286-3B28-4196-B78D-27A05039FE01}"/>
    <cellStyle name="Normal 4 6 3 2 6" xfId="2980" xr:uid="{E84A73E0-A1D9-405A-83D9-73B8ABD3647C}"/>
    <cellStyle name="Normal 4 6 3 2 6 2" xfId="6843" xr:uid="{1DDCBC40-DD40-4838-B5BB-F70E46EC362D}"/>
    <cellStyle name="Normal 4 6 3 2 7" xfId="4778" xr:uid="{7FE73FFC-930F-421C-A1F8-8C856E7CB8F3}"/>
    <cellStyle name="Normal 4 6 3 3" xfId="882" xr:uid="{00000000-0005-0000-0000-0000C8020000}"/>
    <cellStyle name="Normal 4 6 3 3 2" xfId="1715" xr:uid="{5B330619-515D-4F07-A21F-D4935B81DFD0}"/>
    <cellStyle name="Normal 4 6 3 3 2 2" xfId="7335" xr:uid="{ECCD8A84-950C-4547-9809-ABEB7DB9A534}"/>
    <cellStyle name="Normal 4 6 3 3 3" xfId="5190" xr:uid="{872CFA6B-5F12-4C4F-9336-25B5907C0FEB}"/>
    <cellStyle name="Normal 4 6 3 4" xfId="1299" xr:uid="{5349FDEB-FAC0-45F5-A50E-FEFB440DEB2E}"/>
    <cellStyle name="Normal 4 6 3 4 2" xfId="3533" xr:uid="{2280E816-8A64-445D-8430-00E81F790A94}"/>
    <cellStyle name="Normal 4 6 3 4 2 2" xfId="7748" xr:uid="{28EFA37B-64DC-4469-A14B-5E19B0EE25AC}"/>
    <cellStyle name="Normal 4 6 3 4 3" xfId="5603" xr:uid="{E25211AE-810A-4170-8C2B-D2C07571B21F}"/>
    <cellStyle name="Normal 4 6 3 5" xfId="2130" xr:uid="{3058C95B-63A7-4B8A-BF38-F1E3D292A222}"/>
    <cellStyle name="Normal 4 6 3 5 2" xfId="3946" xr:uid="{E94DB2D3-7571-4725-A41A-2192B3E206D2}"/>
    <cellStyle name="Normal 4 6 3 5 2 2" xfId="8161" xr:uid="{8CED57C9-1E0F-434D-8A60-CD5A3E115AA2}"/>
    <cellStyle name="Normal 4 6 3 5 3" xfId="6016" xr:uid="{880ED637-15BC-4CD6-8C80-86F4D18E8452}"/>
    <cellStyle name="Normal 4 6 3 6" xfId="2543" xr:uid="{A5E08B27-C864-4BED-AAA2-C9FA3083E6C4}"/>
    <cellStyle name="Normal 4 6 3 6 2" xfId="4359" xr:uid="{BBBD561E-23B2-4243-8B8E-2164CCF0D48E}"/>
    <cellStyle name="Normal 4 6 3 6 2 2" xfId="8574" xr:uid="{1E283F01-C566-4D20-B5BD-AAE4985B288D}"/>
    <cellStyle name="Normal 4 6 3 6 3" xfId="6429" xr:uid="{6434469A-8759-4A19-9676-20754F9D78C6}"/>
    <cellStyle name="Normal 4 6 3 7" xfId="2979" xr:uid="{6A500F00-E9BA-4F78-8F9E-0E151AC3F4D8}"/>
    <cellStyle name="Normal 4 6 3 7 2" xfId="6842" xr:uid="{62C1BAC3-F309-4889-AB5A-E78695F88C82}"/>
    <cellStyle name="Normal 4 6 3 8" xfId="4777" xr:uid="{137B0EB6-BA6F-4AA7-A46D-6FAB58D51E00}"/>
    <cellStyle name="Normal 4 6 4" xfId="405" xr:uid="{00000000-0005-0000-0000-0000C9020000}"/>
    <cellStyle name="Normal 4 6 4 2" xfId="884" xr:uid="{00000000-0005-0000-0000-0000CA020000}"/>
    <cellStyle name="Normal 4 6 4 2 2" xfId="1717" xr:uid="{89B07183-4CDB-45A1-B52B-9C6D8EA462C8}"/>
    <cellStyle name="Normal 4 6 4 2 2 2" xfId="7337" xr:uid="{5D5E5ADD-E730-428B-A4D1-722D74D39DBD}"/>
    <cellStyle name="Normal 4 6 4 2 3" xfId="5192" xr:uid="{014977FC-CDDB-4928-AFC4-8746119693FF}"/>
    <cellStyle name="Normal 4 6 4 3" xfId="1301" xr:uid="{6225E989-E664-4169-8FAD-624107089DA7}"/>
    <cellStyle name="Normal 4 6 4 3 2" xfId="3535" xr:uid="{DB195D9A-0E21-4EBB-8F1E-78A43EEAB690}"/>
    <cellStyle name="Normal 4 6 4 3 2 2" xfId="7750" xr:uid="{C03B05D4-ADCD-42D0-8212-9DE2BBB2C05D}"/>
    <cellStyle name="Normal 4 6 4 3 3" xfId="5605" xr:uid="{9A5EF7BF-583C-4321-939C-C3186D8C4401}"/>
    <cellStyle name="Normal 4 6 4 4" xfId="2132" xr:uid="{F2B42F08-9A0A-41FE-AE1E-08DAB6EC80E4}"/>
    <cellStyle name="Normal 4 6 4 4 2" xfId="3948" xr:uid="{6483C8DF-F846-43D3-9882-2C2ED0EA1FCE}"/>
    <cellStyle name="Normal 4 6 4 4 2 2" xfId="8163" xr:uid="{0419F6CD-787B-435F-93D7-02FF900AF066}"/>
    <cellStyle name="Normal 4 6 4 4 3" xfId="6018" xr:uid="{7BE37ECC-8D9E-4369-B9F9-0017395B46AF}"/>
    <cellStyle name="Normal 4 6 4 5" xfId="2545" xr:uid="{D5D787AF-62B7-45B3-A783-DDF2B1AB1F01}"/>
    <cellStyle name="Normal 4 6 4 5 2" xfId="4361" xr:uid="{15F42845-5CB8-4556-A4E9-7829D0BE74B2}"/>
    <cellStyle name="Normal 4 6 4 5 2 2" xfId="8576" xr:uid="{CD637B50-8945-419A-8006-43427541340D}"/>
    <cellStyle name="Normal 4 6 4 5 3" xfId="6431" xr:uid="{28B1A6AE-6300-4A20-A15F-BFF4E047F810}"/>
    <cellStyle name="Normal 4 6 4 6" xfId="2981" xr:uid="{0A5E8239-66AE-4E0B-9EF0-F4CC7765BF49}"/>
    <cellStyle name="Normal 4 6 4 6 2" xfId="6844" xr:uid="{A466249C-4D76-4E72-8E4F-592F28226520}"/>
    <cellStyle name="Normal 4 6 4 7" xfId="4779" xr:uid="{1F165A33-0EB4-47EA-AD60-831295DB1B50}"/>
    <cellStyle name="Normal 4 6 5" xfId="877" xr:uid="{00000000-0005-0000-0000-0000CB020000}"/>
    <cellStyle name="Normal 4 6 5 2" xfId="1710" xr:uid="{E797A6CD-9586-4DE6-A870-805CF3D99449}"/>
    <cellStyle name="Normal 4 6 5 2 2" xfId="7330" xr:uid="{5700090B-044E-4A4A-A1F7-E0C35949F2A7}"/>
    <cellStyle name="Normal 4 6 5 3" xfId="5185" xr:uid="{C2521DE8-F311-4000-8258-EE403BBA2CC2}"/>
    <cellStyle name="Normal 4 6 6" xfId="1294" xr:uid="{0CFE6631-5EC2-4476-BB9D-744B09B84D8A}"/>
    <cellStyle name="Normal 4 6 6 2" xfId="3528" xr:uid="{DEA15823-69AC-4167-906B-B23D128DF344}"/>
    <cellStyle name="Normal 4 6 6 2 2" xfId="7743" xr:uid="{423C998D-E110-4605-9E5E-3E827A2109C3}"/>
    <cellStyle name="Normal 4 6 6 3" xfId="5598" xr:uid="{6119D89A-2182-44D9-A870-C353984B3FA8}"/>
    <cellStyle name="Normal 4 6 7" xfId="2125" xr:uid="{BDDA128B-3E1A-4C13-BD6A-B5EDCEC4AB8D}"/>
    <cellStyle name="Normal 4 6 7 2" xfId="3941" xr:uid="{80AB03BA-6EC3-46CE-B423-E01CCBC035E8}"/>
    <cellStyle name="Normal 4 6 7 2 2" xfId="8156" xr:uid="{7842296D-5AE7-4419-884B-A4114AC1FA54}"/>
    <cellStyle name="Normal 4 6 7 3" xfId="6011" xr:uid="{6834F305-AC00-4944-81AC-16B31B658C8F}"/>
    <cellStyle name="Normal 4 6 8" xfId="2538" xr:uid="{D7E9AB93-C9B0-4CCC-AA16-069AFFB47E18}"/>
    <cellStyle name="Normal 4 6 8 2" xfId="4354" xr:uid="{C747843C-D2A9-4CFB-8C9E-82AF90F86879}"/>
    <cellStyle name="Normal 4 6 8 2 2" xfId="8569" xr:uid="{D02F14ED-9846-4EA6-90AD-288BFB05A097}"/>
    <cellStyle name="Normal 4 6 8 3" xfId="6424" xr:uid="{7EDF968B-858B-4840-A92E-C78D00B5564F}"/>
    <cellStyle name="Normal 4 6 9" xfId="2974" xr:uid="{1F32E31B-157E-4CE0-BD84-DB34210F0F55}"/>
    <cellStyle name="Normal 4 6 9 2" xfId="6837" xr:uid="{33A110A8-15BA-422B-B717-1C5911416499}"/>
    <cellStyle name="Normal 4 7" xfId="406" xr:uid="{00000000-0005-0000-0000-0000CC020000}"/>
    <cellStyle name="Normal 4 7 2" xfId="407" xr:uid="{00000000-0005-0000-0000-0000CD020000}"/>
    <cellStyle name="Normal 4 7 2 2" xfId="886" xr:uid="{00000000-0005-0000-0000-0000CE020000}"/>
    <cellStyle name="Normal 4 7 2 2 2" xfId="1719" xr:uid="{1F4F9DBE-5F63-4A70-A36B-2DB300E505FF}"/>
    <cellStyle name="Normal 4 7 2 2 2 2" xfId="7339" xr:uid="{3CFA89F9-B3A4-4733-89B4-1B64152D9D1D}"/>
    <cellStyle name="Normal 4 7 2 2 3" xfId="5194" xr:uid="{2536D404-8AE4-4496-83F5-635C588BB497}"/>
    <cellStyle name="Normal 4 7 2 3" xfId="1303" xr:uid="{7427AED0-65A1-49C4-BEB0-A136F0549D85}"/>
    <cellStyle name="Normal 4 7 2 3 2" xfId="3537" xr:uid="{2F1D00B8-1E92-41BC-9DC8-9BC4B592A657}"/>
    <cellStyle name="Normal 4 7 2 3 2 2" xfId="7752" xr:uid="{A3D0F3B1-AC92-4A43-8FEC-A007A0D1D348}"/>
    <cellStyle name="Normal 4 7 2 3 3" xfId="5607" xr:uid="{77E82E66-48D4-4702-B07A-EE9CD52284EF}"/>
    <cellStyle name="Normal 4 7 2 4" xfId="2134" xr:uid="{6513C4EF-F8AE-4EC2-B510-F6D7BDD1F92B}"/>
    <cellStyle name="Normal 4 7 2 4 2" xfId="3950" xr:uid="{8DB29D96-E03D-4452-A066-B30C8E2F6C06}"/>
    <cellStyle name="Normal 4 7 2 4 2 2" xfId="8165" xr:uid="{28D7C173-5A1D-475C-A71C-3379930FE01E}"/>
    <cellStyle name="Normal 4 7 2 4 3" xfId="6020" xr:uid="{8264066C-5102-465C-8E27-40C84796789C}"/>
    <cellStyle name="Normal 4 7 2 5" xfId="2547" xr:uid="{E6FFCB84-E34E-4E12-9E2D-BA7BC8349C4C}"/>
    <cellStyle name="Normal 4 7 2 5 2" xfId="4363" xr:uid="{1ED60415-1C4D-4E84-8487-5199AB72D248}"/>
    <cellStyle name="Normal 4 7 2 5 2 2" xfId="8578" xr:uid="{A032A051-91E7-4026-B3F5-2D24620C25FA}"/>
    <cellStyle name="Normal 4 7 2 5 3" xfId="6433" xr:uid="{884C6D9D-2243-4F2B-93F5-A23001283C1A}"/>
    <cellStyle name="Normal 4 7 2 6" xfId="2983" xr:uid="{65786C29-9A0F-4CBA-877B-B4275FEC6325}"/>
    <cellStyle name="Normal 4 7 2 6 2" xfId="6846" xr:uid="{E21A6303-CD2E-43A1-88A8-E8EA0F934FAF}"/>
    <cellStyle name="Normal 4 7 2 7" xfId="4781" xr:uid="{0D51D380-7603-4333-B09D-50DC3B046207}"/>
    <cellStyle name="Normal 4 7 3" xfId="885" xr:uid="{00000000-0005-0000-0000-0000CF020000}"/>
    <cellStyle name="Normal 4 7 3 2" xfId="1718" xr:uid="{7F46DF0A-51BD-42DC-9BBE-842B613CBF8B}"/>
    <cellStyle name="Normal 4 7 3 2 2" xfId="7338" xr:uid="{5E0E3E82-D466-45D6-AEBC-60BB09DB54F8}"/>
    <cellStyle name="Normal 4 7 3 3" xfId="5193" xr:uid="{F7832CBA-E278-4DC3-BC8C-3EC8AD5F112F}"/>
    <cellStyle name="Normal 4 7 4" xfId="1302" xr:uid="{93AC5411-EA5D-4C85-BA26-F3D19ED6020F}"/>
    <cellStyle name="Normal 4 7 4 2" xfId="3536" xr:uid="{0251BB86-BFB4-48FD-AFB0-E0DE3CF4E28E}"/>
    <cellStyle name="Normal 4 7 4 2 2" xfId="7751" xr:uid="{0C63493B-7A2C-4516-ABFA-18DCCE3389A7}"/>
    <cellStyle name="Normal 4 7 4 3" xfId="5606" xr:uid="{11D027A4-3211-41CA-8E2B-D9655FEB1DC4}"/>
    <cellStyle name="Normal 4 7 5" xfId="2133" xr:uid="{2597BB7C-EC2A-4D3E-8CD2-015839C7E9BC}"/>
    <cellStyle name="Normal 4 7 5 2" xfId="3949" xr:uid="{C161DE6F-ED7C-4BA6-8365-240D8B080214}"/>
    <cellStyle name="Normal 4 7 5 2 2" xfId="8164" xr:uid="{D7B17605-411A-4AAE-AAEF-33E4400B4CB3}"/>
    <cellStyle name="Normal 4 7 5 3" xfId="6019" xr:uid="{E7BB2CCB-CCB6-4692-837D-72546C75D579}"/>
    <cellStyle name="Normal 4 7 6" xfId="2546" xr:uid="{0433F037-62BC-405E-8C99-A97C1E6EAB1E}"/>
    <cellStyle name="Normal 4 7 6 2" xfId="4362" xr:uid="{954F4E7B-F7D6-436B-94EB-AC0A41CFDC83}"/>
    <cellStyle name="Normal 4 7 6 2 2" xfId="8577" xr:uid="{4D800918-AD1D-4A54-B816-E47F744580B6}"/>
    <cellStyle name="Normal 4 7 6 3" xfId="6432" xr:uid="{862E7F50-DECD-46FA-AB85-303F83D8C431}"/>
    <cellStyle name="Normal 4 7 7" xfId="2982" xr:uid="{5B301AE7-E2B7-48E9-9465-BA1F6ED81251}"/>
    <cellStyle name="Normal 4 7 7 2" xfId="6845" xr:uid="{F8528C81-BF6B-4037-9EF7-2728EEE0B723}"/>
    <cellStyle name="Normal 4 7 8" xfId="4780" xr:uid="{89F490D3-C5F9-4693-BC82-52BE3D336D0E}"/>
    <cellStyle name="Normal 4 8" xfId="408" xr:uid="{00000000-0005-0000-0000-0000D0020000}"/>
    <cellStyle name="Normal 4 8 2" xfId="887" xr:uid="{00000000-0005-0000-0000-0000D1020000}"/>
    <cellStyle name="Normal 4 8 2 2" xfId="1720" xr:uid="{0EA0DB3F-3A46-4906-A79D-182673C065E3}"/>
    <cellStyle name="Normal 4 8 2 2 2" xfId="7340" xr:uid="{D4BDCF80-B0CE-447C-861E-F0CCA6F85AF8}"/>
    <cellStyle name="Normal 4 8 2 3" xfId="5195" xr:uid="{D89524F9-99FE-4B60-A04C-D13B8D894724}"/>
    <cellStyle name="Normal 4 8 3" xfId="1304" xr:uid="{58781814-6F00-472E-ADE5-DCB80B7997F8}"/>
    <cellStyle name="Normal 4 8 3 2" xfId="3538" xr:uid="{862B1147-8AED-467A-9084-2CFE1072C695}"/>
    <cellStyle name="Normal 4 8 3 2 2" xfId="7753" xr:uid="{D290F35D-A765-4FA4-B8B4-233E7C46DF06}"/>
    <cellStyle name="Normal 4 8 3 3" xfId="5608" xr:uid="{C9EFD82B-EB65-4C47-8F1C-AFFADE0ED621}"/>
    <cellStyle name="Normal 4 8 4" xfId="2135" xr:uid="{896E8AA8-3627-4DF9-AE1F-21D6A29DC36C}"/>
    <cellStyle name="Normal 4 8 4 2" xfId="3951" xr:uid="{8D156B94-FC2B-4981-9301-6F629E3FED50}"/>
    <cellStyle name="Normal 4 8 4 2 2" xfId="8166" xr:uid="{72C5BB08-5586-4C61-B4BC-2D988549A441}"/>
    <cellStyle name="Normal 4 8 4 3" xfId="6021" xr:uid="{3D7640C6-7964-4702-95B6-DB6BB3EEB2C3}"/>
    <cellStyle name="Normal 4 8 5" xfId="2548" xr:uid="{9C7ABAD9-1B17-4EEA-A28B-54F553C3E9B6}"/>
    <cellStyle name="Normal 4 8 5 2" xfId="4364" xr:uid="{AB4547B0-D014-44C6-BEF1-D768168C4B7A}"/>
    <cellStyle name="Normal 4 8 5 2 2" xfId="8579" xr:uid="{D314EB0F-36DD-4052-8298-F2B3159B061F}"/>
    <cellStyle name="Normal 4 8 5 3" xfId="6434" xr:uid="{13B74C64-B9DE-4E76-A951-84158C9AEDDE}"/>
    <cellStyle name="Normal 4 8 6" xfId="2984" xr:uid="{9A916504-19FE-4624-AE78-7C1DB5AFD21B}"/>
    <cellStyle name="Normal 4 8 6 2" xfId="6847" xr:uid="{7CB34FD4-BAAF-4808-9050-7B990E43A798}"/>
    <cellStyle name="Normal 4 8 7" xfId="4782" xr:uid="{424A1314-8AC8-4C15-BC60-BB273C07997F}"/>
    <cellStyle name="Normal 4 9" xfId="4719" xr:uid="{00E9A6AC-6774-41C4-BB03-2E985C6D161B}"/>
    <cellStyle name="Normal 5" xfId="409" xr:uid="{00000000-0005-0000-0000-0000D2020000}"/>
    <cellStyle name="Normal 5 10" xfId="2136" xr:uid="{BCB2ED82-28F5-4FEB-BDD7-6284B1470266}"/>
    <cellStyle name="Normal 5 10 2" xfId="3952" xr:uid="{88301CBB-171B-4E6B-B267-35C7C3577ED7}"/>
    <cellStyle name="Normal 5 10 2 2" xfId="8167" xr:uid="{C44EFB0A-22B4-4BC3-B462-598D21952EE9}"/>
    <cellStyle name="Normal 5 10 3" xfId="6022" xr:uid="{1C5680E6-04FA-4C09-AFDB-C85D8EFB4230}"/>
    <cellStyle name="Normal 5 11" xfId="2549" xr:uid="{3BB3BBAA-6D7A-47BA-8822-17024F18A6B2}"/>
    <cellStyle name="Normal 5 11 2" xfId="4365" xr:uid="{00274873-94E9-4B44-82C8-ACD07093D5D8}"/>
    <cellStyle name="Normal 5 11 2 2" xfId="8580" xr:uid="{2E163057-7FEE-476B-96AE-6C234A2A5391}"/>
    <cellStyle name="Normal 5 11 3" xfId="6435" xr:uid="{29493F61-49D0-4A4B-BE48-935A54C5DD58}"/>
    <cellStyle name="Normal 5 12" xfId="2985" xr:uid="{E448F772-5232-410D-86F5-58FCE3152187}"/>
    <cellStyle name="Normal 5 12 2" xfId="6848" xr:uid="{886B5C3D-5228-47BD-B900-E7A2F7959F29}"/>
    <cellStyle name="Normal 5 13" xfId="4783" xr:uid="{AA05FC0A-C1A7-4A39-AEA3-20CE696149BE}"/>
    <cellStyle name="Normal 5 2" xfId="410" xr:uid="{00000000-0005-0000-0000-0000D3020000}"/>
    <cellStyle name="Normal 5 2 10" xfId="2550" xr:uid="{D32EB5FF-63C9-4DC4-9BA2-9A015DADC3FE}"/>
    <cellStyle name="Normal 5 2 10 2" xfId="4366" xr:uid="{D02F94B0-4792-4C09-BADA-AFABD73A5ABC}"/>
    <cellStyle name="Normal 5 2 10 2 2" xfId="8581" xr:uid="{1533DA2D-9D56-4D90-9E76-44A819A2664A}"/>
    <cellStyle name="Normal 5 2 10 3" xfId="6436" xr:uid="{B85336C5-33E3-4CF6-B18E-A12512AF0561}"/>
    <cellStyle name="Normal 5 2 11" xfId="2986" xr:uid="{0A5804BF-D123-4570-904B-2F2E051F7480}"/>
    <cellStyle name="Normal 5 2 11 2" xfId="6849" xr:uid="{92D80F6C-0254-40C5-B6C5-F66021816145}"/>
    <cellStyle name="Normal 5 2 12" xfId="4784" xr:uid="{94B21F5B-4F85-4F12-8064-8573168DF896}"/>
    <cellStyle name="Normal 5 2 2" xfId="411" xr:uid="{00000000-0005-0000-0000-0000D4020000}"/>
    <cellStyle name="Normal 5 2 2 10" xfId="2987" xr:uid="{A604D786-EC04-41B4-AF30-5AA2209CABC7}"/>
    <cellStyle name="Normal 5 2 2 10 2" xfId="6850" xr:uid="{98DFF72B-0F3B-4522-A252-BE500B7298CB}"/>
    <cellStyle name="Normal 5 2 2 11" xfId="4785" xr:uid="{FB44D268-7986-424E-8E34-E8C8E45AE04C}"/>
    <cellStyle name="Normal 5 2 2 2" xfId="412" xr:uid="{00000000-0005-0000-0000-0000D5020000}"/>
    <cellStyle name="Normal 5 2 2 2 10" xfId="4786" xr:uid="{3DF41761-19C8-44D5-84CF-1F99243AE328}"/>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7" xr:uid="{12E67F7D-BE79-454A-B91F-4CC08F2CEA7D}"/>
    <cellStyle name="Normal 5 2 2 2 2 2 2 2 2 2" xfId="7347" xr:uid="{BAC8B129-724B-4189-B190-D9D29D44B106}"/>
    <cellStyle name="Normal 5 2 2 2 2 2 2 2 3" xfId="5202" xr:uid="{25318401-FAD2-4A79-8F3C-E6792CFD9DDE}"/>
    <cellStyle name="Normal 5 2 2 2 2 2 2 3" xfId="1311" xr:uid="{E7DF3D75-4F26-4690-990C-BDA8EAAD4E41}"/>
    <cellStyle name="Normal 5 2 2 2 2 2 2 3 2" xfId="3545" xr:uid="{D8DCAF15-6E2E-410F-AAF6-9F56986E7C93}"/>
    <cellStyle name="Normal 5 2 2 2 2 2 2 3 2 2" xfId="7760" xr:uid="{377CB7BA-0164-4DCD-B172-CF90315F9639}"/>
    <cellStyle name="Normal 5 2 2 2 2 2 2 3 3" xfId="5615" xr:uid="{397B9F11-3EEC-4E2F-BAF4-BD7471B40404}"/>
    <cellStyle name="Normal 5 2 2 2 2 2 2 4" xfId="2142" xr:uid="{2143729C-BE1D-4100-84A3-6E81D7DB4CCD}"/>
    <cellStyle name="Normal 5 2 2 2 2 2 2 4 2" xfId="3958" xr:uid="{50807E08-1BF8-4E2B-9780-A7FED5BD46D9}"/>
    <cellStyle name="Normal 5 2 2 2 2 2 2 4 2 2" xfId="8173" xr:uid="{80F02D67-7E95-43AE-9B0C-B28EE5081034}"/>
    <cellStyle name="Normal 5 2 2 2 2 2 2 4 3" xfId="6028" xr:uid="{89C81651-DF3E-4AAC-A221-0745D49498BC}"/>
    <cellStyle name="Normal 5 2 2 2 2 2 2 5" xfId="2555" xr:uid="{542DDE79-0808-4977-B310-FAA0654A3148}"/>
    <cellStyle name="Normal 5 2 2 2 2 2 2 5 2" xfId="4371" xr:uid="{ECA17271-0735-49A3-A912-365857AC81F1}"/>
    <cellStyle name="Normal 5 2 2 2 2 2 2 5 2 2" xfId="8586" xr:uid="{221D205E-9A94-41D5-9E78-8CD30170687A}"/>
    <cellStyle name="Normal 5 2 2 2 2 2 2 5 3" xfId="6441" xr:uid="{2FA99C8C-861B-4F6D-A35F-31856398332A}"/>
    <cellStyle name="Normal 5 2 2 2 2 2 2 6" xfId="2991" xr:uid="{9478A755-6F0C-4CE2-99E7-02949BA613D4}"/>
    <cellStyle name="Normal 5 2 2 2 2 2 2 6 2" xfId="6854" xr:uid="{8DD8092D-AB77-4A12-B8AC-C32D0C2FF61F}"/>
    <cellStyle name="Normal 5 2 2 2 2 2 2 7" xfId="4789" xr:uid="{7676FFF9-0C7F-4FFC-91CE-5F8ABE77A0D3}"/>
    <cellStyle name="Normal 5 2 2 2 2 2 3" xfId="893" xr:uid="{00000000-0005-0000-0000-0000DA020000}"/>
    <cellStyle name="Normal 5 2 2 2 2 2 3 2" xfId="1726" xr:uid="{01F8802E-4988-4539-B59C-8CEA8103B51F}"/>
    <cellStyle name="Normal 5 2 2 2 2 2 3 2 2" xfId="7346" xr:uid="{B23BF876-8D59-4E07-A238-4DE695EFC1E5}"/>
    <cellStyle name="Normal 5 2 2 2 2 2 3 3" xfId="5201" xr:uid="{57F86C5D-EFCA-42FA-B1D9-E142D24AC26A}"/>
    <cellStyle name="Normal 5 2 2 2 2 2 4" xfId="1310" xr:uid="{6B196E53-B8BA-43BB-9F90-1F1E524621C3}"/>
    <cellStyle name="Normal 5 2 2 2 2 2 4 2" xfId="3544" xr:uid="{4AD5BEE0-9F62-4303-B308-D030F5483400}"/>
    <cellStyle name="Normal 5 2 2 2 2 2 4 2 2" xfId="7759" xr:uid="{31538FB2-A6C2-4932-AB5A-4B9CF2682D0D}"/>
    <cellStyle name="Normal 5 2 2 2 2 2 4 3" xfId="5614" xr:uid="{E11ED8C3-C04B-47AF-A41C-A868372AAE05}"/>
    <cellStyle name="Normal 5 2 2 2 2 2 5" xfId="2141" xr:uid="{9A73A09E-40AD-496A-892C-5570C84354B7}"/>
    <cellStyle name="Normal 5 2 2 2 2 2 5 2" xfId="3957" xr:uid="{A4AC7FCF-6019-436D-99EA-3E737761E0F8}"/>
    <cellStyle name="Normal 5 2 2 2 2 2 5 2 2" xfId="8172" xr:uid="{A45A1BE0-FB6D-4A60-AD26-B29579FBE006}"/>
    <cellStyle name="Normal 5 2 2 2 2 2 5 3" xfId="6027" xr:uid="{80977DAC-D117-4935-8472-5B5244C39FDB}"/>
    <cellStyle name="Normal 5 2 2 2 2 2 6" xfId="2554" xr:uid="{BD6D8756-67A2-4160-9841-749AA0803EAD}"/>
    <cellStyle name="Normal 5 2 2 2 2 2 6 2" xfId="4370" xr:uid="{A32C234D-D15C-48D7-B292-D7AB15669768}"/>
    <cellStyle name="Normal 5 2 2 2 2 2 6 2 2" xfId="8585" xr:uid="{EBAEEA8B-AD78-4465-9367-25EDC1EDFC54}"/>
    <cellStyle name="Normal 5 2 2 2 2 2 6 3" xfId="6440" xr:uid="{3DCF1EBB-CBC4-4D71-873F-5E135835B975}"/>
    <cellStyle name="Normal 5 2 2 2 2 2 7" xfId="2990" xr:uid="{6DBA5205-EEB7-4FC9-B065-84EE8B3D2BF3}"/>
    <cellStyle name="Normal 5 2 2 2 2 2 7 2" xfId="6853" xr:uid="{E45616D1-FEC3-4FF9-A4FB-BA0A43C1D030}"/>
    <cellStyle name="Normal 5 2 2 2 2 2 8" xfId="4788" xr:uid="{409139D1-7A87-4860-ABD5-48D5A1007E52}"/>
    <cellStyle name="Normal 5 2 2 2 2 3" xfId="416" xr:uid="{00000000-0005-0000-0000-0000DB020000}"/>
    <cellStyle name="Normal 5 2 2 2 2 3 2" xfId="895" xr:uid="{00000000-0005-0000-0000-0000DC020000}"/>
    <cellStyle name="Normal 5 2 2 2 2 3 2 2" xfId="1728" xr:uid="{2B8307DB-964C-4A5F-B2AC-22C3BD286B99}"/>
    <cellStyle name="Normal 5 2 2 2 2 3 2 2 2" xfId="7348" xr:uid="{01776CE7-A262-4FCB-9EAE-2CA896F3B710}"/>
    <cellStyle name="Normal 5 2 2 2 2 3 2 3" xfId="5203" xr:uid="{8E8CCBDE-E9AD-4261-80D1-17A581B7675A}"/>
    <cellStyle name="Normal 5 2 2 2 2 3 3" xfId="1312" xr:uid="{D0B9D7C5-C310-46BB-9EC9-77B7851DAEBE}"/>
    <cellStyle name="Normal 5 2 2 2 2 3 3 2" xfId="3546" xr:uid="{6FF8A0B2-BFBC-46B7-A1FB-52FCDD5712FB}"/>
    <cellStyle name="Normal 5 2 2 2 2 3 3 2 2" xfId="7761" xr:uid="{A36ECC11-C518-41AA-AA82-04B713AF0BD0}"/>
    <cellStyle name="Normal 5 2 2 2 2 3 3 3" xfId="5616" xr:uid="{4E7F4B10-CBF1-4989-8B14-64E17DDB84C6}"/>
    <cellStyle name="Normal 5 2 2 2 2 3 4" xfId="2143" xr:uid="{D462366C-69F8-4ECA-8B16-C66DF0A39EE9}"/>
    <cellStyle name="Normal 5 2 2 2 2 3 4 2" xfId="3959" xr:uid="{9A0D1ACA-AEDD-4FB2-AC04-46023767199E}"/>
    <cellStyle name="Normal 5 2 2 2 2 3 4 2 2" xfId="8174" xr:uid="{75E14997-CB81-44AB-8B49-8B4CF606802E}"/>
    <cellStyle name="Normal 5 2 2 2 2 3 4 3" xfId="6029" xr:uid="{E8358D08-3EF6-47F5-B43A-5969A76ECEE6}"/>
    <cellStyle name="Normal 5 2 2 2 2 3 5" xfId="2556" xr:uid="{887D60F1-B407-4064-B5A2-C6BF7B1001A4}"/>
    <cellStyle name="Normal 5 2 2 2 2 3 5 2" xfId="4372" xr:uid="{4DAD213E-1C3B-4A89-984F-8E74AEB1838A}"/>
    <cellStyle name="Normal 5 2 2 2 2 3 5 2 2" xfId="8587" xr:uid="{7525D5BF-8D77-47D2-BB79-C98EC99FC0B1}"/>
    <cellStyle name="Normal 5 2 2 2 2 3 5 3" xfId="6442" xr:uid="{44899534-A5B0-4EE8-91C5-4DB393132619}"/>
    <cellStyle name="Normal 5 2 2 2 2 3 6" xfId="2992" xr:uid="{D49AAAAC-D382-465B-8A98-B33B154DD1FB}"/>
    <cellStyle name="Normal 5 2 2 2 2 3 6 2" xfId="6855" xr:uid="{EF92B02C-8475-4657-B3DF-1CA2CB5BF499}"/>
    <cellStyle name="Normal 5 2 2 2 2 3 7" xfId="4790" xr:uid="{5F63BC95-A9EA-499B-9C26-233D5E2427BF}"/>
    <cellStyle name="Normal 5 2 2 2 2 4" xfId="892" xr:uid="{00000000-0005-0000-0000-0000DD020000}"/>
    <cellStyle name="Normal 5 2 2 2 2 4 2" xfId="1725" xr:uid="{E3FED1D5-738D-4587-B221-FDCC1EB334CE}"/>
    <cellStyle name="Normal 5 2 2 2 2 4 2 2" xfId="7345" xr:uid="{8E47E41F-2BC5-422C-8348-9246285EBC34}"/>
    <cellStyle name="Normal 5 2 2 2 2 4 3" xfId="5200" xr:uid="{24C64C8A-D7B4-4ECB-B54E-09B502A6ABC3}"/>
    <cellStyle name="Normal 5 2 2 2 2 5" xfId="1309" xr:uid="{88F7CDB9-B3D4-47AA-9C4D-BA7E730FB6FD}"/>
    <cellStyle name="Normal 5 2 2 2 2 5 2" xfId="3543" xr:uid="{5D7FDBA2-32DE-4E19-AB69-F7598152109E}"/>
    <cellStyle name="Normal 5 2 2 2 2 5 2 2" xfId="7758" xr:uid="{84EE487C-939C-4009-9218-B9E22FD8DAC1}"/>
    <cellStyle name="Normal 5 2 2 2 2 5 3" xfId="5613" xr:uid="{8413D797-16EF-4BB1-A9A7-9EDAA2210755}"/>
    <cellStyle name="Normal 5 2 2 2 2 6" xfId="2140" xr:uid="{D3D9EC28-B4C8-4B2F-A03E-CEC34273ACBF}"/>
    <cellStyle name="Normal 5 2 2 2 2 6 2" xfId="3956" xr:uid="{6D33665B-834D-4085-8E3A-B4BDD834317E}"/>
    <cellStyle name="Normal 5 2 2 2 2 6 2 2" xfId="8171" xr:uid="{DB07E890-A1F3-428E-A553-22924EBA46B4}"/>
    <cellStyle name="Normal 5 2 2 2 2 6 3" xfId="6026" xr:uid="{E2F1E678-AA10-4736-9D42-43263D388A4A}"/>
    <cellStyle name="Normal 5 2 2 2 2 7" xfId="2553" xr:uid="{32BD399F-B16D-4A54-A669-266F58D2A92A}"/>
    <cellStyle name="Normal 5 2 2 2 2 7 2" xfId="4369" xr:uid="{0BD3A31B-16A9-4D47-8E19-B4084363894C}"/>
    <cellStyle name="Normal 5 2 2 2 2 7 2 2" xfId="8584" xr:uid="{A97BC4DF-E2C0-419C-BAAB-0390AE2AE703}"/>
    <cellStyle name="Normal 5 2 2 2 2 7 3" xfId="6439" xr:uid="{971FC6E9-0347-47AA-953F-1E4CAE2B67E9}"/>
    <cellStyle name="Normal 5 2 2 2 2 8" xfId="2989" xr:uid="{75EDD624-16F2-4720-96F0-71DB528A1DC2}"/>
    <cellStyle name="Normal 5 2 2 2 2 8 2" xfId="6852" xr:uid="{E3665346-D716-45D1-B728-138EE0E2D3E9}"/>
    <cellStyle name="Normal 5 2 2 2 2 9" xfId="4787" xr:uid="{2D772A12-FF00-442A-92FF-BF0C763DF785}"/>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0" xr:uid="{1C635EA9-ED64-43C1-85CF-514BC90840A1}"/>
    <cellStyle name="Normal 5 2 2 2 3 2 2 2 2" xfId="7350" xr:uid="{85023C8D-5C4A-4543-8C26-424A0A2DEC6E}"/>
    <cellStyle name="Normal 5 2 2 2 3 2 2 3" xfId="5205" xr:uid="{F23B5619-651F-4151-80C3-7E3D15394D6A}"/>
    <cellStyle name="Normal 5 2 2 2 3 2 3" xfId="1314" xr:uid="{90F85559-BC87-421C-8DA1-D40FDA7CD6C6}"/>
    <cellStyle name="Normal 5 2 2 2 3 2 3 2" xfId="3548" xr:uid="{EB6EDAC9-FB97-46A6-80D5-4C0A5A2C6CAD}"/>
    <cellStyle name="Normal 5 2 2 2 3 2 3 2 2" xfId="7763" xr:uid="{6E8477E5-AA3E-499B-A4F7-8C1D6B05623E}"/>
    <cellStyle name="Normal 5 2 2 2 3 2 3 3" xfId="5618" xr:uid="{7A37F0B2-75E5-4568-9F31-B36358223CC1}"/>
    <cellStyle name="Normal 5 2 2 2 3 2 4" xfId="2145" xr:uid="{69788F04-3979-4267-AD60-4A263908B21C}"/>
    <cellStyle name="Normal 5 2 2 2 3 2 4 2" xfId="3961" xr:uid="{A6B85028-C026-4F0A-85AE-394EAF72DDA4}"/>
    <cellStyle name="Normal 5 2 2 2 3 2 4 2 2" xfId="8176" xr:uid="{7F3DFB15-E919-42F1-953B-C1DC5D46C869}"/>
    <cellStyle name="Normal 5 2 2 2 3 2 4 3" xfId="6031" xr:uid="{CC9A90C6-5053-40F6-BFA0-4D7CA064EB06}"/>
    <cellStyle name="Normal 5 2 2 2 3 2 5" xfId="2558" xr:uid="{E2636812-3E74-46A9-B3E0-B1813754653C}"/>
    <cellStyle name="Normal 5 2 2 2 3 2 5 2" xfId="4374" xr:uid="{4A3F0D7B-DF9D-48CE-9B40-21E6B746D7F4}"/>
    <cellStyle name="Normal 5 2 2 2 3 2 5 2 2" xfId="8589" xr:uid="{57B6805B-06DB-4FFA-BC89-F994DD995F0A}"/>
    <cellStyle name="Normal 5 2 2 2 3 2 5 3" xfId="6444" xr:uid="{B3844CB4-23AD-4FA6-BC91-2BFE5970E5AF}"/>
    <cellStyle name="Normal 5 2 2 2 3 2 6" xfId="2994" xr:uid="{2F6D9CCE-F080-4121-95B4-5C8341E735FF}"/>
    <cellStyle name="Normal 5 2 2 2 3 2 6 2" xfId="6857" xr:uid="{78908FF3-CF36-4FA9-83C2-13BBA7E50848}"/>
    <cellStyle name="Normal 5 2 2 2 3 2 7" xfId="4792" xr:uid="{3F870DF7-07C9-44D5-A556-C08F8DFE914D}"/>
    <cellStyle name="Normal 5 2 2 2 3 3" xfId="896" xr:uid="{00000000-0005-0000-0000-0000E1020000}"/>
    <cellStyle name="Normal 5 2 2 2 3 3 2" xfId="1729" xr:uid="{9202726B-0A05-4026-A165-048C1576ACEE}"/>
    <cellStyle name="Normal 5 2 2 2 3 3 2 2" xfId="7349" xr:uid="{E8B771CD-04BD-4A8B-B4F1-B38F2589E8FA}"/>
    <cellStyle name="Normal 5 2 2 2 3 3 3" xfId="5204" xr:uid="{7FDC1C64-5295-44C5-9AD9-FF2AC70ACD8B}"/>
    <cellStyle name="Normal 5 2 2 2 3 4" xfId="1313" xr:uid="{725634A3-7F11-4B2C-8289-AB6ED9BFB1CC}"/>
    <cellStyle name="Normal 5 2 2 2 3 4 2" xfId="3547" xr:uid="{24FFEBC2-497D-4A9D-9DC8-C98CFD817069}"/>
    <cellStyle name="Normal 5 2 2 2 3 4 2 2" xfId="7762" xr:uid="{3D00F7FB-9D29-4626-B1F2-1B8BB7DE1382}"/>
    <cellStyle name="Normal 5 2 2 2 3 4 3" xfId="5617" xr:uid="{7497159E-E00B-4DB7-B58E-F578120CD389}"/>
    <cellStyle name="Normal 5 2 2 2 3 5" xfId="2144" xr:uid="{ED48C67E-6BD5-404F-B098-7526D4A86386}"/>
    <cellStyle name="Normal 5 2 2 2 3 5 2" xfId="3960" xr:uid="{5FD51EC5-1FB7-4AD6-8488-0436C0B5226C}"/>
    <cellStyle name="Normal 5 2 2 2 3 5 2 2" xfId="8175" xr:uid="{9BEBA4DB-74C1-4442-BABD-2F77822B0318}"/>
    <cellStyle name="Normal 5 2 2 2 3 5 3" xfId="6030" xr:uid="{75C88190-EEEA-4AE4-BEBD-306C99FE260D}"/>
    <cellStyle name="Normal 5 2 2 2 3 6" xfId="2557" xr:uid="{48488322-CB37-4F3D-BE1B-C88632B1A29A}"/>
    <cellStyle name="Normal 5 2 2 2 3 6 2" xfId="4373" xr:uid="{73270331-A03F-4CEE-A3BF-C6F1ED113420}"/>
    <cellStyle name="Normal 5 2 2 2 3 6 2 2" xfId="8588" xr:uid="{E378A2EF-ADD1-41E9-810A-875C306E406F}"/>
    <cellStyle name="Normal 5 2 2 2 3 6 3" xfId="6443" xr:uid="{381EF79A-D3AD-4CBE-913B-27F2030AE313}"/>
    <cellStyle name="Normal 5 2 2 2 3 7" xfId="2993" xr:uid="{01C255F3-1B16-48B8-BE46-7E11077098E8}"/>
    <cellStyle name="Normal 5 2 2 2 3 7 2" xfId="6856" xr:uid="{FA3EC31D-041F-47FA-99D1-DF6310A3F5CE}"/>
    <cellStyle name="Normal 5 2 2 2 3 8" xfId="4791" xr:uid="{41B332B3-B550-4B62-AA92-B7214F6B774F}"/>
    <cellStyle name="Normal 5 2 2 2 4" xfId="419" xr:uid="{00000000-0005-0000-0000-0000E2020000}"/>
    <cellStyle name="Normal 5 2 2 2 4 2" xfId="898" xr:uid="{00000000-0005-0000-0000-0000E3020000}"/>
    <cellStyle name="Normal 5 2 2 2 4 2 2" xfId="1731" xr:uid="{1E028251-F269-412A-BC7C-49FE80D56A46}"/>
    <cellStyle name="Normal 5 2 2 2 4 2 2 2" xfId="7351" xr:uid="{7727F717-2999-42F6-A924-77F802DD9536}"/>
    <cellStyle name="Normal 5 2 2 2 4 2 3" xfId="5206" xr:uid="{0BCD4D76-026E-43BA-8752-AAACBC0B0D4D}"/>
    <cellStyle name="Normal 5 2 2 2 4 3" xfId="1315" xr:uid="{E2A1F7C5-3B72-4A67-A3C1-F1CED7755435}"/>
    <cellStyle name="Normal 5 2 2 2 4 3 2" xfId="3549" xr:uid="{231E8D66-A794-4DB2-B79A-FCB4982A8228}"/>
    <cellStyle name="Normal 5 2 2 2 4 3 2 2" xfId="7764" xr:uid="{21D6CBE3-4D68-432D-9E49-3FBBE22A45A9}"/>
    <cellStyle name="Normal 5 2 2 2 4 3 3" xfId="5619" xr:uid="{B9F3E4CE-D4E2-4189-AC68-B22C22502812}"/>
    <cellStyle name="Normal 5 2 2 2 4 4" xfId="2146" xr:uid="{9B3A961A-B997-4800-ACE7-13B7299A72B4}"/>
    <cellStyle name="Normal 5 2 2 2 4 4 2" xfId="3962" xr:uid="{1F756057-F669-4E99-988C-9A0C9078C3C6}"/>
    <cellStyle name="Normal 5 2 2 2 4 4 2 2" xfId="8177" xr:uid="{1B8BAC63-801C-4E5E-B208-039C27F4760A}"/>
    <cellStyle name="Normal 5 2 2 2 4 4 3" xfId="6032" xr:uid="{4E713A62-CAA9-4C04-838E-3F6F890D7336}"/>
    <cellStyle name="Normal 5 2 2 2 4 5" xfId="2559" xr:uid="{57DF69E8-9C4F-4B56-AF96-BAE4DB27DDDD}"/>
    <cellStyle name="Normal 5 2 2 2 4 5 2" xfId="4375" xr:uid="{13A5B60F-E0D3-4D2C-88DD-EDDFF7E41A0A}"/>
    <cellStyle name="Normal 5 2 2 2 4 5 2 2" xfId="8590" xr:uid="{150E2F93-A9F0-4BC8-9234-494EF1D2211B}"/>
    <cellStyle name="Normal 5 2 2 2 4 5 3" xfId="6445" xr:uid="{0B5DF062-068C-400A-A218-35BC6FC40E9E}"/>
    <cellStyle name="Normal 5 2 2 2 4 6" xfId="2995" xr:uid="{39EC60EA-FD8A-45C3-B692-A2EFAAA21412}"/>
    <cellStyle name="Normal 5 2 2 2 4 6 2" xfId="6858" xr:uid="{5EE1106A-3656-49AB-8B21-27528F87266C}"/>
    <cellStyle name="Normal 5 2 2 2 4 7" xfId="4793" xr:uid="{5384CFCA-E27D-438B-A4C1-0096421FAD89}"/>
    <cellStyle name="Normal 5 2 2 2 5" xfId="891" xr:uid="{00000000-0005-0000-0000-0000E4020000}"/>
    <cellStyle name="Normal 5 2 2 2 5 2" xfId="1724" xr:uid="{6E951DC8-E2D5-4458-BC2B-6C8AADFD71EC}"/>
    <cellStyle name="Normal 5 2 2 2 5 2 2" xfId="7344" xr:uid="{9793F401-9162-4DA7-8565-F8150DFB223D}"/>
    <cellStyle name="Normal 5 2 2 2 5 3" xfId="5199" xr:uid="{FCFC36BF-2CF1-41C4-B25B-8D7CF326D490}"/>
    <cellStyle name="Normal 5 2 2 2 6" xfId="1308" xr:uid="{42D2B498-55FF-4BBC-A485-78B68727F71D}"/>
    <cellStyle name="Normal 5 2 2 2 6 2" xfId="3542" xr:uid="{36D3D3AB-BA57-439F-9F54-C42EC150FD5F}"/>
    <cellStyle name="Normal 5 2 2 2 6 2 2" xfId="7757" xr:uid="{620B2B5D-16F6-46CF-B719-A77F6265DC2C}"/>
    <cellStyle name="Normal 5 2 2 2 6 3" xfId="5612" xr:uid="{874C0793-7DCC-4684-AE58-57C19286815D}"/>
    <cellStyle name="Normal 5 2 2 2 7" xfId="2139" xr:uid="{49DBDD6C-EFDF-4DE7-83B8-8A02F219FE18}"/>
    <cellStyle name="Normal 5 2 2 2 7 2" xfId="3955" xr:uid="{B404A5B5-415C-4477-9C42-A9DFFC30B7D2}"/>
    <cellStyle name="Normal 5 2 2 2 7 2 2" xfId="8170" xr:uid="{602631AA-8612-4C04-BB20-70EBA4293C82}"/>
    <cellStyle name="Normal 5 2 2 2 7 3" xfId="6025" xr:uid="{7B19A22A-69C5-4B12-B5B6-5DDA49170D97}"/>
    <cellStyle name="Normal 5 2 2 2 8" xfId="2552" xr:uid="{D06EB0DD-88B1-43AF-9CB3-18DB9C2A03D1}"/>
    <cellStyle name="Normal 5 2 2 2 8 2" xfId="4368" xr:uid="{06C1672C-18AE-4461-9248-2BAB757B3177}"/>
    <cellStyle name="Normal 5 2 2 2 8 2 2" xfId="8583" xr:uid="{27E134EE-FF50-44CF-A125-653A597B97A4}"/>
    <cellStyle name="Normal 5 2 2 2 8 3" xfId="6438" xr:uid="{8D73644D-A7B8-445A-9413-D57B01E4369D}"/>
    <cellStyle name="Normal 5 2 2 2 9" xfId="2988" xr:uid="{45B84D4D-F150-4543-A4C6-691EB1393DCD}"/>
    <cellStyle name="Normal 5 2 2 2 9 2" xfId="6851" xr:uid="{D7DD382B-36BD-433B-B18E-55E69F878952}"/>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4" xr:uid="{D3B427B5-AC05-4480-9014-A6B124904221}"/>
    <cellStyle name="Normal 5 2 2 3 2 2 2 2 2" xfId="7354" xr:uid="{96006D8A-10C3-4162-AD24-ACC645F5144E}"/>
    <cellStyle name="Normal 5 2 2 3 2 2 2 3" xfId="5209" xr:uid="{451CEA8A-CDE5-4FE0-9B4D-0622A59F1DAF}"/>
    <cellStyle name="Normal 5 2 2 3 2 2 3" xfId="1318" xr:uid="{FE33DCF4-018C-4EB4-A5C6-8549AA45083E}"/>
    <cellStyle name="Normal 5 2 2 3 2 2 3 2" xfId="3552" xr:uid="{DCD44B88-E336-4E13-9436-784B71011853}"/>
    <cellStyle name="Normal 5 2 2 3 2 2 3 2 2" xfId="7767" xr:uid="{19D6A9E7-07EF-4497-A5BC-ABDEDB5CEB00}"/>
    <cellStyle name="Normal 5 2 2 3 2 2 3 3" xfId="5622" xr:uid="{0F2CDED0-6043-4571-82D2-71426FE5F6A9}"/>
    <cellStyle name="Normal 5 2 2 3 2 2 4" xfId="2149" xr:uid="{A8960601-9E85-41B8-80A6-B96FCFE30FFC}"/>
    <cellStyle name="Normal 5 2 2 3 2 2 4 2" xfId="3965" xr:uid="{B76A4BD9-1B74-4ACB-8E7E-530DFB314897}"/>
    <cellStyle name="Normal 5 2 2 3 2 2 4 2 2" xfId="8180" xr:uid="{C1AD7430-E755-4C75-B47F-367A717897FA}"/>
    <cellStyle name="Normal 5 2 2 3 2 2 4 3" xfId="6035" xr:uid="{D32B6C3B-1507-4599-BDCC-B7781AC9FD88}"/>
    <cellStyle name="Normal 5 2 2 3 2 2 5" xfId="2562" xr:uid="{97FE5186-430E-4DEA-A428-E6274A1CA3EA}"/>
    <cellStyle name="Normal 5 2 2 3 2 2 5 2" xfId="4378" xr:uid="{38336B26-316E-40DD-8175-AA2B4CCC6D6A}"/>
    <cellStyle name="Normal 5 2 2 3 2 2 5 2 2" xfId="8593" xr:uid="{3B6F6317-4109-40AE-B366-E18752B4C899}"/>
    <cellStyle name="Normal 5 2 2 3 2 2 5 3" xfId="6448" xr:uid="{8DC03EFA-901A-470F-BC20-CB31C919E683}"/>
    <cellStyle name="Normal 5 2 2 3 2 2 6" xfId="2998" xr:uid="{9A39EDAC-9464-474A-8AAC-7F2E11CD943D}"/>
    <cellStyle name="Normal 5 2 2 3 2 2 6 2" xfId="6861" xr:uid="{63B75A0E-5876-43C8-BD08-4163C96CA5B0}"/>
    <cellStyle name="Normal 5 2 2 3 2 2 7" xfId="4796" xr:uid="{3912C239-7AD2-400F-9760-F490FBB0E7A0}"/>
    <cellStyle name="Normal 5 2 2 3 2 3" xfId="900" xr:uid="{00000000-0005-0000-0000-0000E9020000}"/>
    <cellStyle name="Normal 5 2 2 3 2 3 2" xfId="1733" xr:uid="{ED3158AD-6C1A-4996-858A-CEE7AD95C257}"/>
    <cellStyle name="Normal 5 2 2 3 2 3 2 2" xfId="7353" xr:uid="{B05C589F-B834-4846-85A2-6AA0C7E837AA}"/>
    <cellStyle name="Normal 5 2 2 3 2 3 3" xfId="5208" xr:uid="{23C23D0F-6537-4AED-9216-78A2D4D03B93}"/>
    <cellStyle name="Normal 5 2 2 3 2 4" xfId="1317" xr:uid="{042913A8-5A9A-4F0E-B673-777B9B48136E}"/>
    <cellStyle name="Normal 5 2 2 3 2 4 2" xfId="3551" xr:uid="{C8F5BEC2-927E-4362-A582-70C26DD3C71F}"/>
    <cellStyle name="Normal 5 2 2 3 2 4 2 2" xfId="7766" xr:uid="{243BED45-2F26-4DF8-9DA0-8D03652E30FD}"/>
    <cellStyle name="Normal 5 2 2 3 2 4 3" xfId="5621" xr:uid="{C3228735-622C-4E57-BA8F-825C36704D36}"/>
    <cellStyle name="Normal 5 2 2 3 2 5" xfId="2148" xr:uid="{C12C0B01-6E58-4655-9F2A-A455042F7E53}"/>
    <cellStyle name="Normal 5 2 2 3 2 5 2" xfId="3964" xr:uid="{A74263E1-4B25-4069-A094-D6B0AAB8F93D}"/>
    <cellStyle name="Normal 5 2 2 3 2 5 2 2" xfId="8179" xr:uid="{05F1FC1F-1A13-4135-9952-6DAC12E93A78}"/>
    <cellStyle name="Normal 5 2 2 3 2 5 3" xfId="6034" xr:uid="{F305623E-B89D-4C99-890B-124E5AA6C187}"/>
    <cellStyle name="Normal 5 2 2 3 2 6" xfId="2561" xr:uid="{4B13BF94-2BF4-450A-99F5-ED0C79990F23}"/>
    <cellStyle name="Normal 5 2 2 3 2 6 2" xfId="4377" xr:uid="{54812609-977A-43F9-A1B4-C201D3F09C38}"/>
    <cellStyle name="Normal 5 2 2 3 2 6 2 2" xfId="8592" xr:uid="{7D16380C-0A69-4B93-8252-E4767E796592}"/>
    <cellStyle name="Normal 5 2 2 3 2 6 3" xfId="6447" xr:uid="{E01E39EF-A3C9-4CD4-8FEE-9D34408E48F4}"/>
    <cellStyle name="Normal 5 2 2 3 2 7" xfId="2997" xr:uid="{0BADDC74-E456-425F-8F0A-99C0C96FF4A3}"/>
    <cellStyle name="Normal 5 2 2 3 2 7 2" xfId="6860" xr:uid="{241DC7BB-1671-4CD2-A6BD-56AB0E55152F}"/>
    <cellStyle name="Normal 5 2 2 3 2 8" xfId="4795" xr:uid="{17781996-D4F8-4854-B1ED-C45B0439DA5A}"/>
    <cellStyle name="Normal 5 2 2 3 3" xfId="423" xr:uid="{00000000-0005-0000-0000-0000EA020000}"/>
    <cellStyle name="Normal 5 2 2 3 3 2" xfId="902" xr:uid="{00000000-0005-0000-0000-0000EB020000}"/>
    <cellStyle name="Normal 5 2 2 3 3 2 2" xfId="1735" xr:uid="{B6F028E5-EBDE-4C7E-BB34-F26B6CBA3847}"/>
    <cellStyle name="Normal 5 2 2 3 3 2 2 2" xfId="7355" xr:uid="{04822433-2955-43C9-9B98-C120CCD95B30}"/>
    <cellStyle name="Normal 5 2 2 3 3 2 3" xfId="5210" xr:uid="{7E3D1B0A-EBF9-4D01-BE7C-C42DF6A7DD0A}"/>
    <cellStyle name="Normal 5 2 2 3 3 3" xfId="1319" xr:uid="{8D05620A-902D-4A38-9F1F-E0DC976DF452}"/>
    <cellStyle name="Normal 5 2 2 3 3 3 2" xfId="3553" xr:uid="{38750B40-20B8-42F3-81B4-30C991439479}"/>
    <cellStyle name="Normal 5 2 2 3 3 3 2 2" xfId="7768" xr:uid="{3775ABE5-0AA2-4DAE-A4D5-82357FD18AEA}"/>
    <cellStyle name="Normal 5 2 2 3 3 3 3" xfId="5623" xr:uid="{4C66BF79-EB07-46ED-8D2A-1537E194EA59}"/>
    <cellStyle name="Normal 5 2 2 3 3 4" xfId="2150" xr:uid="{AA6F4075-D17C-45BE-923E-5A162DDE819E}"/>
    <cellStyle name="Normal 5 2 2 3 3 4 2" xfId="3966" xr:uid="{11A4A621-337A-4707-AA1F-1EE0271858D4}"/>
    <cellStyle name="Normal 5 2 2 3 3 4 2 2" xfId="8181" xr:uid="{66A0BC68-41E1-48C2-BE6F-9A56F40AE3FA}"/>
    <cellStyle name="Normal 5 2 2 3 3 4 3" xfId="6036" xr:uid="{61B03B55-2AE3-448C-B15A-18F098C60A60}"/>
    <cellStyle name="Normal 5 2 2 3 3 5" xfId="2563" xr:uid="{CEC25292-F815-4F26-9DF0-D718075D777E}"/>
    <cellStyle name="Normal 5 2 2 3 3 5 2" xfId="4379" xr:uid="{75B5CD33-0912-4CD7-8CAB-2DC6B6EAD160}"/>
    <cellStyle name="Normal 5 2 2 3 3 5 2 2" xfId="8594" xr:uid="{D2A87ED9-043D-40E2-B894-1F2D62368E23}"/>
    <cellStyle name="Normal 5 2 2 3 3 5 3" xfId="6449" xr:uid="{EE66A8AE-E1B9-47CD-BE25-BB4834D2D6FA}"/>
    <cellStyle name="Normal 5 2 2 3 3 6" xfId="2999" xr:uid="{F515DC3B-3E5E-49EB-9B78-F92DEDF58774}"/>
    <cellStyle name="Normal 5 2 2 3 3 6 2" xfId="6862" xr:uid="{153FAAA8-3369-436A-B9FF-D6A45C149ED4}"/>
    <cellStyle name="Normal 5 2 2 3 3 7" xfId="4797" xr:uid="{EE83487D-E4BB-44CE-BDF1-376B5CC8506D}"/>
    <cellStyle name="Normal 5 2 2 3 4" xfId="899" xr:uid="{00000000-0005-0000-0000-0000EC020000}"/>
    <cellStyle name="Normal 5 2 2 3 4 2" xfId="1732" xr:uid="{B585310D-2D09-43C8-9904-7564288B91C9}"/>
    <cellStyle name="Normal 5 2 2 3 4 2 2" xfId="7352" xr:uid="{140EBD64-9635-49D9-92E4-6D29150CBC8B}"/>
    <cellStyle name="Normal 5 2 2 3 4 3" xfId="5207" xr:uid="{D58A7180-67E3-44D5-8823-9737624D0A74}"/>
    <cellStyle name="Normal 5 2 2 3 5" xfId="1316" xr:uid="{70EF9E5F-DC61-437A-AB9F-5EE5FCDBD0A1}"/>
    <cellStyle name="Normal 5 2 2 3 5 2" xfId="3550" xr:uid="{44F13AAA-1B33-4E71-AA3C-CC6CA95173D4}"/>
    <cellStyle name="Normal 5 2 2 3 5 2 2" xfId="7765" xr:uid="{2512E6FF-74CE-4755-8280-27FD961ACB07}"/>
    <cellStyle name="Normal 5 2 2 3 5 3" xfId="5620" xr:uid="{AC7EBB15-46DA-46AA-8A24-86E61A6FD8B7}"/>
    <cellStyle name="Normal 5 2 2 3 6" xfId="2147" xr:uid="{D9CB5771-5B6C-4B3B-B3AF-2F643C36A586}"/>
    <cellStyle name="Normal 5 2 2 3 6 2" xfId="3963" xr:uid="{E05B3280-B7CF-423C-B285-185FBB12E985}"/>
    <cellStyle name="Normal 5 2 2 3 6 2 2" xfId="8178" xr:uid="{23CEAA0A-7860-4872-85E4-70DF01E9CB86}"/>
    <cellStyle name="Normal 5 2 2 3 6 3" xfId="6033" xr:uid="{C1FC4FD6-D733-4E17-9302-351DCF64A5A2}"/>
    <cellStyle name="Normal 5 2 2 3 7" xfId="2560" xr:uid="{EACCE47D-8687-47E3-9D54-47E587CE1C45}"/>
    <cellStyle name="Normal 5 2 2 3 7 2" xfId="4376" xr:uid="{3214BEEB-1883-42AD-BAA2-1FFEA09F421B}"/>
    <cellStyle name="Normal 5 2 2 3 7 2 2" xfId="8591" xr:uid="{424914D0-C83B-40B4-BFE1-AE9E92970AFD}"/>
    <cellStyle name="Normal 5 2 2 3 7 3" xfId="6446" xr:uid="{B169ADB2-0013-4E04-840F-11DC90B7CBC9}"/>
    <cellStyle name="Normal 5 2 2 3 8" xfId="2996" xr:uid="{C9ACDA48-ADFC-4D09-A42F-21C7C3CF6724}"/>
    <cellStyle name="Normal 5 2 2 3 8 2" xfId="6859" xr:uid="{43BDE386-CD67-4225-B173-D7937D944744}"/>
    <cellStyle name="Normal 5 2 2 3 9" xfId="4794" xr:uid="{C04AA5A4-556A-41C3-9982-6CE05913750B}"/>
    <cellStyle name="Normal 5 2 2 4" xfId="424" xr:uid="{00000000-0005-0000-0000-0000ED020000}"/>
    <cellStyle name="Normal 5 2 2 4 2" xfId="425" xr:uid="{00000000-0005-0000-0000-0000EE020000}"/>
    <cellStyle name="Normal 5 2 2 4 2 2" xfId="904" xr:uid="{00000000-0005-0000-0000-0000EF020000}"/>
    <cellStyle name="Normal 5 2 2 4 2 2 2" xfId="1737" xr:uid="{23E17BF3-C334-45AE-9C09-8D67C39D4D29}"/>
    <cellStyle name="Normal 5 2 2 4 2 2 2 2" xfId="7357" xr:uid="{737761A0-66BB-4712-831D-824DD532F028}"/>
    <cellStyle name="Normal 5 2 2 4 2 2 3" xfId="5212" xr:uid="{C6837252-BB8E-434C-BB4C-419030A1E9FC}"/>
    <cellStyle name="Normal 5 2 2 4 2 3" xfId="1321" xr:uid="{9C0F6457-2886-4909-8928-DF1F233CE25D}"/>
    <cellStyle name="Normal 5 2 2 4 2 3 2" xfId="3555" xr:uid="{F98BBF49-EE12-4D37-AE27-02A925C9E7E3}"/>
    <cellStyle name="Normal 5 2 2 4 2 3 2 2" xfId="7770" xr:uid="{DD41A818-DBF0-4838-9AA5-D438805A2688}"/>
    <cellStyle name="Normal 5 2 2 4 2 3 3" xfId="5625" xr:uid="{2943273B-874B-4A25-90D9-4A2AF7BE2860}"/>
    <cellStyle name="Normal 5 2 2 4 2 4" xfId="2152" xr:uid="{4827D685-C600-4D7E-BA21-8EFE090D27F1}"/>
    <cellStyle name="Normal 5 2 2 4 2 4 2" xfId="3968" xr:uid="{1AD998C0-3B42-400A-8EB0-0293FB19B5F1}"/>
    <cellStyle name="Normal 5 2 2 4 2 4 2 2" xfId="8183" xr:uid="{715B5BE1-D296-4BCC-9386-B806018DC4E1}"/>
    <cellStyle name="Normal 5 2 2 4 2 4 3" xfId="6038" xr:uid="{A6BC4BB7-69F9-4054-BD22-6B570DF990D9}"/>
    <cellStyle name="Normal 5 2 2 4 2 5" xfId="2565" xr:uid="{99D22080-D36B-42E2-A802-5F16978136EB}"/>
    <cellStyle name="Normal 5 2 2 4 2 5 2" xfId="4381" xr:uid="{68B92B4C-9FF0-49B5-8BE7-39C90953D573}"/>
    <cellStyle name="Normal 5 2 2 4 2 5 2 2" xfId="8596" xr:uid="{F385B07E-2F40-4E4D-82A9-5CA27438B541}"/>
    <cellStyle name="Normal 5 2 2 4 2 5 3" xfId="6451" xr:uid="{88FDAC57-562C-484D-B8BF-FD10EC3F6FD5}"/>
    <cellStyle name="Normal 5 2 2 4 2 6" xfId="3001" xr:uid="{A21A41CD-F1D8-48E8-9CCA-02D981A321C5}"/>
    <cellStyle name="Normal 5 2 2 4 2 6 2" xfId="6864" xr:uid="{3025A203-D38E-4DF2-BFE7-7D5334EE1045}"/>
    <cellStyle name="Normal 5 2 2 4 2 7" xfId="4799" xr:uid="{49AD74A7-4467-4E1D-8297-F25B4A6D47D0}"/>
    <cellStyle name="Normal 5 2 2 4 3" xfId="903" xr:uid="{00000000-0005-0000-0000-0000F0020000}"/>
    <cellStyle name="Normal 5 2 2 4 3 2" xfId="1736" xr:uid="{2342AEB4-5F99-4F2F-B71B-D243D11C5FF7}"/>
    <cellStyle name="Normal 5 2 2 4 3 2 2" xfId="7356" xr:uid="{BABCA3DA-4204-4F16-A345-D64CEE14A0DF}"/>
    <cellStyle name="Normal 5 2 2 4 3 3" xfId="5211" xr:uid="{AC426FE4-A330-4DCE-AD90-E31335BDAB01}"/>
    <cellStyle name="Normal 5 2 2 4 4" xfId="1320" xr:uid="{0B2E2952-4678-4EA7-95CA-0ECE150AA89D}"/>
    <cellStyle name="Normal 5 2 2 4 4 2" xfId="3554" xr:uid="{A0BA3FB6-585F-4F00-93B4-9E4EE6FCEF1A}"/>
    <cellStyle name="Normal 5 2 2 4 4 2 2" xfId="7769" xr:uid="{A6BBA5AA-8727-4211-95C7-0C3890757C2E}"/>
    <cellStyle name="Normal 5 2 2 4 4 3" xfId="5624" xr:uid="{641AEC53-ABA3-4802-915E-2E5E64AA61A0}"/>
    <cellStyle name="Normal 5 2 2 4 5" xfId="2151" xr:uid="{DC6E579F-3627-4258-931B-C7BDC4F1557E}"/>
    <cellStyle name="Normal 5 2 2 4 5 2" xfId="3967" xr:uid="{4392339E-877F-408D-A915-ADB057E5AA9E}"/>
    <cellStyle name="Normal 5 2 2 4 5 2 2" xfId="8182" xr:uid="{6BEEFF95-9356-45F9-8E25-D32876B69F9C}"/>
    <cellStyle name="Normal 5 2 2 4 5 3" xfId="6037" xr:uid="{22A88817-3BB7-4793-AD5C-D945A0629AD9}"/>
    <cellStyle name="Normal 5 2 2 4 6" xfId="2564" xr:uid="{4999A06D-AB56-4A2D-965A-1B3B93245191}"/>
    <cellStyle name="Normal 5 2 2 4 6 2" xfId="4380" xr:uid="{253A1BC8-58EF-46EB-B467-F7B8B2027120}"/>
    <cellStyle name="Normal 5 2 2 4 6 2 2" xfId="8595" xr:uid="{56163102-3534-4F69-9294-8AF9EDBC60CC}"/>
    <cellStyle name="Normal 5 2 2 4 6 3" xfId="6450" xr:uid="{E53D0FF7-E1A8-46AC-AAB5-42BB78884EC0}"/>
    <cellStyle name="Normal 5 2 2 4 7" xfId="3000" xr:uid="{D8D59EC5-D09C-45BB-ACA3-03F5D7E3D8AF}"/>
    <cellStyle name="Normal 5 2 2 4 7 2" xfId="6863" xr:uid="{EFBA8C10-2E64-4B09-88DA-B2A82DAD03DF}"/>
    <cellStyle name="Normal 5 2 2 4 8" xfId="4798" xr:uid="{13F061A6-68C1-4F68-AEDB-13DC80EABD28}"/>
    <cellStyle name="Normal 5 2 2 5" xfId="426" xr:uid="{00000000-0005-0000-0000-0000F1020000}"/>
    <cellStyle name="Normal 5 2 2 5 2" xfId="905" xr:uid="{00000000-0005-0000-0000-0000F2020000}"/>
    <cellStyle name="Normal 5 2 2 5 2 2" xfId="1738" xr:uid="{FE5834A7-7D07-423E-A6A8-D351AA0B38AA}"/>
    <cellStyle name="Normal 5 2 2 5 2 2 2" xfId="7358" xr:uid="{69219783-9BC4-48F0-9F5E-D43CCFC6E8C5}"/>
    <cellStyle name="Normal 5 2 2 5 2 3" xfId="5213" xr:uid="{B025B33E-4C5B-4449-83CC-D87A82A591DB}"/>
    <cellStyle name="Normal 5 2 2 5 3" xfId="1322" xr:uid="{A887C57B-749F-447F-A004-9BA7CE2DB92F}"/>
    <cellStyle name="Normal 5 2 2 5 3 2" xfId="3556" xr:uid="{367DFFAD-8C5C-4B01-A82E-7DC8BA4FDF5F}"/>
    <cellStyle name="Normal 5 2 2 5 3 2 2" xfId="7771" xr:uid="{F1022001-699C-441B-9850-4A3DB4083FEF}"/>
    <cellStyle name="Normal 5 2 2 5 3 3" xfId="5626" xr:uid="{9629445B-5D4A-4CC8-8252-FA4F3BF2921F}"/>
    <cellStyle name="Normal 5 2 2 5 4" xfId="2153" xr:uid="{6B471F1C-7EA0-4489-BE82-9A08F6FB893C}"/>
    <cellStyle name="Normal 5 2 2 5 4 2" xfId="3969" xr:uid="{98954E61-38BE-4830-AA74-0AA2FBD8DCC9}"/>
    <cellStyle name="Normal 5 2 2 5 4 2 2" xfId="8184" xr:uid="{924A4811-60F8-4F68-AEE4-EAFEFCC798C3}"/>
    <cellStyle name="Normal 5 2 2 5 4 3" xfId="6039" xr:uid="{D0448E79-C0A5-4C66-BBB9-C58482A26EA8}"/>
    <cellStyle name="Normal 5 2 2 5 5" xfId="2566" xr:uid="{B17F859C-C7AE-4D83-9FB8-9DDA679B6D8C}"/>
    <cellStyle name="Normal 5 2 2 5 5 2" xfId="4382" xr:uid="{2AC674CB-39F9-4805-AF7B-0D8D7174EB6F}"/>
    <cellStyle name="Normal 5 2 2 5 5 2 2" xfId="8597" xr:uid="{9FE88C9B-61FA-4BD9-9523-295FFF1808C5}"/>
    <cellStyle name="Normal 5 2 2 5 5 3" xfId="6452" xr:uid="{304D5690-8E5F-4A67-BDB8-243A016744C7}"/>
    <cellStyle name="Normal 5 2 2 5 6" xfId="3002" xr:uid="{5469D279-7381-431B-9032-AAB1FBFAD9D6}"/>
    <cellStyle name="Normal 5 2 2 5 6 2" xfId="6865" xr:uid="{395838E5-F59D-459B-A94B-C68A103A0FB6}"/>
    <cellStyle name="Normal 5 2 2 5 7" xfId="4800" xr:uid="{CC5601AD-382B-4F3D-87A6-EAC647E20DD6}"/>
    <cellStyle name="Normal 5 2 2 6" xfId="890" xr:uid="{00000000-0005-0000-0000-0000F3020000}"/>
    <cellStyle name="Normal 5 2 2 6 2" xfId="1723" xr:uid="{EBDFB0F6-DFC1-45C9-8568-76C6B4EA7943}"/>
    <cellStyle name="Normal 5 2 2 6 2 2" xfId="7343" xr:uid="{6042E0FE-B6DE-4386-8884-FF48C49E14C6}"/>
    <cellStyle name="Normal 5 2 2 6 3" xfId="5198" xr:uid="{C12CBADF-BC3D-4908-889E-323D94D727CD}"/>
    <cellStyle name="Normal 5 2 2 7" xfId="1307" xr:uid="{1A9830BB-EE1B-494E-84CA-CFBE8E44BDCD}"/>
    <cellStyle name="Normal 5 2 2 7 2" xfId="3541" xr:uid="{DA039F3C-EE12-4438-86C3-538923453A41}"/>
    <cellStyle name="Normal 5 2 2 7 2 2" xfId="7756" xr:uid="{3E233C7A-7D5C-471A-96D2-2A0ABB46F0F0}"/>
    <cellStyle name="Normal 5 2 2 7 3" xfId="5611" xr:uid="{30D49162-BE3F-4AD9-8084-2CD46EF458E0}"/>
    <cellStyle name="Normal 5 2 2 8" xfId="2138" xr:uid="{57B0053B-40CE-4C06-9A50-0EE98DD13417}"/>
    <cellStyle name="Normal 5 2 2 8 2" xfId="3954" xr:uid="{3A2863B4-7723-4FC4-B1C1-AC412433DA02}"/>
    <cellStyle name="Normal 5 2 2 8 2 2" xfId="8169" xr:uid="{5EF69BE7-3699-4EC4-B600-FB88D5B674FF}"/>
    <cellStyle name="Normal 5 2 2 8 3" xfId="6024" xr:uid="{C247479E-B450-43EA-8E16-0EA9D0E0CC54}"/>
    <cellStyle name="Normal 5 2 2 9" xfId="2551" xr:uid="{0114FEC7-F5AA-4E37-9BD4-9FC8C5ABCFBA}"/>
    <cellStyle name="Normal 5 2 2 9 2" xfId="4367" xr:uid="{1517B248-61D2-47FF-9F43-0746517B1833}"/>
    <cellStyle name="Normal 5 2 2 9 2 2" xfId="8582" xr:uid="{F8A5D494-AA2F-4542-956F-B49EF4F26C0C}"/>
    <cellStyle name="Normal 5 2 2 9 3" xfId="6437" xr:uid="{43D1A76A-7230-4A2D-ADAB-283F905A5576}"/>
    <cellStyle name="Normal 5 2 3" xfId="427" xr:uid="{00000000-0005-0000-0000-0000F4020000}"/>
    <cellStyle name="Normal 5 2 3 10" xfId="4801" xr:uid="{5AE5078D-0BA5-451D-94AF-B633689E017F}"/>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2" xr:uid="{40C59F2E-AE61-4C7C-B0B4-0E05E61E4EBA}"/>
    <cellStyle name="Normal 5 2 3 2 2 2 2 2 2" xfId="7362" xr:uid="{30C4C4E3-C900-4068-8FB8-BF378990E18B}"/>
    <cellStyle name="Normal 5 2 3 2 2 2 2 3" xfId="5217" xr:uid="{06AB337A-6517-4013-A32E-2D84B5A1EC39}"/>
    <cellStyle name="Normal 5 2 3 2 2 2 3" xfId="1326" xr:uid="{85F57911-5B52-4DC8-A1D2-5EC2437F10FC}"/>
    <cellStyle name="Normal 5 2 3 2 2 2 3 2" xfId="3560" xr:uid="{F5EB159C-F877-41E1-8128-E1278472A2D2}"/>
    <cellStyle name="Normal 5 2 3 2 2 2 3 2 2" xfId="7775" xr:uid="{FF2EC9FE-389C-4BAD-A5C5-CC870A4B1B3F}"/>
    <cellStyle name="Normal 5 2 3 2 2 2 3 3" xfId="5630" xr:uid="{45F4C5F8-64D3-49C2-8B82-B5F7CCFFD9E9}"/>
    <cellStyle name="Normal 5 2 3 2 2 2 4" xfId="2157" xr:uid="{0742E49C-8AE0-4A64-B2DF-3B1E46574D73}"/>
    <cellStyle name="Normal 5 2 3 2 2 2 4 2" xfId="3973" xr:uid="{3275AEB2-5582-4262-B829-88369C62EE99}"/>
    <cellStyle name="Normal 5 2 3 2 2 2 4 2 2" xfId="8188" xr:uid="{24D30CFD-DD0D-458D-903B-E3316FC81C3B}"/>
    <cellStyle name="Normal 5 2 3 2 2 2 4 3" xfId="6043" xr:uid="{A32ED230-835B-41AD-8C37-50236CFA435B}"/>
    <cellStyle name="Normal 5 2 3 2 2 2 5" xfId="2570" xr:uid="{BA7C9EA1-E73E-486E-B13F-C20AC62E2C45}"/>
    <cellStyle name="Normal 5 2 3 2 2 2 5 2" xfId="4386" xr:uid="{31D7AFC4-61C5-4043-8345-CC3ACA91A300}"/>
    <cellStyle name="Normal 5 2 3 2 2 2 5 2 2" xfId="8601" xr:uid="{FF014CEF-A146-4079-8949-009149D3D3EB}"/>
    <cellStyle name="Normal 5 2 3 2 2 2 5 3" xfId="6456" xr:uid="{3BA571DE-0F27-4893-B67F-1BD4854B2E9E}"/>
    <cellStyle name="Normal 5 2 3 2 2 2 6" xfId="3006" xr:uid="{E3A7F90C-F746-4898-B625-62AF5C0DC016}"/>
    <cellStyle name="Normal 5 2 3 2 2 2 6 2" xfId="6869" xr:uid="{4A0A1D2B-E809-4703-9A4C-4432716B880A}"/>
    <cellStyle name="Normal 5 2 3 2 2 2 7" xfId="4804" xr:uid="{135ECE0E-A7DC-4B8B-8AF2-DFB2FAB9EB37}"/>
    <cellStyle name="Normal 5 2 3 2 2 3" xfId="908" xr:uid="{00000000-0005-0000-0000-0000F9020000}"/>
    <cellStyle name="Normal 5 2 3 2 2 3 2" xfId="1741" xr:uid="{9EAE2333-DAA3-4E3C-B729-6DECF0BC8131}"/>
    <cellStyle name="Normal 5 2 3 2 2 3 2 2" xfId="7361" xr:uid="{55CDDD45-B144-40A8-AB59-4F7B346A8404}"/>
    <cellStyle name="Normal 5 2 3 2 2 3 3" xfId="5216" xr:uid="{0018FEC2-02BA-4F9C-8B7D-7FD713219127}"/>
    <cellStyle name="Normal 5 2 3 2 2 4" xfId="1325" xr:uid="{D144F5EC-8EBA-4E0C-A004-BFF0EF005F99}"/>
    <cellStyle name="Normal 5 2 3 2 2 4 2" xfId="3559" xr:uid="{BDFD54E6-7AA9-43B6-9951-0D91BCAF9D2E}"/>
    <cellStyle name="Normal 5 2 3 2 2 4 2 2" xfId="7774" xr:uid="{45AA446D-99D5-4060-AE90-D661A2C68F4D}"/>
    <cellStyle name="Normal 5 2 3 2 2 4 3" xfId="5629" xr:uid="{730C42EB-6F11-4B66-AC1E-EB4D78785524}"/>
    <cellStyle name="Normal 5 2 3 2 2 5" xfId="2156" xr:uid="{3897131A-6608-4AC4-B0A5-99C3D6ECABED}"/>
    <cellStyle name="Normal 5 2 3 2 2 5 2" xfId="3972" xr:uid="{EC770002-AF8D-4DBC-91AB-56E91A4ED2D9}"/>
    <cellStyle name="Normal 5 2 3 2 2 5 2 2" xfId="8187" xr:uid="{24E16D5D-D3AC-4FC2-AEF9-BE413F70BBD0}"/>
    <cellStyle name="Normal 5 2 3 2 2 5 3" xfId="6042" xr:uid="{111FB3FD-3790-4F28-B94B-62D3B970B34F}"/>
    <cellStyle name="Normal 5 2 3 2 2 6" xfId="2569" xr:uid="{C3F341C5-091C-43EF-9C80-03EDF38DE555}"/>
    <cellStyle name="Normal 5 2 3 2 2 6 2" xfId="4385" xr:uid="{8130A48E-3D22-4C73-A9F5-DA28AB3546BE}"/>
    <cellStyle name="Normal 5 2 3 2 2 6 2 2" xfId="8600" xr:uid="{5A75E773-A353-4D63-96BF-FCF6BE6971E0}"/>
    <cellStyle name="Normal 5 2 3 2 2 6 3" xfId="6455" xr:uid="{4F26673C-B524-4334-84E9-B5FEE9BC73D1}"/>
    <cellStyle name="Normal 5 2 3 2 2 7" xfId="3005" xr:uid="{4C17AA14-87D2-4593-A564-0D1509AA0501}"/>
    <cellStyle name="Normal 5 2 3 2 2 7 2" xfId="6868" xr:uid="{53C578CA-4FC9-468C-899E-A1D9BEB9F722}"/>
    <cellStyle name="Normal 5 2 3 2 2 8" xfId="4803" xr:uid="{6787411E-15D9-448D-9C1A-AD7E84CB09AF}"/>
    <cellStyle name="Normal 5 2 3 2 3" xfId="431" xr:uid="{00000000-0005-0000-0000-0000FA020000}"/>
    <cellStyle name="Normal 5 2 3 2 3 2" xfId="910" xr:uid="{00000000-0005-0000-0000-0000FB020000}"/>
    <cellStyle name="Normal 5 2 3 2 3 2 2" xfId="1743" xr:uid="{E5FCCE68-188F-4E56-99FE-63726C0357D9}"/>
    <cellStyle name="Normal 5 2 3 2 3 2 2 2" xfId="7363" xr:uid="{41494897-85A3-40A1-813E-52D27AEF9B5D}"/>
    <cellStyle name="Normal 5 2 3 2 3 2 3" xfId="5218" xr:uid="{23443AA4-B223-4454-8840-10F7B2FD570B}"/>
    <cellStyle name="Normal 5 2 3 2 3 3" xfId="1327" xr:uid="{3A12CCD8-8A2C-43CF-98A7-181D135D9750}"/>
    <cellStyle name="Normal 5 2 3 2 3 3 2" xfId="3561" xr:uid="{98809360-92D1-4113-A2DE-9BB5547E586D}"/>
    <cellStyle name="Normal 5 2 3 2 3 3 2 2" xfId="7776" xr:uid="{8BB3E6CC-483B-4075-8FD7-49AD589E592D}"/>
    <cellStyle name="Normal 5 2 3 2 3 3 3" xfId="5631" xr:uid="{73D3653D-D0D3-46E8-870C-B5DC6FBE115A}"/>
    <cellStyle name="Normal 5 2 3 2 3 4" xfId="2158" xr:uid="{3B9600EA-DFDF-41CE-AD79-2C5643F92DE5}"/>
    <cellStyle name="Normal 5 2 3 2 3 4 2" xfId="3974" xr:uid="{35911E93-B77F-491C-971B-3B4D648F05E6}"/>
    <cellStyle name="Normal 5 2 3 2 3 4 2 2" xfId="8189" xr:uid="{C5FA6D6A-4706-4050-9D12-A35C329A807E}"/>
    <cellStyle name="Normal 5 2 3 2 3 4 3" xfId="6044" xr:uid="{E7C2527C-823E-434F-A049-06B18CD84B59}"/>
    <cellStyle name="Normal 5 2 3 2 3 5" xfId="2571" xr:uid="{2574A5CF-6706-4E26-B9CF-D1632784EA79}"/>
    <cellStyle name="Normal 5 2 3 2 3 5 2" xfId="4387" xr:uid="{C0E7BD0F-9C71-45FE-A802-2C2B6C738112}"/>
    <cellStyle name="Normal 5 2 3 2 3 5 2 2" xfId="8602" xr:uid="{AB5DA2E7-65C9-4771-ACBF-2B96B1DB88EA}"/>
    <cellStyle name="Normal 5 2 3 2 3 5 3" xfId="6457" xr:uid="{57DF44C4-9782-4C10-A298-0940E4BC1ACE}"/>
    <cellStyle name="Normal 5 2 3 2 3 6" xfId="3007" xr:uid="{DDEAE487-378A-4C8B-9A2A-0E1CE1152E80}"/>
    <cellStyle name="Normal 5 2 3 2 3 6 2" xfId="6870" xr:uid="{65B62E84-D155-4969-BC58-09002ADFC5E0}"/>
    <cellStyle name="Normal 5 2 3 2 3 7" xfId="4805" xr:uid="{CCE02C6D-A749-4D56-9CAA-05B671988584}"/>
    <cellStyle name="Normal 5 2 3 2 4" xfId="907" xr:uid="{00000000-0005-0000-0000-0000FC020000}"/>
    <cellStyle name="Normal 5 2 3 2 4 2" xfId="1740" xr:uid="{CF6D3F8B-84C2-4158-93A5-7D0625EAD9DD}"/>
    <cellStyle name="Normal 5 2 3 2 4 2 2" xfId="7360" xr:uid="{6BF1CF0D-B189-47F9-A0B1-5A5949EBA182}"/>
    <cellStyle name="Normal 5 2 3 2 4 3" xfId="5215" xr:uid="{AF556703-EB76-4BE4-BE0E-2DCF98E607A2}"/>
    <cellStyle name="Normal 5 2 3 2 5" xfId="1324" xr:uid="{5D0F6F99-17F0-4B0B-8EDB-D0D2B9BA5788}"/>
    <cellStyle name="Normal 5 2 3 2 5 2" xfId="3558" xr:uid="{5BBBD8DE-7B95-4A38-8C60-86DFCA46E6EF}"/>
    <cellStyle name="Normal 5 2 3 2 5 2 2" xfId="7773" xr:uid="{DDCB09D7-1969-4559-A383-FA1C79DD6912}"/>
    <cellStyle name="Normal 5 2 3 2 5 3" xfId="5628" xr:uid="{E03101CD-F0E3-4A32-89B8-4F2A36375FCB}"/>
    <cellStyle name="Normal 5 2 3 2 6" xfId="2155" xr:uid="{2C15E864-A35C-48B5-B71C-D66A2A6FD5EF}"/>
    <cellStyle name="Normal 5 2 3 2 6 2" xfId="3971" xr:uid="{0709966C-2327-4296-9312-34CF9B1FE680}"/>
    <cellStyle name="Normal 5 2 3 2 6 2 2" xfId="8186" xr:uid="{75C30DC0-1D31-453B-A0CA-B3ED2583DC51}"/>
    <cellStyle name="Normal 5 2 3 2 6 3" xfId="6041" xr:uid="{A7ED1D56-6C46-4B0D-A504-E2101E12F777}"/>
    <cellStyle name="Normal 5 2 3 2 7" xfId="2568" xr:uid="{FFFFE142-00C6-4AA7-8953-CDD83661D650}"/>
    <cellStyle name="Normal 5 2 3 2 7 2" xfId="4384" xr:uid="{2CB439B6-DBDC-4BB4-A56F-51E95C2652F7}"/>
    <cellStyle name="Normal 5 2 3 2 7 2 2" xfId="8599" xr:uid="{1CA6FABF-7131-47D7-BB36-5E37AB003184}"/>
    <cellStyle name="Normal 5 2 3 2 7 3" xfId="6454" xr:uid="{0EEB0A39-90C6-44E8-80AF-64606A3632D2}"/>
    <cellStyle name="Normal 5 2 3 2 8" xfId="3004" xr:uid="{44931A32-72FA-44C2-8206-DBBB096F0D6C}"/>
    <cellStyle name="Normal 5 2 3 2 8 2" xfId="6867" xr:uid="{4789B7EA-5699-45A5-B7D0-F49E29F88F42}"/>
    <cellStyle name="Normal 5 2 3 2 9" xfId="4802" xr:uid="{071C1B5A-0189-4FC3-9787-2643DC427DCC}"/>
    <cellStyle name="Normal 5 2 3 3" xfId="432" xr:uid="{00000000-0005-0000-0000-0000FD020000}"/>
    <cellStyle name="Normal 5 2 3 3 2" xfId="433" xr:uid="{00000000-0005-0000-0000-0000FE020000}"/>
    <cellStyle name="Normal 5 2 3 3 2 2" xfId="912" xr:uid="{00000000-0005-0000-0000-0000FF020000}"/>
    <cellStyle name="Normal 5 2 3 3 2 2 2" xfId="1745" xr:uid="{B9B9328D-C003-4AA9-B170-BD361A919403}"/>
    <cellStyle name="Normal 5 2 3 3 2 2 2 2" xfId="7365" xr:uid="{1E2C1783-BCF7-4560-9709-F39906B8215D}"/>
    <cellStyle name="Normal 5 2 3 3 2 2 3" xfId="5220" xr:uid="{8BF00819-8569-4953-8120-7B8590B0CA2B}"/>
    <cellStyle name="Normal 5 2 3 3 2 3" xfId="1329" xr:uid="{7726FE44-6A60-4810-A9CD-E93DA1FC48AE}"/>
    <cellStyle name="Normal 5 2 3 3 2 3 2" xfId="3563" xr:uid="{4876AEF7-529D-435A-9A3E-66151419E403}"/>
    <cellStyle name="Normal 5 2 3 3 2 3 2 2" xfId="7778" xr:uid="{A091BA84-5DE9-4EB4-9D9A-E591E48BB7B8}"/>
    <cellStyle name="Normal 5 2 3 3 2 3 3" xfId="5633" xr:uid="{A6C65D1E-B4E7-44FC-9EE7-CDB84B33C361}"/>
    <cellStyle name="Normal 5 2 3 3 2 4" xfId="2160" xr:uid="{788D3673-8111-4F63-807A-733DB051E007}"/>
    <cellStyle name="Normal 5 2 3 3 2 4 2" xfId="3976" xr:uid="{33FE5AD7-5C59-4FEF-9279-6B9343E67E44}"/>
    <cellStyle name="Normal 5 2 3 3 2 4 2 2" xfId="8191" xr:uid="{302DBB9E-8831-4186-8D11-CC8AB13A1C6F}"/>
    <cellStyle name="Normal 5 2 3 3 2 4 3" xfId="6046" xr:uid="{3F0471EE-9EA2-4DD8-A4DF-46317E2F8239}"/>
    <cellStyle name="Normal 5 2 3 3 2 5" xfId="2573" xr:uid="{BF52B8F2-2F29-48DD-BFC5-70BCF293D507}"/>
    <cellStyle name="Normal 5 2 3 3 2 5 2" xfId="4389" xr:uid="{85A1F226-B20E-4D8D-8193-FDF3D3932A79}"/>
    <cellStyle name="Normal 5 2 3 3 2 5 2 2" xfId="8604" xr:uid="{1A3A9B3A-32FE-426B-8A1F-5F6C88D8A17F}"/>
    <cellStyle name="Normal 5 2 3 3 2 5 3" xfId="6459" xr:uid="{7EFACE77-9651-44AC-A5F9-AFA6001A07DA}"/>
    <cellStyle name="Normal 5 2 3 3 2 6" xfId="3009" xr:uid="{758AE38F-06E9-450C-B781-01A16C7DF55E}"/>
    <cellStyle name="Normal 5 2 3 3 2 6 2" xfId="6872" xr:uid="{374B2E2C-C081-4A0F-86D5-F3AB988E1F48}"/>
    <cellStyle name="Normal 5 2 3 3 2 7" xfId="4807" xr:uid="{2DE563F9-AE52-400E-843A-94F07AA9DE56}"/>
    <cellStyle name="Normal 5 2 3 3 3" xfId="911" xr:uid="{00000000-0005-0000-0000-000000030000}"/>
    <cellStyle name="Normal 5 2 3 3 3 2" xfId="1744" xr:uid="{E1CED9B1-E985-4D7A-9889-A6FA52D864C6}"/>
    <cellStyle name="Normal 5 2 3 3 3 2 2" xfId="7364" xr:uid="{07046246-1B5F-4E81-941D-7335A8FF415F}"/>
    <cellStyle name="Normal 5 2 3 3 3 3" xfId="5219" xr:uid="{7EAC72F8-A5DC-4C2E-AD32-1DF7C8979F72}"/>
    <cellStyle name="Normal 5 2 3 3 4" xfId="1328" xr:uid="{CA46896E-38EB-46F9-8BD1-DB2C69EAF655}"/>
    <cellStyle name="Normal 5 2 3 3 4 2" xfId="3562" xr:uid="{27EEFFC1-DB78-413A-840B-AF21DEBCD45F}"/>
    <cellStyle name="Normal 5 2 3 3 4 2 2" xfId="7777" xr:uid="{DCB914B7-8561-4331-8A86-D0EB2886D961}"/>
    <cellStyle name="Normal 5 2 3 3 4 3" xfId="5632" xr:uid="{40371D14-A9EC-4AB6-8A2D-4D230667EA1E}"/>
    <cellStyle name="Normal 5 2 3 3 5" xfId="2159" xr:uid="{C02E4CDD-CD3D-4AE0-BD62-E1B982BAB067}"/>
    <cellStyle name="Normal 5 2 3 3 5 2" xfId="3975" xr:uid="{E7C75023-83F3-469A-95D7-81FA6315E436}"/>
    <cellStyle name="Normal 5 2 3 3 5 2 2" xfId="8190" xr:uid="{AEF3EE8F-DBD5-4930-958E-5675207A98E5}"/>
    <cellStyle name="Normal 5 2 3 3 5 3" xfId="6045" xr:uid="{666D3BED-5B10-4C69-B6E4-16E0D41C3195}"/>
    <cellStyle name="Normal 5 2 3 3 6" xfId="2572" xr:uid="{20496AD4-EC85-4426-8667-FD51EEA8B10F}"/>
    <cellStyle name="Normal 5 2 3 3 6 2" xfId="4388" xr:uid="{C801EA7F-91A4-4ECA-A271-9A84A3163553}"/>
    <cellStyle name="Normal 5 2 3 3 6 2 2" xfId="8603" xr:uid="{9929E16D-2397-400A-9A20-0DA6F8C95DDC}"/>
    <cellStyle name="Normal 5 2 3 3 6 3" xfId="6458" xr:uid="{E9DE12A4-24D8-41EE-914D-623E42C47A54}"/>
    <cellStyle name="Normal 5 2 3 3 7" xfId="3008" xr:uid="{B8FFE2AD-29CE-45B6-A48A-BAAC67151E74}"/>
    <cellStyle name="Normal 5 2 3 3 7 2" xfId="6871" xr:uid="{24F547A6-32CB-4764-9CB7-F4DC336B0825}"/>
    <cellStyle name="Normal 5 2 3 3 8" xfId="4806" xr:uid="{E574B81E-DA96-45D1-9D1A-3A866C9E7151}"/>
    <cellStyle name="Normal 5 2 3 4" xfId="434" xr:uid="{00000000-0005-0000-0000-000001030000}"/>
    <cellStyle name="Normal 5 2 3 4 2" xfId="913" xr:uid="{00000000-0005-0000-0000-000002030000}"/>
    <cellStyle name="Normal 5 2 3 4 2 2" xfId="1746" xr:uid="{60DD974E-AC24-40BA-9461-DFB8A3D9B228}"/>
    <cellStyle name="Normal 5 2 3 4 2 2 2" xfId="7366" xr:uid="{9EE46D52-D2C3-4868-8946-54633B719161}"/>
    <cellStyle name="Normal 5 2 3 4 2 3" xfId="5221" xr:uid="{00EF1BF7-9063-4504-9F59-40B7AE90ED05}"/>
    <cellStyle name="Normal 5 2 3 4 3" xfId="1330" xr:uid="{3CDD6168-8495-405A-A7FB-001F75DA97F5}"/>
    <cellStyle name="Normal 5 2 3 4 3 2" xfId="3564" xr:uid="{B30F78BA-111D-44E7-B5F8-5EFB352FC9AC}"/>
    <cellStyle name="Normal 5 2 3 4 3 2 2" xfId="7779" xr:uid="{9EBF2CE3-B8B0-467B-9DB0-3F43AD7DE9DC}"/>
    <cellStyle name="Normal 5 2 3 4 3 3" xfId="5634" xr:uid="{C83806F5-0E36-4AF0-A590-BCD78950E0DB}"/>
    <cellStyle name="Normal 5 2 3 4 4" xfId="2161" xr:uid="{1EDBA94E-2C94-45F1-9CE4-B743CF85A759}"/>
    <cellStyle name="Normal 5 2 3 4 4 2" xfId="3977" xr:uid="{390EB9A3-7242-4CE2-B45F-8475DD5B216D}"/>
    <cellStyle name="Normal 5 2 3 4 4 2 2" xfId="8192" xr:uid="{627A60A9-7EEE-4520-84C1-6D9B65B1A42A}"/>
    <cellStyle name="Normal 5 2 3 4 4 3" xfId="6047" xr:uid="{DA2DB98C-E834-4962-95F5-FD2FDEB24EC1}"/>
    <cellStyle name="Normal 5 2 3 4 5" xfId="2574" xr:uid="{A59F1E99-44B0-43C3-95AA-0B6E55787B24}"/>
    <cellStyle name="Normal 5 2 3 4 5 2" xfId="4390" xr:uid="{1A600E68-E115-49D2-9F86-3C2AD05366FD}"/>
    <cellStyle name="Normal 5 2 3 4 5 2 2" xfId="8605" xr:uid="{229E664D-C39C-4DA8-BB89-B48A0219DD47}"/>
    <cellStyle name="Normal 5 2 3 4 5 3" xfId="6460" xr:uid="{5D447C3A-E602-4EAA-A913-21C3DCEBE8B7}"/>
    <cellStyle name="Normal 5 2 3 4 6" xfId="3010" xr:uid="{F74D5F2B-14FA-4099-971A-37F40754F2C7}"/>
    <cellStyle name="Normal 5 2 3 4 6 2" xfId="6873" xr:uid="{9CD4FC06-E666-42AA-BADB-82B6B901D642}"/>
    <cellStyle name="Normal 5 2 3 4 7" xfId="4808" xr:uid="{BCD64CFF-3E47-41C8-A57A-21D3DFAF4BC6}"/>
    <cellStyle name="Normal 5 2 3 5" xfId="906" xr:uid="{00000000-0005-0000-0000-000003030000}"/>
    <cellStyle name="Normal 5 2 3 5 2" xfId="1739" xr:uid="{741DC49B-AE37-4947-AF32-C617144632E9}"/>
    <cellStyle name="Normal 5 2 3 5 2 2" xfId="7359" xr:uid="{CD24C5CB-0E01-4E77-A241-60E409888B3C}"/>
    <cellStyle name="Normal 5 2 3 5 3" xfId="5214" xr:uid="{20AB630C-5A9C-48F9-A85D-2E050C2D1878}"/>
    <cellStyle name="Normal 5 2 3 6" xfId="1323" xr:uid="{D336578E-06FA-415D-AD6D-9CEF976BC757}"/>
    <cellStyle name="Normal 5 2 3 6 2" xfId="3557" xr:uid="{AD8283C7-1344-4B26-AE21-F19173D0F595}"/>
    <cellStyle name="Normal 5 2 3 6 2 2" xfId="7772" xr:uid="{C0276016-797D-43A3-9A2E-E2F91F22B0DB}"/>
    <cellStyle name="Normal 5 2 3 6 3" xfId="5627" xr:uid="{92F80E93-1FAD-43D8-93CF-35D4D61B532E}"/>
    <cellStyle name="Normal 5 2 3 7" xfId="2154" xr:uid="{B97A50CB-C1E8-4011-BC54-C889029472C0}"/>
    <cellStyle name="Normal 5 2 3 7 2" xfId="3970" xr:uid="{18DE1656-3DB3-4EE3-A335-CAFCF2620164}"/>
    <cellStyle name="Normal 5 2 3 7 2 2" xfId="8185" xr:uid="{74764AB0-C905-4846-8335-A75D915A6533}"/>
    <cellStyle name="Normal 5 2 3 7 3" xfId="6040" xr:uid="{82A00E36-8E01-4CD4-B690-BFC11678D0CA}"/>
    <cellStyle name="Normal 5 2 3 8" xfId="2567" xr:uid="{72E744B2-76DF-42CF-B48A-B04DAF7F9DBD}"/>
    <cellStyle name="Normal 5 2 3 8 2" xfId="4383" xr:uid="{0002C3DB-C8B7-4048-9A9A-30FDDC2E7D8F}"/>
    <cellStyle name="Normal 5 2 3 8 2 2" xfId="8598" xr:uid="{F743EC68-A198-4B53-92BB-BA6D05AE69CC}"/>
    <cellStyle name="Normal 5 2 3 8 3" xfId="6453" xr:uid="{71DBAF04-7A4F-4793-B6BB-4FE199AEE12D}"/>
    <cellStyle name="Normal 5 2 3 9" xfId="3003" xr:uid="{1C173014-A7F7-4B0D-9027-B2F85549B6F7}"/>
    <cellStyle name="Normal 5 2 3 9 2" xfId="6866" xr:uid="{2D67C775-4E6D-4EB3-895D-8CE8D912F884}"/>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49" xr:uid="{F8F2B903-7BB7-4343-9149-C2FF6EFC7158}"/>
    <cellStyle name="Normal 5 2 4 2 2 2 2 2" xfId="7369" xr:uid="{FBB7B67F-F27F-4379-999C-E72CC47457AD}"/>
    <cellStyle name="Normal 5 2 4 2 2 2 3" xfId="5224" xr:uid="{112D45EE-4B56-434C-B90B-1403D1AE552E}"/>
    <cellStyle name="Normal 5 2 4 2 2 3" xfId="1333" xr:uid="{1AEF96A4-C94B-4E53-87C3-88EB4CBE0795}"/>
    <cellStyle name="Normal 5 2 4 2 2 3 2" xfId="3567" xr:uid="{AC345AAA-3151-46A8-9571-DD8F12FCCF4F}"/>
    <cellStyle name="Normal 5 2 4 2 2 3 2 2" xfId="7782" xr:uid="{CD48E0C6-C889-4E0D-A7D6-58533C95C8D8}"/>
    <cellStyle name="Normal 5 2 4 2 2 3 3" xfId="5637" xr:uid="{1C13C3E4-67D2-4D14-BFD5-0D1680AE12BF}"/>
    <cellStyle name="Normal 5 2 4 2 2 4" xfId="2164" xr:uid="{22DFCD47-0EED-4718-A342-18FFFD753FF1}"/>
    <cellStyle name="Normal 5 2 4 2 2 4 2" xfId="3980" xr:uid="{95AE5AC7-4C01-4FF8-8D76-F725E3060D39}"/>
    <cellStyle name="Normal 5 2 4 2 2 4 2 2" xfId="8195" xr:uid="{062F5229-B047-491F-B691-888636CCAE72}"/>
    <cellStyle name="Normal 5 2 4 2 2 4 3" xfId="6050" xr:uid="{DDD0819C-1C14-4333-975D-37FE47A4143C}"/>
    <cellStyle name="Normal 5 2 4 2 2 5" xfId="2577" xr:uid="{1A9856B6-0C74-4007-BCEE-D93EBE0A5A1E}"/>
    <cellStyle name="Normal 5 2 4 2 2 5 2" xfId="4393" xr:uid="{753B6F44-7C70-4071-8209-AAD892300352}"/>
    <cellStyle name="Normal 5 2 4 2 2 5 2 2" xfId="8608" xr:uid="{FCC05A3F-4C39-4913-B125-8B52BE952D2C}"/>
    <cellStyle name="Normal 5 2 4 2 2 5 3" xfId="6463" xr:uid="{51EB27F5-ED76-4BDB-BDFF-A280CDBBEFC7}"/>
    <cellStyle name="Normal 5 2 4 2 2 6" xfId="3013" xr:uid="{9F344502-83CB-4B6F-A161-0CE67E559DBD}"/>
    <cellStyle name="Normal 5 2 4 2 2 6 2" xfId="6876" xr:uid="{34DAF21F-FD04-43DE-9C1D-D2E03C8B2307}"/>
    <cellStyle name="Normal 5 2 4 2 2 7" xfId="4811" xr:uid="{2140D995-BE4A-49BC-BC71-B373791C348C}"/>
    <cellStyle name="Normal 5 2 4 2 3" xfId="915" xr:uid="{00000000-0005-0000-0000-000008030000}"/>
    <cellStyle name="Normal 5 2 4 2 3 2" xfId="1748" xr:uid="{AFC7D334-FE9D-4118-897F-7CD9A3BD82B0}"/>
    <cellStyle name="Normal 5 2 4 2 3 2 2" xfId="7368" xr:uid="{B70EEA5F-385D-458B-B3BD-F3486E25441D}"/>
    <cellStyle name="Normal 5 2 4 2 3 3" xfId="5223" xr:uid="{15CE67E3-7EDF-4777-865F-546A7B6467A6}"/>
    <cellStyle name="Normal 5 2 4 2 4" xfId="1332" xr:uid="{A25D268A-E867-4F11-A725-A12E9F0114E2}"/>
    <cellStyle name="Normal 5 2 4 2 4 2" xfId="3566" xr:uid="{7E379B8F-1E40-4D78-8F7E-03208DCB2501}"/>
    <cellStyle name="Normal 5 2 4 2 4 2 2" xfId="7781" xr:uid="{8A63ACB8-990D-4751-B866-E3402971D0B3}"/>
    <cellStyle name="Normal 5 2 4 2 4 3" xfId="5636" xr:uid="{7A0699D7-9076-47F5-9EFB-50A0C88362D4}"/>
    <cellStyle name="Normal 5 2 4 2 5" xfId="2163" xr:uid="{E0A10E11-02A9-4021-B4F0-ED76BE3A3285}"/>
    <cellStyle name="Normal 5 2 4 2 5 2" xfId="3979" xr:uid="{AA50E8E9-7A06-42AD-9920-BFB059C8F2AD}"/>
    <cellStyle name="Normal 5 2 4 2 5 2 2" xfId="8194" xr:uid="{D89A568E-F3FA-4872-89D0-205354D8BCBF}"/>
    <cellStyle name="Normal 5 2 4 2 5 3" xfId="6049" xr:uid="{025F1E56-EE41-49BF-BFC5-22630FB3EDCF}"/>
    <cellStyle name="Normal 5 2 4 2 6" xfId="2576" xr:uid="{17085491-48A0-4B1F-B7B5-9065E5A14984}"/>
    <cellStyle name="Normal 5 2 4 2 6 2" xfId="4392" xr:uid="{C0DB26DF-F49B-4E78-BF8E-5944546F2558}"/>
    <cellStyle name="Normal 5 2 4 2 6 2 2" xfId="8607" xr:uid="{8862A7B1-B1DD-45F0-86FE-6D989B56B778}"/>
    <cellStyle name="Normal 5 2 4 2 6 3" xfId="6462" xr:uid="{8B14008F-9345-4630-8786-8B47DEA3A7F2}"/>
    <cellStyle name="Normal 5 2 4 2 7" xfId="3012" xr:uid="{5D9B44E2-0474-4C26-8DEF-F6DC3797F369}"/>
    <cellStyle name="Normal 5 2 4 2 7 2" xfId="6875" xr:uid="{02879F96-9B89-4E05-B098-984255CD447B}"/>
    <cellStyle name="Normal 5 2 4 2 8" xfId="4810" xr:uid="{E6A68393-10E0-4AE6-9B60-763BE016600E}"/>
    <cellStyle name="Normal 5 2 4 3" xfId="438" xr:uid="{00000000-0005-0000-0000-000009030000}"/>
    <cellStyle name="Normal 5 2 4 3 2" xfId="917" xr:uid="{00000000-0005-0000-0000-00000A030000}"/>
    <cellStyle name="Normal 5 2 4 3 2 2" xfId="1750" xr:uid="{A38D5C87-A77C-4D1F-92E3-D3180CF8D945}"/>
    <cellStyle name="Normal 5 2 4 3 2 2 2" xfId="7370" xr:uid="{44004BD4-7C8A-495E-A726-318FFF98CF69}"/>
    <cellStyle name="Normal 5 2 4 3 2 3" xfId="5225" xr:uid="{2ECECF8D-A075-49CB-BB60-D2F12A267BE1}"/>
    <cellStyle name="Normal 5 2 4 3 3" xfId="1334" xr:uid="{1BFC42B3-F352-4B4B-93AE-D8269E641531}"/>
    <cellStyle name="Normal 5 2 4 3 3 2" xfId="3568" xr:uid="{A864EB1A-1FB1-4AFD-825B-1351FCF16E35}"/>
    <cellStyle name="Normal 5 2 4 3 3 2 2" xfId="7783" xr:uid="{9EF421F3-11A7-498A-A0E5-97353BFE42FA}"/>
    <cellStyle name="Normal 5 2 4 3 3 3" xfId="5638" xr:uid="{7857251C-CB2E-48BE-81D5-A8C1C12D0492}"/>
    <cellStyle name="Normal 5 2 4 3 4" xfId="2165" xr:uid="{5081415D-4BC3-4132-8B2C-355AB2A853E0}"/>
    <cellStyle name="Normal 5 2 4 3 4 2" xfId="3981" xr:uid="{0B228073-4342-40E2-964B-818D7C9CE212}"/>
    <cellStyle name="Normal 5 2 4 3 4 2 2" xfId="8196" xr:uid="{872F33C7-8097-4B07-B853-F14F6CA9E5A0}"/>
    <cellStyle name="Normal 5 2 4 3 4 3" xfId="6051" xr:uid="{269CA365-5645-47F2-A23B-5BC742801DE4}"/>
    <cellStyle name="Normal 5 2 4 3 5" xfId="2578" xr:uid="{491E5EA6-1600-4D17-87DE-905D25113CCE}"/>
    <cellStyle name="Normal 5 2 4 3 5 2" xfId="4394" xr:uid="{AD693BC5-18AE-4C76-BD21-838720479635}"/>
    <cellStyle name="Normal 5 2 4 3 5 2 2" xfId="8609" xr:uid="{B264FD49-D0CD-4762-9E69-0005677E2B5D}"/>
    <cellStyle name="Normal 5 2 4 3 5 3" xfId="6464" xr:uid="{03629BC7-AA3E-4CD8-9060-C3B363E4D165}"/>
    <cellStyle name="Normal 5 2 4 3 6" xfId="3014" xr:uid="{2383ABA0-DBC7-478C-B2CD-E2D4118961B3}"/>
    <cellStyle name="Normal 5 2 4 3 6 2" xfId="6877" xr:uid="{6C7AA251-6158-42CC-9305-B160E7072EAE}"/>
    <cellStyle name="Normal 5 2 4 3 7" xfId="4812" xr:uid="{22AE0424-0654-4A49-8641-0072C497FE2F}"/>
    <cellStyle name="Normal 5 2 4 4" xfId="914" xr:uid="{00000000-0005-0000-0000-00000B030000}"/>
    <cellStyle name="Normal 5 2 4 4 2" xfId="1747" xr:uid="{4CCA7ED9-71ED-465E-A139-BE89F78FF0AB}"/>
    <cellStyle name="Normal 5 2 4 4 2 2" xfId="7367" xr:uid="{623ADA05-BFA9-4DF5-8449-5A8B1D79210B}"/>
    <cellStyle name="Normal 5 2 4 4 3" xfId="5222" xr:uid="{009165F2-AF66-4139-83A0-E2D3F7AA6E78}"/>
    <cellStyle name="Normal 5 2 4 5" xfId="1331" xr:uid="{76C72D4B-AA3A-4A57-A736-36AF04A62A87}"/>
    <cellStyle name="Normal 5 2 4 5 2" xfId="3565" xr:uid="{0CC1E01F-5A3E-4E7F-B338-D30A35D04256}"/>
    <cellStyle name="Normal 5 2 4 5 2 2" xfId="7780" xr:uid="{13C26EC5-0E8B-4128-BAB6-D17CA5F1DA39}"/>
    <cellStyle name="Normal 5 2 4 5 3" xfId="5635" xr:uid="{68FA737C-69EC-4BF1-BB75-9A700B1EAD43}"/>
    <cellStyle name="Normal 5 2 4 6" xfId="2162" xr:uid="{0570E44D-08A4-40D3-9DAC-70D6A241490E}"/>
    <cellStyle name="Normal 5 2 4 6 2" xfId="3978" xr:uid="{60CE7BD6-5CAD-4860-AE91-5AC27849CA19}"/>
    <cellStyle name="Normal 5 2 4 6 2 2" xfId="8193" xr:uid="{88E8675D-528B-4594-AC95-BBAA98AF093C}"/>
    <cellStyle name="Normal 5 2 4 6 3" xfId="6048" xr:uid="{6320743C-5EB4-451C-A388-57AE40E79CAB}"/>
    <cellStyle name="Normal 5 2 4 7" xfId="2575" xr:uid="{18BE1ACC-9F1E-4B09-91C5-4CC3E7B8C5E2}"/>
    <cellStyle name="Normal 5 2 4 7 2" xfId="4391" xr:uid="{8231B113-C774-463A-835E-59C8E295A9DC}"/>
    <cellStyle name="Normal 5 2 4 7 2 2" xfId="8606" xr:uid="{7C33309E-DF65-4173-BF1D-E207F75C99EC}"/>
    <cellStyle name="Normal 5 2 4 7 3" xfId="6461" xr:uid="{55F53C73-3FD0-4BC8-8171-657C945E7567}"/>
    <cellStyle name="Normal 5 2 4 8" xfId="3011" xr:uid="{494AF4ED-FE50-45C2-8C0C-9F8E6A7C1392}"/>
    <cellStyle name="Normal 5 2 4 8 2" xfId="6874" xr:uid="{2A376857-8D20-4110-83DD-5CE75DFE3E02}"/>
    <cellStyle name="Normal 5 2 4 9" xfId="4809" xr:uid="{802EC699-AF2E-4406-93DA-D7915F184142}"/>
    <cellStyle name="Normal 5 2 5" xfId="439" xr:uid="{00000000-0005-0000-0000-00000C030000}"/>
    <cellStyle name="Normal 5 2 5 2" xfId="440" xr:uid="{00000000-0005-0000-0000-00000D030000}"/>
    <cellStyle name="Normal 5 2 5 2 2" xfId="919" xr:uid="{00000000-0005-0000-0000-00000E030000}"/>
    <cellStyle name="Normal 5 2 5 2 2 2" xfId="1752" xr:uid="{DD07DD23-F973-4BA1-A745-F2249F6BCC0A}"/>
    <cellStyle name="Normal 5 2 5 2 2 2 2" xfId="7372" xr:uid="{133A9DE8-9C15-4364-B659-5743CB18E2EF}"/>
    <cellStyle name="Normal 5 2 5 2 2 3" xfId="5227" xr:uid="{17902654-87E6-4FCD-B058-819A32D50219}"/>
    <cellStyle name="Normal 5 2 5 2 3" xfId="1336" xr:uid="{F566E6CE-3CEB-4F09-9DC3-EBF2F2F33FE5}"/>
    <cellStyle name="Normal 5 2 5 2 3 2" xfId="3570" xr:uid="{0D3BFF86-F848-4656-901D-7192130B3F50}"/>
    <cellStyle name="Normal 5 2 5 2 3 2 2" xfId="7785" xr:uid="{0DFDCF25-4D23-49D4-9DF5-A93C470D4EFC}"/>
    <cellStyle name="Normal 5 2 5 2 3 3" xfId="5640" xr:uid="{3F9C78CD-909F-445F-9CAD-D002F8AF0C21}"/>
    <cellStyle name="Normal 5 2 5 2 4" xfId="2167" xr:uid="{92468DC8-5207-4F5C-8455-273DAF378B32}"/>
    <cellStyle name="Normal 5 2 5 2 4 2" xfId="3983" xr:uid="{6F33696A-1599-4598-8E94-FCFE354E9D50}"/>
    <cellStyle name="Normal 5 2 5 2 4 2 2" xfId="8198" xr:uid="{F967F78C-D22C-4241-82BD-34BC339FE3CB}"/>
    <cellStyle name="Normal 5 2 5 2 4 3" xfId="6053" xr:uid="{E4091752-82AF-473D-B7FC-568BFD9CDF74}"/>
    <cellStyle name="Normal 5 2 5 2 5" xfId="2580" xr:uid="{E1C5FD6D-0CD6-40BB-8F92-CFBB508B7793}"/>
    <cellStyle name="Normal 5 2 5 2 5 2" xfId="4396" xr:uid="{937C962E-BC71-4663-BB1B-B1C100B37B23}"/>
    <cellStyle name="Normal 5 2 5 2 5 2 2" xfId="8611" xr:uid="{9571EF08-BAD4-4630-A89F-F356E20ED00E}"/>
    <cellStyle name="Normal 5 2 5 2 5 3" xfId="6466" xr:uid="{BF72904D-49A7-41C7-B8FC-6F0D3A06ACAD}"/>
    <cellStyle name="Normal 5 2 5 2 6" xfId="3016" xr:uid="{1B484087-C64D-44F9-B2D8-CBB59B949956}"/>
    <cellStyle name="Normal 5 2 5 2 6 2" xfId="6879" xr:uid="{F185B297-169C-4E69-880F-6C70F638F4E5}"/>
    <cellStyle name="Normal 5 2 5 2 7" xfId="4814" xr:uid="{EECF7499-A79A-4C46-8763-2E3467C8D004}"/>
    <cellStyle name="Normal 5 2 5 3" xfId="918" xr:uid="{00000000-0005-0000-0000-00000F030000}"/>
    <cellStyle name="Normal 5 2 5 3 2" xfId="1751" xr:uid="{4DAFD991-4C1E-49E7-B672-188536656156}"/>
    <cellStyle name="Normal 5 2 5 3 2 2" xfId="7371" xr:uid="{0C19B439-24D5-4105-97C3-1BC1F97FF4AA}"/>
    <cellStyle name="Normal 5 2 5 3 3" xfId="5226" xr:uid="{E2F91BEC-190E-4B73-9ACA-C8A6AC054072}"/>
    <cellStyle name="Normal 5 2 5 4" xfId="1335" xr:uid="{DB2DBFBC-EB31-4ED9-88D3-4C976A37AE2A}"/>
    <cellStyle name="Normal 5 2 5 4 2" xfId="3569" xr:uid="{47506C00-6EC9-4EC5-9CEB-61A11F752ADE}"/>
    <cellStyle name="Normal 5 2 5 4 2 2" xfId="7784" xr:uid="{221DD0BD-FC9A-4B16-B331-90F7BC411B23}"/>
    <cellStyle name="Normal 5 2 5 4 3" xfId="5639" xr:uid="{DE57E914-6515-4F66-BB5F-21FF3675EC2D}"/>
    <cellStyle name="Normal 5 2 5 5" xfId="2166" xr:uid="{2FBFDB4D-A167-4935-9036-CAC1D0AACF0F}"/>
    <cellStyle name="Normal 5 2 5 5 2" xfId="3982" xr:uid="{816247D5-FD71-4625-8D7F-36EA1D8A7DED}"/>
    <cellStyle name="Normal 5 2 5 5 2 2" xfId="8197" xr:uid="{75BA6C3B-754D-4AC5-829F-1BBFD8289640}"/>
    <cellStyle name="Normal 5 2 5 5 3" xfId="6052" xr:uid="{5D1ED1AA-78D3-463A-8A7E-7F24F2F1932E}"/>
    <cellStyle name="Normal 5 2 5 6" xfId="2579" xr:uid="{DC7E17EB-DEE0-4AF2-B53D-6849721B06E1}"/>
    <cellStyle name="Normal 5 2 5 6 2" xfId="4395" xr:uid="{B4C040E1-EF2E-45B4-9C8B-8838DF1A957E}"/>
    <cellStyle name="Normal 5 2 5 6 2 2" xfId="8610" xr:uid="{2CA94D04-D15E-4C59-AC02-1230E6CAC7D1}"/>
    <cellStyle name="Normal 5 2 5 6 3" xfId="6465" xr:uid="{E3085DED-9418-4FDC-BA8C-DE075A50CDD8}"/>
    <cellStyle name="Normal 5 2 5 7" xfId="3015" xr:uid="{3FB2C3A1-045E-4E0C-852D-5ED0C6C2B428}"/>
    <cellStyle name="Normal 5 2 5 7 2" xfId="6878" xr:uid="{4C7C8914-15C1-4A94-A819-FFFC87336ABA}"/>
    <cellStyle name="Normal 5 2 5 8" xfId="4813" xr:uid="{731BF9A0-AC6A-46D6-8EBD-6255871B64A6}"/>
    <cellStyle name="Normal 5 2 6" xfId="441" xr:uid="{00000000-0005-0000-0000-000010030000}"/>
    <cellStyle name="Normal 5 2 6 2" xfId="920" xr:uid="{00000000-0005-0000-0000-000011030000}"/>
    <cellStyle name="Normal 5 2 6 2 2" xfId="1753" xr:uid="{D1EDAA6F-270A-4C07-9917-874EA2249C79}"/>
    <cellStyle name="Normal 5 2 6 2 2 2" xfId="7373" xr:uid="{8A676C84-0B54-4A28-B20E-6D58441A7ADD}"/>
    <cellStyle name="Normal 5 2 6 2 3" xfId="5228" xr:uid="{A7C5116E-2970-44B2-9745-D2CF261B1FD1}"/>
    <cellStyle name="Normal 5 2 6 3" xfId="1337" xr:uid="{69EAE5C4-2F5D-4FAA-9089-37B0F3B6C568}"/>
    <cellStyle name="Normal 5 2 6 3 2" xfId="3571" xr:uid="{C874D53D-F470-46A9-9A81-D64949E8474F}"/>
    <cellStyle name="Normal 5 2 6 3 2 2" xfId="7786" xr:uid="{4ADB9B73-10CE-4D08-BEF8-31DA337EA529}"/>
    <cellStyle name="Normal 5 2 6 3 3" xfId="5641" xr:uid="{820FC3DE-C13C-4DEF-B20E-ADA96D3D3C7A}"/>
    <cellStyle name="Normal 5 2 6 4" xfId="2168" xr:uid="{97DC2E9A-9C4F-4929-BD06-C1CB60E415AD}"/>
    <cellStyle name="Normal 5 2 6 4 2" xfId="3984" xr:uid="{BF763991-CD67-41AE-9DF6-C2535AAFA4BF}"/>
    <cellStyle name="Normal 5 2 6 4 2 2" xfId="8199" xr:uid="{AB77B84C-FD00-4782-B270-1A6F5850E56C}"/>
    <cellStyle name="Normal 5 2 6 4 3" xfId="6054" xr:uid="{0278C1DA-33A5-4F34-AE0B-AF39F6927823}"/>
    <cellStyle name="Normal 5 2 6 5" xfId="2581" xr:uid="{53759B73-30DF-414E-864D-2ADBB3F32B70}"/>
    <cellStyle name="Normal 5 2 6 5 2" xfId="4397" xr:uid="{E59D97CF-38BA-4E37-A7FC-2C44B7E8F99E}"/>
    <cellStyle name="Normal 5 2 6 5 2 2" xfId="8612" xr:uid="{C56CB9C8-CD4A-44CB-962D-3E1F01F79115}"/>
    <cellStyle name="Normal 5 2 6 5 3" xfId="6467" xr:uid="{7C0E4DDC-5A93-4404-858B-CDA3AF28DB22}"/>
    <cellStyle name="Normal 5 2 6 6" xfId="3017" xr:uid="{34CEF909-D58F-433A-A35D-12F4366E6685}"/>
    <cellStyle name="Normal 5 2 6 6 2" xfId="6880" xr:uid="{0058E024-FB5E-4E13-A57B-CAC3E1348549}"/>
    <cellStyle name="Normal 5 2 6 7" xfId="4815" xr:uid="{1543B112-D78C-48D9-83A6-0C034F0576E8}"/>
    <cellStyle name="Normal 5 2 7" xfId="889" xr:uid="{00000000-0005-0000-0000-000012030000}"/>
    <cellStyle name="Normal 5 2 7 2" xfId="1722" xr:uid="{5FCD104E-4140-4050-B332-19213835193B}"/>
    <cellStyle name="Normal 5 2 7 2 2" xfId="7342" xr:uid="{1E88B5A0-F1B2-4E0D-9348-7F743648D65C}"/>
    <cellStyle name="Normal 5 2 7 3" xfId="5197" xr:uid="{566C8EFF-8CC3-44F7-8EDF-75677EF2B66D}"/>
    <cellStyle name="Normal 5 2 8" xfId="1306" xr:uid="{861B7E67-FE66-4A68-85CC-B98A99449A70}"/>
    <cellStyle name="Normal 5 2 8 2" xfId="3540" xr:uid="{586C4B87-A7FF-4434-9419-793803E6502E}"/>
    <cellStyle name="Normal 5 2 8 2 2" xfId="7755" xr:uid="{33D37F44-8EBC-40A1-B8E5-62862A17B20C}"/>
    <cellStyle name="Normal 5 2 8 3" xfId="5610" xr:uid="{3C78FD24-4A01-4F5F-BE66-E2B8AAEB7F53}"/>
    <cellStyle name="Normal 5 2 9" xfId="2137" xr:uid="{8B1862EB-D6FE-48E6-B79B-2FD027A52911}"/>
    <cellStyle name="Normal 5 2 9 2" xfId="3953" xr:uid="{15F98401-E72D-4367-B17D-D143DF732705}"/>
    <cellStyle name="Normal 5 2 9 2 2" xfId="8168" xr:uid="{2721EE07-FEF7-4A4E-828B-E1B46267CF1A}"/>
    <cellStyle name="Normal 5 2 9 3" xfId="6023" xr:uid="{E8F7082E-44C0-4201-88E3-731955AF54B1}"/>
    <cellStyle name="Normal 5 3" xfId="442" xr:uid="{00000000-0005-0000-0000-000013030000}"/>
    <cellStyle name="Normal 5 3 10" xfId="2582" xr:uid="{2E6CDC86-77F0-4F89-B8FF-C6E056D9434B}"/>
    <cellStyle name="Normal 5 3 10 2" xfId="4398" xr:uid="{9F7E5494-6795-47A9-A0AC-E475BFDDE0D8}"/>
    <cellStyle name="Normal 5 3 10 2 2" xfId="8613" xr:uid="{2C370AA9-D274-4421-B13A-DBAFD758D1C7}"/>
    <cellStyle name="Normal 5 3 10 3" xfId="6468" xr:uid="{8785B0E0-BC2D-4120-931A-69B3540CE7B1}"/>
    <cellStyle name="Normal 5 3 11" xfId="3018" xr:uid="{C6809CCC-F5F7-477E-AECB-1369CD6CCC69}"/>
    <cellStyle name="Normal 5 3 11 2" xfId="6881" xr:uid="{A81F8FF5-9EAA-498B-9786-77461025AC99}"/>
    <cellStyle name="Normal 5 3 12" xfId="4816" xr:uid="{CE73EC51-7447-49F7-BD79-3856E1AC6FBE}"/>
    <cellStyle name="Normal 5 3 2" xfId="443" xr:uid="{00000000-0005-0000-0000-000014030000}"/>
    <cellStyle name="Normal 5 3 2 2" xfId="922" xr:uid="{00000000-0005-0000-0000-000015030000}"/>
    <cellStyle name="Normal 5 3 3" xfId="444" xr:uid="{00000000-0005-0000-0000-000016030000}"/>
    <cellStyle name="Normal 5 3 3 10" xfId="4817" xr:uid="{99A2B3CA-80C5-45A1-9981-1FA6E442C0A1}"/>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8" xr:uid="{275E583D-F974-415B-A094-0B97356E0B8D}"/>
    <cellStyle name="Normal 5 3 3 2 2 2 2 2 2" xfId="7378" xr:uid="{E403CEC6-C53C-4FA5-95FE-DA21B86530DE}"/>
    <cellStyle name="Normal 5 3 3 2 2 2 2 3" xfId="5233" xr:uid="{2A22C2DA-B8A3-4D35-A631-8C99A6162114}"/>
    <cellStyle name="Normal 5 3 3 2 2 2 3" xfId="1342" xr:uid="{5CCBD17C-D944-4811-8894-18C0A5068B17}"/>
    <cellStyle name="Normal 5 3 3 2 2 2 3 2" xfId="3576" xr:uid="{B6623186-6222-4E59-B285-8B7565DEA4AA}"/>
    <cellStyle name="Normal 5 3 3 2 2 2 3 2 2" xfId="7791" xr:uid="{10C03AB7-FA24-4DB3-9D68-0BC75EF847E0}"/>
    <cellStyle name="Normal 5 3 3 2 2 2 3 3" xfId="5646" xr:uid="{CC0E453E-D9D7-4F85-B099-9252AAA7B0CF}"/>
    <cellStyle name="Normal 5 3 3 2 2 2 4" xfId="2173" xr:uid="{D3CCBD10-4E95-4B0F-8E4C-C04FE8202584}"/>
    <cellStyle name="Normal 5 3 3 2 2 2 4 2" xfId="3989" xr:uid="{87CADD6E-3BA5-4981-98C7-01EB61A16298}"/>
    <cellStyle name="Normal 5 3 3 2 2 2 4 2 2" xfId="8204" xr:uid="{5D819747-5C7B-48F2-AEDB-43D4E3C9A6DA}"/>
    <cellStyle name="Normal 5 3 3 2 2 2 4 3" xfId="6059" xr:uid="{0820ED16-4CDE-4DC9-94C3-40459A7F527E}"/>
    <cellStyle name="Normal 5 3 3 2 2 2 5" xfId="2586" xr:uid="{6EDB091D-9AE3-4BE7-8022-BEEBC8B70C09}"/>
    <cellStyle name="Normal 5 3 3 2 2 2 5 2" xfId="4402" xr:uid="{79E8EF08-93E8-4EC6-BFE0-AC470E712D27}"/>
    <cellStyle name="Normal 5 3 3 2 2 2 5 2 2" xfId="8617" xr:uid="{3BD3F0B3-1939-4137-90F4-09BAFEE51592}"/>
    <cellStyle name="Normal 5 3 3 2 2 2 5 3" xfId="6472" xr:uid="{90D1E4DC-3B4B-442A-9A2E-AC375913B98F}"/>
    <cellStyle name="Normal 5 3 3 2 2 2 6" xfId="3022" xr:uid="{472ED005-519D-4C92-B92B-E68E1E094B2D}"/>
    <cellStyle name="Normal 5 3 3 2 2 2 6 2" xfId="6885" xr:uid="{08404355-9443-4305-85A6-D42D6AAF69D3}"/>
    <cellStyle name="Normal 5 3 3 2 2 2 7" xfId="4820" xr:uid="{A9094B05-F620-42BC-A99B-F943CFE62F96}"/>
    <cellStyle name="Normal 5 3 3 2 2 3" xfId="925" xr:uid="{00000000-0005-0000-0000-00001B030000}"/>
    <cellStyle name="Normal 5 3 3 2 2 3 2" xfId="1757" xr:uid="{7D5E0258-07A1-4C71-A432-214F1D7866FA}"/>
    <cellStyle name="Normal 5 3 3 2 2 3 2 2" xfId="7377" xr:uid="{BF674DE1-C5C3-4801-9BC1-5F13C15B3029}"/>
    <cellStyle name="Normal 5 3 3 2 2 3 3" xfId="5232" xr:uid="{6FF73719-29AF-48E1-9242-B639AB21BE1F}"/>
    <cellStyle name="Normal 5 3 3 2 2 4" xfId="1341" xr:uid="{E6EAA34F-FEDF-4803-A41F-932E76129E93}"/>
    <cellStyle name="Normal 5 3 3 2 2 4 2" xfId="3575" xr:uid="{48F1DEEA-D171-49C4-AE22-D9CF8B2EED70}"/>
    <cellStyle name="Normal 5 3 3 2 2 4 2 2" xfId="7790" xr:uid="{02991638-B210-4B9C-AB10-2186F4E4FAAE}"/>
    <cellStyle name="Normal 5 3 3 2 2 4 3" xfId="5645" xr:uid="{2F2A090F-1215-4D0F-B909-0C7E79F302C1}"/>
    <cellStyle name="Normal 5 3 3 2 2 5" xfId="2172" xr:uid="{E192E019-E212-410A-BDC8-F1B2135D8076}"/>
    <cellStyle name="Normal 5 3 3 2 2 5 2" xfId="3988" xr:uid="{33054AED-6965-4EBC-8FDB-5250753051CE}"/>
    <cellStyle name="Normal 5 3 3 2 2 5 2 2" xfId="8203" xr:uid="{A7E80F00-3AA3-45A3-B9F9-C4F6B3C27421}"/>
    <cellStyle name="Normal 5 3 3 2 2 5 3" xfId="6058" xr:uid="{AE2537A6-7792-466C-9001-F98756ECAB5C}"/>
    <cellStyle name="Normal 5 3 3 2 2 6" xfId="2585" xr:uid="{942411DD-1B7C-4496-993D-A383A449F32D}"/>
    <cellStyle name="Normal 5 3 3 2 2 6 2" xfId="4401" xr:uid="{4EB6F374-03BC-4128-AE9F-9477EB184B42}"/>
    <cellStyle name="Normal 5 3 3 2 2 6 2 2" xfId="8616" xr:uid="{B43882D8-8C2A-4387-9BF7-EDBCA0047A3F}"/>
    <cellStyle name="Normal 5 3 3 2 2 6 3" xfId="6471" xr:uid="{FDAEB75B-C189-4FFA-9E9F-C73C516D09C1}"/>
    <cellStyle name="Normal 5 3 3 2 2 7" xfId="3021" xr:uid="{4B955DA1-908D-4C1A-BCCA-0979022E35CA}"/>
    <cellStyle name="Normal 5 3 3 2 2 7 2" xfId="6884" xr:uid="{E5387074-F981-4D8F-9FFB-42760D7994B2}"/>
    <cellStyle name="Normal 5 3 3 2 2 8" xfId="4819" xr:uid="{AF05AC75-A4CA-4601-82B5-E714635E5016}"/>
    <cellStyle name="Normal 5 3 3 2 3" xfId="448" xr:uid="{00000000-0005-0000-0000-00001C030000}"/>
    <cellStyle name="Normal 5 3 3 2 3 2" xfId="927" xr:uid="{00000000-0005-0000-0000-00001D030000}"/>
    <cellStyle name="Normal 5 3 3 2 3 2 2" xfId="1759" xr:uid="{CD6C566B-BE4E-460F-8FAE-8538883AB83A}"/>
    <cellStyle name="Normal 5 3 3 2 3 2 2 2" xfId="7379" xr:uid="{94E09C4C-19B1-4F7F-BE82-708AB23AB38C}"/>
    <cellStyle name="Normal 5 3 3 2 3 2 3" xfId="5234" xr:uid="{E7D360A0-350E-4707-9816-7DA9C7DCF660}"/>
    <cellStyle name="Normal 5 3 3 2 3 3" xfId="1343" xr:uid="{DFF15D42-D001-4819-AD89-0D74DD99BABA}"/>
    <cellStyle name="Normal 5 3 3 2 3 3 2" xfId="3577" xr:uid="{E4680804-A051-488E-AC3A-9E138A6EA77B}"/>
    <cellStyle name="Normal 5 3 3 2 3 3 2 2" xfId="7792" xr:uid="{4E476E41-A62F-4F13-B02A-38EDBCA56EE8}"/>
    <cellStyle name="Normal 5 3 3 2 3 3 3" xfId="5647" xr:uid="{9ABB0794-AA23-447C-AA1E-43D1C8535E42}"/>
    <cellStyle name="Normal 5 3 3 2 3 4" xfId="2174" xr:uid="{76DA5DDA-26C1-4771-B5A9-C7ABFAA2CA1C}"/>
    <cellStyle name="Normal 5 3 3 2 3 4 2" xfId="3990" xr:uid="{010E7A88-2FBC-4C48-BE99-332EC3F959B2}"/>
    <cellStyle name="Normal 5 3 3 2 3 4 2 2" xfId="8205" xr:uid="{96A24AC3-1215-44B5-B07F-4AE84BC9B3B3}"/>
    <cellStyle name="Normal 5 3 3 2 3 4 3" xfId="6060" xr:uid="{CBF6CA28-9667-48D1-8103-C79201D06741}"/>
    <cellStyle name="Normal 5 3 3 2 3 5" xfId="2587" xr:uid="{E2115B6B-66A4-4B54-9D95-8D92C8693201}"/>
    <cellStyle name="Normal 5 3 3 2 3 5 2" xfId="4403" xr:uid="{56BB1AC6-BEB1-4E74-BFE3-BE1C2B170172}"/>
    <cellStyle name="Normal 5 3 3 2 3 5 2 2" xfId="8618" xr:uid="{4915825E-3F7C-4FC9-BC5E-6B9581A668AD}"/>
    <cellStyle name="Normal 5 3 3 2 3 5 3" xfId="6473" xr:uid="{76187755-0C95-486B-9602-F38122513A63}"/>
    <cellStyle name="Normal 5 3 3 2 3 6" xfId="3023" xr:uid="{0DEAF004-F64A-48C9-B63A-8929B128F630}"/>
    <cellStyle name="Normal 5 3 3 2 3 6 2" xfId="6886" xr:uid="{D4787C35-DB80-42D1-81ED-12E25116775E}"/>
    <cellStyle name="Normal 5 3 3 2 3 7" xfId="4821" xr:uid="{6AF6AB67-197D-452E-8F1A-745CCFDCCCE2}"/>
    <cellStyle name="Normal 5 3 3 2 4" xfId="924" xr:uid="{00000000-0005-0000-0000-00001E030000}"/>
    <cellStyle name="Normal 5 3 3 2 4 2" xfId="1756" xr:uid="{B967A29C-2E5E-4EC3-A388-15387763D788}"/>
    <cellStyle name="Normal 5 3 3 2 4 2 2" xfId="7376" xr:uid="{78B89C33-B216-42B5-A0D6-2EFE1CC2E24B}"/>
    <cellStyle name="Normal 5 3 3 2 4 3" xfId="5231" xr:uid="{5BFFF14B-D60C-4858-A30B-A0F571456AB7}"/>
    <cellStyle name="Normal 5 3 3 2 5" xfId="1340" xr:uid="{FCFB10FA-962B-4363-ACFB-D3601F5ED13B}"/>
    <cellStyle name="Normal 5 3 3 2 5 2" xfId="3574" xr:uid="{03EF3FD6-740B-49A0-AE08-C3EAD28128F8}"/>
    <cellStyle name="Normal 5 3 3 2 5 2 2" xfId="7789" xr:uid="{4F2EFF9C-00B1-4EF8-8805-4DCBD3FEA302}"/>
    <cellStyle name="Normal 5 3 3 2 5 3" xfId="5644" xr:uid="{CC16DA8C-7E3F-4554-A872-0B84B8B9C12F}"/>
    <cellStyle name="Normal 5 3 3 2 6" xfId="2171" xr:uid="{FEBB51E3-E634-4454-B78F-E2FF36ED2CBC}"/>
    <cellStyle name="Normal 5 3 3 2 6 2" xfId="3987" xr:uid="{B75EAA37-3E8B-4EDE-B8B1-C519BC008CF0}"/>
    <cellStyle name="Normal 5 3 3 2 6 2 2" xfId="8202" xr:uid="{AA847DAC-EAF0-4497-A079-658D5276C209}"/>
    <cellStyle name="Normal 5 3 3 2 6 3" xfId="6057" xr:uid="{5A977C5C-F91E-47BF-94E9-DBAD96A7C1F2}"/>
    <cellStyle name="Normal 5 3 3 2 7" xfId="2584" xr:uid="{501C1343-33F6-4D23-99AB-57EE7F3EC29C}"/>
    <cellStyle name="Normal 5 3 3 2 7 2" xfId="4400" xr:uid="{AE8FCEA5-A0C0-4734-9F0D-F8EE46527284}"/>
    <cellStyle name="Normal 5 3 3 2 7 2 2" xfId="8615" xr:uid="{E6807674-117E-422C-B880-B2EE01436F79}"/>
    <cellStyle name="Normal 5 3 3 2 7 3" xfId="6470" xr:uid="{3A02BD06-A323-43D9-84AD-5FFC5F01A45E}"/>
    <cellStyle name="Normal 5 3 3 2 8" xfId="3020" xr:uid="{97014385-C074-45CC-8AB9-9DD305A25706}"/>
    <cellStyle name="Normal 5 3 3 2 8 2" xfId="6883" xr:uid="{08F490D0-6779-4532-8B2E-2F1FF4B38880}"/>
    <cellStyle name="Normal 5 3 3 2 9" xfId="4818" xr:uid="{A7A175BA-632D-4477-B701-8D579077799B}"/>
    <cellStyle name="Normal 5 3 3 3" xfId="449" xr:uid="{00000000-0005-0000-0000-00001F030000}"/>
    <cellStyle name="Normal 5 3 3 3 2" xfId="450" xr:uid="{00000000-0005-0000-0000-000020030000}"/>
    <cellStyle name="Normal 5 3 3 3 2 2" xfId="929" xr:uid="{00000000-0005-0000-0000-000021030000}"/>
    <cellStyle name="Normal 5 3 3 3 2 2 2" xfId="1761" xr:uid="{82B87502-9080-4379-89EE-783225435D6C}"/>
    <cellStyle name="Normal 5 3 3 3 2 2 2 2" xfId="7381" xr:uid="{DA59EEF4-CC03-4C39-BAC6-5DF17175B825}"/>
    <cellStyle name="Normal 5 3 3 3 2 2 3" xfId="5236" xr:uid="{CEDC1992-1B3F-4E46-9D59-8B4E7FE2C298}"/>
    <cellStyle name="Normal 5 3 3 3 2 3" xfId="1345" xr:uid="{39494CB3-077E-4B3C-A51A-FE7255CDE096}"/>
    <cellStyle name="Normal 5 3 3 3 2 3 2" xfId="3579" xr:uid="{E791E4D2-D40C-475B-BE88-45F9FD9AA42C}"/>
    <cellStyle name="Normal 5 3 3 3 2 3 2 2" xfId="7794" xr:uid="{0EF5E786-DEB5-4468-B9D9-24E45DF1F877}"/>
    <cellStyle name="Normal 5 3 3 3 2 3 3" xfId="5649" xr:uid="{9DFD78A2-A05D-4FD6-BFB9-EAC3016F340D}"/>
    <cellStyle name="Normal 5 3 3 3 2 4" xfId="2176" xr:uid="{5BBFACF2-E477-4085-848B-2590D8AED72C}"/>
    <cellStyle name="Normal 5 3 3 3 2 4 2" xfId="3992" xr:uid="{C8495A24-409A-4245-9958-FFE74F946376}"/>
    <cellStyle name="Normal 5 3 3 3 2 4 2 2" xfId="8207" xr:uid="{775F56EE-A2F0-47CE-97D2-18E330A6CFE5}"/>
    <cellStyle name="Normal 5 3 3 3 2 4 3" xfId="6062" xr:uid="{0020ED8E-AAD9-4761-904A-362CA7250A9F}"/>
    <cellStyle name="Normal 5 3 3 3 2 5" xfId="2589" xr:uid="{38B9A1C9-7107-4CD5-B467-1AC9152AACCB}"/>
    <cellStyle name="Normal 5 3 3 3 2 5 2" xfId="4405" xr:uid="{CB653D59-0361-4F5D-8F2C-C089425390AF}"/>
    <cellStyle name="Normal 5 3 3 3 2 5 2 2" xfId="8620" xr:uid="{BE5E68CB-9DF8-4ED7-90D2-59D2B8626C44}"/>
    <cellStyle name="Normal 5 3 3 3 2 5 3" xfId="6475" xr:uid="{5366A63B-9DCB-4B99-8782-F2BCE8F0B5AB}"/>
    <cellStyle name="Normal 5 3 3 3 2 6" xfId="3025" xr:uid="{45656049-A291-4452-8B1B-852F6EC2BA68}"/>
    <cellStyle name="Normal 5 3 3 3 2 6 2" xfId="6888" xr:uid="{FCE1C321-3257-4AA2-AEB6-DE53A5EFB0C4}"/>
    <cellStyle name="Normal 5 3 3 3 2 7" xfId="4823" xr:uid="{4D58A7CF-F669-499A-8460-3458FBE4E23A}"/>
    <cellStyle name="Normal 5 3 3 3 3" xfId="928" xr:uid="{00000000-0005-0000-0000-000022030000}"/>
    <cellStyle name="Normal 5 3 3 3 3 2" xfId="1760" xr:uid="{35AEC671-989B-4BD7-8F34-6DD476721329}"/>
    <cellStyle name="Normal 5 3 3 3 3 2 2" xfId="7380" xr:uid="{C15B81DA-61DC-4E6B-9F94-30B154AE3D85}"/>
    <cellStyle name="Normal 5 3 3 3 3 3" xfId="5235" xr:uid="{7EFAD3AD-4940-441B-8652-4B38A752FD9D}"/>
    <cellStyle name="Normal 5 3 3 3 4" xfId="1344" xr:uid="{AD7C040C-9972-477F-B058-BC013D3F6BC0}"/>
    <cellStyle name="Normal 5 3 3 3 4 2" xfId="3578" xr:uid="{80163587-8A54-4166-AE23-A04BD5D3D4C7}"/>
    <cellStyle name="Normal 5 3 3 3 4 2 2" xfId="7793" xr:uid="{91B08C14-E1A6-4D3A-B67C-22635A2B1876}"/>
    <cellStyle name="Normal 5 3 3 3 4 3" xfId="5648" xr:uid="{4E1CCC77-6579-435A-A4CF-AA88B27B2CE4}"/>
    <cellStyle name="Normal 5 3 3 3 5" xfId="2175" xr:uid="{0729C585-B4BE-439C-A3E2-27559D731017}"/>
    <cellStyle name="Normal 5 3 3 3 5 2" xfId="3991" xr:uid="{B413F041-CE02-453C-830F-B562937BA977}"/>
    <cellStyle name="Normal 5 3 3 3 5 2 2" xfId="8206" xr:uid="{A7219A9E-A3A3-474F-AB85-EC9E4AFE1A79}"/>
    <cellStyle name="Normal 5 3 3 3 5 3" xfId="6061" xr:uid="{303540A1-5015-44BF-BF00-91A2080BB273}"/>
    <cellStyle name="Normal 5 3 3 3 6" xfId="2588" xr:uid="{D4B1517C-128C-40C4-B12B-247A874DDB1F}"/>
    <cellStyle name="Normal 5 3 3 3 6 2" xfId="4404" xr:uid="{2438CA8E-D063-4A4D-853D-CF8BF50CD11F}"/>
    <cellStyle name="Normal 5 3 3 3 6 2 2" xfId="8619" xr:uid="{239E9704-C561-46C8-83B4-4607C6DB3331}"/>
    <cellStyle name="Normal 5 3 3 3 6 3" xfId="6474" xr:uid="{02AEDFBF-A79F-46D2-918B-C084A4CB89FA}"/>
    <cellStyle name="Normal 5 3 3 3 7" xfId="3024" xr:uid="{F68D0705-FD80-4816-BE9A-9DC856132610}"/>
    <cellStyle name="Normal 5 3 3 3 7 2" xfId="6887" xr:uid="{90CE58F6-E88C-48D8-BB45-31C135794190}"/>
    <cellStyle name="Normal 5 3 3 3 8" xfId="4822" xr:uid="{6F3F022F-51E0-4839-A229-08D69828D1D3}"/>
    <cellStyle name="Normal 5 3 3 4" xfId="451" xr:uid="{00000000-0005-0000-0000-000023030000}"/>
    <cellStyle name="Normal 5 3 3 4 2" xfId="930" xr:uid="{00000000-0005-0000-0000-000024030000}"/>
    <cellStyle name="Normal 5 3 3 4 2 2" xfId="1762" xr:uid="{237949B4-5F7D-4441-B3B6-660AFA5881B6}"/>
    <cellStyle name="Normal 5 3 3 4 2 2 2" xfId="7382" xr:uid="{591036AF-E2DB-4712-AEAC-742D9D0522DB}"/>
    <cellStyle name="Normal 5 3 3 4 2 3" xfId="5237" xr:uid="{F8C4D845-4A63-4498-AE60-F1A8D26928B2}"/>
    <cellStyle name="Normal 5 3 3 4 3" xfId="1346" xr:uid="{3DE1F203-ACDC-42B1-9805-DED2BC42A0A3}"/>
    <cellStyle name="Normal 5 3 3 4 3 2" xfId="3580" xr:uid="{D4B6EB2A-26ED-4A01-9323-90AC6F1E0C7D}"/>
    <cellStyle name="Normal 5 3 3 4 3 2 2" xfId="7795" xr:uid="{B189014F-C6B7-4CA1-8CBE-248B908750F8}"/>
    <cellStyle name="Normal 5 3 3 4 3 3" xfId="5650" xr:uid="{2A8F42A9-8703-4E63-A1E2-F3B7148C8750}"/>
    <cellStyle name="Normal 5 3 3 4 4" xfId="2177" xr:uid="{EBC2F736-1E97-4B0D-9A50-8789CC19B69A}"/>
    <cellStyle name="Normal 5 3 3 4 4 2" xfId="3993" xr:uid="{47B5C532-FFEE-4F59-8DC8-C2699376A59A}"/>
    <cellStyle name="Normal 5 3 3 4 4 2 2" xfId="8208" xr:uid="{9B82D7E8-59B9-4A3F-A7A3-C08F56FECE79}"/>
    <cellStyle name="Normal 5 3 3 4 4 3" xfId="6063" xr:uid="{881C34F1-9E1F-4817-94D0-98DA8121195B}"/>
    <cellStyle name="Normal 5 3 3 4 5" xfId="2590" xr:uid="{87AE40DD-0EAF-4308-A4CC-9317BE801C18}"/>
    <cellStyle name="Normal 5 3 3 4 5 2" xfId="4406" xr:uid="{2D085F93-B5D0-4FB5-839B-92BAC52257DA}"/>
    <cellStyle name="Normal 5 3 3 4 5 2 2" xfId="8621" xr:uid="{02CE2749-9F40-4D55-A73C-6EF2B733F8AB}"/>
    <cellStyle name="Normal 5 3 3 4 5 3" xfId="6476" xr:uid="{E5ED6C70-7B85-42C3-9C3F-7DB011A1579F}"/>
    <cellStyle name="Normal 5 3 3 4 6" xfId="3026" xr:uid="{AD80D815-8D4C-427E-91FB-BCD22D5B896E}"/>
    <cellStyle name="Normal 5 3 3 4 6 2" xfId="6889" xr:uid="{2474ACA8-77AE-4B8A-A7E5-D538716940E7}"/>
    <cellStyle name="Normal 5 3 3 4 7" xfId="4824" xr:uid="{9C2CB65D-AFD7-4D22-91F9-D4DC6502B55E}"/>
    <cellStyle name="Normal 5 3 3 5" xfId="923" xr:uid="{00000000-0005-0000-0000-000025030000}"/>
    <cellStyle name="Normal 5 3 3 5 2" xfId="1755" xr:uid="{44CFF935-253E-49E0-A2FB-5363FC846408}"/>
    <cellStyle name="Normal 5 3 3 5 2 2" xfId="7375" xr:uid="{21E6D8B6-8A3D-478F-99B5-34BC3586DEE4}"/>
    <cellStyle name="Normal 5 3 3 5 3" xfId="5230" xr:uid="{B3E711F7-3795-4367-A76F-FD2562523A60}"/>
    <cellStyle name="Normal 5 3 3 6" xfId="1339" xr:uid="{6E52DA5F-05FB-4419-8181-AB9F56427F22}"/>
    <cellStyle name="Normal 5 3 3 6 2" xfId="3573" xr:uid="{D245E3B7-B77D-4E15-BCC1-55E40C7E16CC}"/>
    <cellStyle name="Normal 5 3 3 6 2 2" xfId="7788" xr:uid="{CA0CB3AD-D281-4717-8B2B-DC50590223AB}"/>
    <cellStyle name="Normal 5 3 3 6 3" xfId="5643" xr:uid="{9930F14B-EB64-4D3D-A8F4-6C7EE2D2153F}"/>
    <cellStyle name="Normal 5 3 3 7" xfId="2170" xr:uid="{BEEAC03C-9845-49CC-BA46-82F6251E702C}"/>
    <cellStyle name="Normal 5 3 3 7 2" xfId="3986" xr:uid="{94A0E93F-8E0B-49BD-AE82-C78469A18D31}"/>
    <cellStyle name="Normal 5 3 3 7 2 2" xfId="8201" xr:uid="{B9114E14-8FAD-4DAF-82D6-DAEF8171C13D}"/>
    <cellStyle name="Normal 5 3 3 7 3" xfId="6056" xr:uid="{46A6E6E1-AF30-4953-B012-5CA1E1BD3C54}"/>
    <cellStyle name="Normal 5 3 3 8" xfId="2583" xr:uid="{C95187E3-2804-433D-9246-72B01F2E6AC3}"/>
    <cellStyle name="Normal 5 3 3 8 2" xfId="4399" xr:uid="{644D9C14-5968-43E9-93A3-361E02684680}"/>
    <cellStyle name="Normal 5 3 3 8 2 2" xfId="8614" xr:uid="{DB0A0A68-945F-4CD6-A537-BDB4961212A0}"/>
    <cellStyle name="Normal 5 3 3 8 3" xfId="6469" xr:uid="{6D6C3A29-F4A7-4BFC-BB7D-5AE05C0F3361}"/>
    <cellStyle name="Normal 5 3 3 9" xfId="3019" xr:uid="{D15A4BC2-4940-4BDE-810A-1BEDE09FF53D}"/>
    <cellStyle name="Normal 5 3 3 9 2" xfId="6882" xr:uid="{83097863-2991-408B-936B-93EB874DB4ED}"/>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5" xr:uid="{C2FE3AEE-D1F9-4777-BB29-E2EBF891FB34}"/>
    <cellStyle name="Normal 5 3 4 2 2 2 2 2" xfId="7385" xr:uid="{2992BB6F-EFF1-414B-9C7E-BB693597F85A}"/>
    <cellStyle name="Normal 5 3 4 2 2 2 3" xfId="5240" xr:uid="{A64B1321-9ED8-43FF-8388-4813CA7D8056}"/>
    <cellStyle name="Normal 5 3 4 2 2 3" xfId="1349" xr:uid="{D81FF475-EDF1-49AB-8BD5-A604EF6F9032}"/>
    <cellStyle name="Normal 5 3 4 2 2 3 2" xfId="3583" xr:uid="{E897A504-2CB0-475F-A0FA-F8F54B4DE1F4}"/>
    <cellStyle name="Normal 5 3 4 2 2 3 2 2" xfId="7798" xr:uid="{8A555687-1C2D-4DA0-A4B3-BA3C5303B103}"/>
    <cellStyle name="Normal 5 3 4 2 2 3 3" xfId="5653" xr:uid="{CF48A7E1-63C1-42B1-BD74-C3FB6A9987CB}"/>
    <cellStyle name="Normal 5 3 4 2 2 4" xfId="2180" xr:uid="{3EA84CFE-2554-478B-92E2-1E58A8D06741}"/>
    <cellStyle name="Normal 5 3 4 2 2 4 2" xfId="3996" xr:uid="{20943610-F19D-422C-983E-A04946CD2225}"/>
    <cellStyle name="Normal 5 3 4 2 2 4 2 2" xfId="8211" xr:uid="{00225904-CC27-41FB-A139-3BC2340DB038}"/>
    <cellStyle name="Normal 5 3 4 2 2 4 3" xfId="6066" xr:uid="{2A75AC7D-3989-4513-ADCA-02C6B34B52F8}"/>
    <cellStyle name="Normal 5 3 4 2 2 5" xfId="2593" xr:uid="{23E9653F-5FBB-4FA4-85E9-AFC5EA831E3E}"/>
    <cellStyle name="Normal 5 3 4 2 2 5 2" xfId="4409" xr:uid="{1D1EE53B-2635-4317-A2AF-000495A99CD6}"/>
    <cellStyle name="Normal 5 3 4 2 2 5 2 2" xfId="8624" xr:uid="{646FC3D9-B396-4BFB-B63A-EE706800FDE1}"/>
    <cellStyle name="Normal 5 3 4 2 2 5 3" xfId="6479" xr:uid="{E4144F46-7C0F-4BD5-AFFA-E48006D10A85}"/>
    <cellStyle name="Normal 5 3 4 2 2 6" xfId="3029" xr:uid="{86F16682-A2EC-4DCE-B46D-0FEC2CE4C59B}"/>
    <cellStyle name="Normal 5 3 4 2 2 6 2" xfId="6892" xr:uid="{0921684D-9A54-4E8E-8628-398B870D6E41}"/>
    <cellStyle name="Normal 5 3 4 2 2 7" xfId="4827" xr:uid="{01A6EF86-9D42-4504-B47D-11900BCE723A}"/>
    <cellStyle name="Normal 5 3 4 2 3" xfId="932" xr:uid="{00000000-0005-0000-0000-00002A030000}"/>
    <cellStyle name="Normal 5 3 4 2 3 2" xfId="1764" xr:uid="{067BCFBC-2BA0-472E-B25B-663387A66B87}"/>
    <cellStyle name="Normal 5 3 4 2 3 2 2" xfId="7384" xr:uid="{9D2D7F23-5FAB-4EB1-BC28-22D9731F62EA}"/>
    <cellStyle name="Normal 5 3 4 2 3 3" xfId="5239" xr:uid="{5B8E11A8-7585-4893-A2FF-0F7930976101}"/>
    <cellStyle name="Normal 5 3 4 2 4" xfId="1348" xr:uid="{296C95FD-7808-43DE-9647-0C555B07D3CA}"/>
    <cellStyle name="Normal 5 3 4 2 4 2" xfId="3582" xr:uid="{145D07E3-ED74-4D8E-A86C-9B979EB46ECB}"/>
    <cellStyle name="Normal 5 3 4 2 4 2 2" xfId="7797" xr:uid="{3DFDDB48-A2CC-4BAF-B993-71DF462ED4ED}"/>
    <cellStyle name="Normal 5 3 4 2 4 3" xfId="5652" xr:uid="{10972DB8-1A68-43E9-B61E-404A9AA68353}"/>
    <cellStyle name="Normal 5 3 4 2 5" xfId="2179" xr:uid="{D336A866-68EE-4948-BCD0-95BC99962A48}"/>
    <cellStyle name="Normal 5 3 4 2 5 2" xfId="3995" xr:uid="{3115EA7D-AF1D-45C6-BDFC-98DCDE8B72D9}"/>
    <cellStyle name="Normal 5 3 4 2 5 2 2" xfId="8210" xr:uid="{9AD5BD1E-FF92-429A-808A-0C6BFC052C88}"/>
    <cellStyle name="Normal 5 3 4 2 5 3" xfId="6065" xr:uid="{7D2C15A0-6198-4C31-A41B-F3A8E4DB24CF}"/>
    <cellStyle name="Normal 5 3 4 2 6" xfId="2592" xr:uid="{907F3DA9-E8BB-4DBA-B522-6E672E198DC6}"/>
    <cellStyle name="Normal 5 3 4 2 6 2" xfId="4408" xr:uid="{CE038408-E695-450C-B265-32149E3A7B19}"/>
    <cellStyle name="Normal 5 3 4 2 6 2 2" xfId="8623" xr:uid="{DE8007AB-0DC3-4991-8968-5AF15EF54B42}"/>
    <cellStyle name="Normal 5 3 4 2 6 3" xfId="6478" xr:uid="{86A13768-F5D2-4653-B545-354095CACCA6}"/>
    <cellStyle name="Normal 5 3 4 2 7" xfId="3028" xr:uid="{16BF2448-721C-4F0C-B75A-EE56A59C0C4B}"/>
    <cellStyle name="Normal 5 3 4 2 7 2" xfId="6891" xr:uid="{68F9E5EB-B7CA-4A5D-94AD-235BA1F16D24}"/>
    <cellStyle name="Normal 5 3 4 2 8" xfId="4826" xr:uid="{B6566778-10E9-4D2B-9F4E-4D9441DD882D}"/>
    <cellStyle name="Normal 5 3 4 3" xfId="455" xr:uid="{00000000-0005-0000-0000-00002B030000}"/>
    <cellStyle name="Normal 5 3 4 3 2" xfId="934" xr:uid="{00000000-0005-0000-0000-00002C030000}"/>
    <cellStyle name="Normal 5 3 4 3 2 2" xfId="1766" xr:uid="{2F087CE8-8238-434D-B624-19BC90E48A5C}"/>
    <cellStyle name="Normal 5 3 4 3 2 2 2" xfId="7386" xr:uid="{17F9AAE8-307F-44B8-BA90-37351908369B}"/>
    <cellStyle name="Normal 5 3 4 3 2 3" xfId="5241" xr:uid="{1ED4D1D1-FE68-41FF-A0F2-14CAAD5E80C8}"/>
    <cellStyle name="Normal 5 3 4 3 3" xfId="1350" xr:uid="{805134C2-B465-47B7-8CCE-FE64C4002885}"/>
    <cellStyle name="Normal 5 3 4 3 3 2" xfId="3584" xr:uid="{618C7FBB-5719-4AA3-A44C-C8B91210CF75}"/>
    <cellStyle name="Normal 5 3 4 3 3 2 2" xfId="7799" xr:uid="{47396CC4-BFEA-4BE7-B7BF-B3B50178D48B}"/>
    <cellStyle name="Normal 5 3 4 3 3 3" xfId="5654" xr:uid="{C8001E85-D3E6-4BB3-938F-688C1D709D69}"/>
    <cellStyle name="Normal 5 3 4 3 4" xfId="2181" xr:uid="{6C3BC008-E1B1-4DA9-8FA6-A1F81D209BBC}"/>
    <cellStyle name="Normal 5 3 4 3 4 2" xfId="3997" xr:uid="{0A582FDB-2685-42DB-AD1D-045DECEA5286}"/>
    <cellStyle name="Normal 5 3 4 3 4 2 2" xfId="8212" xr:uid="{679BE3FE-AA04-4F62-A252-336760BF5A41}"/>
    <cellStyle name="Normal 5 3 4 3 4 3" xfId="6067" xr:uid="{99378EF2-1927-4FBE-9717-B84C1FC6732C}"/>
    <cellStyle name="Normal 5 3 4 3 5" xfId="2594" xr:uid="{6ABD8764-1ED4-49D4-B59B-D6261C0A48C3}"/>
    <cellStyle name="Normal 5 3 4 3 5 2" xfId="4410" xr:uid="{1DB51028-3492-4723-9DAC-F0AAF229769F}"/>
    <cellStyle name="Normal 5 3 4 3 5 2 2" xfId="8625" xr:uid="{3A2FE09C-FAC3-4D62-A8B0-3E8045F3959D}"/>
    <cellStyle name="Normal 5 3 4 3 5 3" xfId="6480" xr:uid="{04123F71-9175-4F91-8648-B073639E60ED}"/>
    <cellStyle name="Normal 5 3 4 3 6" xfId="3030" xr:uid="{9B11973F-2CC0-4D03-B687-1D72FFE78481}"/>
    <cellStyle name="Normal 5 3 4 3 6 2" xfId="6893" xr:uid="{0822D717-ADD7-48E1-BA17-30B1D9545E6D}"/>
    <cellStyle name="Normal 5 3 4 3 7" xfId="4828" xr:uid="{9D61B9C6-0EC5-486A-A606-ECCA2295C737}"/>
    <cellStyle name="Normal 5 3 4 4" xfId="931" xr:uid="{00000000-0005-0000-0000-00002D030000}"/>
    <cellStyle name="Normal 5 3 4 4 2" xfId="1763" xr:uid="{61C60516-F55B-47E1-AEAF-573FA881E2FE}"/>
    <cellStyle name="Normal 5 3 4 4 2 2" xfId="7383" xr:uid="{FA7FD3DD-A5B4-4E83-BBF6-D7D8D4E99A2A}"/>
    <cellStyle name="Normal 5 3 4 4 3" xfId="5238" xr:uid="{A08A46B7-4E2D-40F2-99B1-949F03E1E288}"/>
    <cellStyle name="Normal 5 3 4 5" xfId="1347" xr:uid="{13DB1304-E979-44D2-B221-64BDD8AC45E5}"/>
    <cellStyle name="Normal 5 3 4 5 2" xfId="3581" xr:uid="{C38374CC-A987-4B9E-A4A5-3494FC5A8E87}"/>
    <cellStyle name="Normal 5 3 4 5 2 2" xfId="7796" xr:uid="{5FDCE88D-C7D6-42D8-A102-023EAE60CFF8}"/>
    <cellStyle name="Normal 5 3 4 5 3" xfId="5651" xr:uid="{6000C57C-26FA-4473-B5D9-DD3A650E3D8A}"/>
    <cellStyle name="Normal 5 3 4 6" xfId="2178" xr:uid="{7C54D9A7-D46E-483B-901E-B6BA6FFDC4A1}"/>
    <cellStyle name="Normal 5 3 4 6 2" xfId="3994" xr:uid="{F4976C2F-04FB-427A-BC2C-33A914DB873A}"/>
    <cellStyle name="Normal 5 3 4 6 2 2" xfId="8209" xr:uid="{B5B21C0A-A146-4AA3-BE03-4A5FB51445B4}"/>
    <cellStyle name="Normal 5 3 4 6 3" xfId="6064" xr:uid="{82D9D06D-D3B0-4CCA-9B5F-D92070942685}"/>
    <cellStyle name="Normal 5 3 4 7" xfId="2591" xr:uid="{3C88DCB3-851E-44DB-8797-45C62963B26D}"/>
    <cellStyle name="Normal 5 3 4 7 2" xfId="4407" xr:uid="{5819167C-0D06-488E-8A9E-0391C702CBBD}"/>
    <cellStyle name="Normal 5 3 4 7 2 2" xfId="8622" xr:uid="{CD882517-AD48-440F-BA42-26DFE3D5B783}"/>
    <cellStyle name="Normal 5 3 4 7 3" xfId="6477" xr:uid="{A4437CCC-CEFB-4B39-A62F-846AAF4C5356}"/>
    <cellStyle name="Normal 5 3 4 8" xfId="3027" xr:uid="{1FCFA141-4757-4C93-8F6B-C2C6844406C9}"/>
    <cellStyle name="Normal 5 3 4 8 2" xfId="6890" xr:uid="{0F2340F2-211E-413D-844E-539EC552FA2B}"/>
    <cellStyle name="Normal 5 3 4 9" xfId="4825" xr:uid="{ABEBD698-069F-4CBF-A389-0FEED27B1D33}"/>
    <cellStyle name="Normal 5 3 5" xfId="456" xr:uid="{00000000-0005-0000-0000-00002E030000}"/>
    <cellStyle name="Normal 5 3 5 2" xfId="457" xr:uid="{00000000-0005-0000-0000-00002F030000}"/>
    <cellStyle name="Normal 5 3 5 2 2" xfId="936" xr:uid="{00000000-0005-0000-0000-000030030000}"/>
    <cellStyle name="Normal 5 3 5 2 2 2" xfId="1768" xr:uid="{3E0ED707-C7D7-4BA0-B0FF-F1AF7EA2B206}"/>
    <cellStyle name="Normal 5 3 5 2 2 2 2" xfId="7388" xr:uid="{850FC2DB-3BE0-46F0-A597-717CB3871A35}"/>
    <cellStyle name="Normal 5 3 5 2 2 3" xfId="5243" xr:uid="{A4FFBD71-7F25-4FEC-9008-D655277E04C2}"/>
    <cellStyle name="Normal 5 3 5 2 3" xfId="1352" xr:uid="{9B648AC2-2546-48B0-86FA-C2D2865BC5AE}"/>
    <cellStyle name="Normal 5 3 5 2 3 2" xfId="3586" xr:uid="{AB495824-E412-4C11-A431-BF5DCF0C954B}"/>
    <cellStyle name="Normal 5 3 5 2 3 2 2" xfId="7801" xr:uid="{3DBCA7C3-53F7-4430-8A54-C46352D737BB}"/>
    <cellStyle name="Normal 5 3 5 2 3 3" xfId="5656" xr:uid="{3D774B1E-BB61-4317-BB6C-D03556E966DC}"/>
    <cellStyle name="Normal 5 3 5 2 4" xfId="2183" xr:uid="{05AA27A1-6B2B-43AE-AFBB-97AD63A3F332}"/>
    <cellStyle name="Normal 5 3 5 2 4 2" xfId="3999" xr:uid="{5B5F00D9-5151-4E20-BF8D-A4D5674C1963}"/>
    <cellStyle name="Normal 5 3 5 2 4 2 2" xfId="8214" xr:uid="{87E66946-BB7D-40F4-81EA-B87B99B32839}"/>
    <cellStyle name="Normal 5 3 5 2 4 3" xfId="6069" xr:uid="{BA8F507B-BB46-4FFC-A195-FCE3156C66A6}"/>
    <cellStyle name="Normal 5 3 5 2 5" xfId="2596" xr:uid="{05656D50-1248-44C5-B73D-AF1B2D54A882}"/>
    <cellStyle name="Normal 5 3 5 2 5 2" xfId="4412" xr:uid="{E74D6FF6-802C-4B0F-A77E-7451F4D0DD03}"/>
    <cellStyle name="Normal 5 3 5 2 5 2 2" xfId="8627" xr:uid="{34E6DBE0-6440-437A-94F9-38DADD67007B}"/>
    <cellStyle name="Normal 5 3 5 2 5 3" xfId="6482" xr:uid="{D6B3AA69-329D-4021-949F-DD69369E3400}"/>
    <cellStyle name="Normal 5 3 5 2 6" xfId="3032" xr:uid="{D1DDB168-8F02-488F-817D-6C8A4EF48CBA}"/>
    <cellStyle name="Normal 5 3 5 2 6 2" xfId="6895" xr:uid="{2430A84B-D146-420C-AAA0-D4BB6EDA636D}"/>
    <cellStyle name="Normal 5 3 5 2 7" xfId="4830" xr:uid="{B0C656E7-2241-49FC-94CF-7E2E40E74AAB}"/>
    <cellStyle name="Normal 5 3 5 3" xfId="935" xr:uid="{00000000-0005-0000-0000-000031030000}"/>
    <cellStyle name="Normal 5 3 5 3 2" xfId="1767" xr:uid="{D5B14EED-E53E-414C-AA50-2C1AEC32B785}"/>
    <cellStyle name="Normal 5 3 5 3 2 2" xfId="7387" xr:uid="{0AEA7645-C1CB-45DB-9719-4D1CF9102814}"/>
    <cellStyle name="Normal 5 3 5 3 3" xfId="5242" xr:uid="{B43FAD49-43B8-4EBE-B398-896A866A5F47}"/>
    <cellStyle name="Normal 5 3 5 4" xfId="1351" xr:uid="{9085314A-4062-435A-923B-617BA7EEBC32}"/>
    <cellStyle name="Normal 5 3 5 4 2" xfId="3585" xr:uid="{853F7449-9F0F-4145-A82D-AE20A311889B}"/>
    <cellStyle name="Normal 5 3 5 4 2 2" xfId="7800" xr:uid="{D6D2C7E5-DE58-42D5-AEBD-C1C8E43ABEA6}"/>
    <cellStyle name="Normal 5 3 5 4 3" xfId="5655" xr:uid="{F681E173-8133-4DE7-92A3-DCF93A302F6D}"/>
    <cellStyle name="Normal 5 3 5 5" xfId="2182" xr:uid="{90E2A6D5-9C8B-491E-8EFE-B58C3118B347}"/>
    <cellStyle name="Normal 5 3 5 5 2" xfId="3998" xr:uid="{4777247B-176C-4636-915A-75A002178515}"/>
    <cellStyle name="Normal 5 3 5 5 2 2" xfId="8213" xr:uid="{14BA8AE1-4FC4-4EAF-ABF4-6D6F545C2773}"/>
    <cellStyle name="Normal 5 3 5 5 3" xfId="6068" xr:uid="{5A0B8DE0-3922-4A07-B5E0-B26ECCCCA575}"/>
    <cellStyle name="Normal 5 3 5 6" xfId="2595" xr:uid="{77700213-6379-4247-A4AF-87AB5BBB7694}"/>
    <cellStyle name="Normal 5 3 5 6 2" xfId="4411" xr:uid="{BC82C1A3-7626-4359-B361-3D6DD8E9B765}"/>
    <cellStyle name="Normal 5 3 5 6 2 2" xfId="8626" xr:uid="{B900376C-61FB-4CF4-93E5-6C87CBC7A88E}"/>
    <cellStyle name="Normal 5 3 5 6 3" xfId="6481" xr:uid="{5E4A25C1-0398-423D-BB7F-9156DCA894A8}"/>
    <cellStyle name="Normal 5 3 5 7" xfId="3031" xr:uid="{BF42457B-CB4B-46C7-B8E2-8E5312D93B95}"/>
    <cellStyle name="Normal 5 3 5 7 2" xfId="6894" xr:uid="{EE6AA167-C974-4A20-9371-F3D4AFDC9075}"/>
    <cellStyle name="Normal 5 3 5 8" xfId="4829" xr:uid="{7F47CB3A-CA70-487E-A131-685B1365E75A}"/>
    <cellStyle name="Normal 5 3 6" xfId="458" xr:uid="{00000000-0005-0000-0000-000032030000}"/>
    <cellStyle name="Normal 5 3 6 2" xfId="937" xr:uid="{00000000-0005-0000-0000-000033030000}"/>
    <cellStyle name="Normal 5 3 6 2 2" xfId="1769" xr:uid="{4A145E85-C4AD-454E-B7AF-6297A7494DD2}"/>
    <cellStyle name="Normal 5 3 6 2 2 2" xfId="7389" xr:uid="{00FCDC63-458D-41EB-88AD-DF0AD03C1E41}"/>
    <cellStyle name="Normal 5 3 6 2 3" xfId="5244" xr:uid="{4E5D1B31-D7E2-433F-9FCA-3B6F4C480A24}"/>
    <cellStyle name="Normal 5 3 6 3" xfId="1353" xr:uid="{97921668-D144-4357-8372-330EBCB282B8}"/>
    <cellStyle name="Normal 5 3 6 3 2" xfId="3587" xr:uid="{05D2F780-F66A-4E08-80A4-B2CF6C76C845}"/>
    <cellStyle name="Normal 5 3 6 3 2 2" xfId="7802" xr:uid="{F0A12E9E-6D2E-44D1-A429-7EACF4578481}"/>
    <cellStyle name="Normal 5 3 6 3 3" xfId="5657" xr:uid="{A2998387-3506-4984-A86B-AE801199ECFD}"/>
    <cellStyle name="Normal 5 3 6 4" xfId="2184" xr:uid="{A02A0ACB-0462-43E7-89B2-97B04A4EE574}"/>
    <cellStyle name="Normal 5 3 6 4 2" xfId="4000" xr:uid="{4CDE36F8-AFC8-4866-94C2-5B09AC936568}"/>
    <cellStyle name="Normal 5 3 6 4 2 2" xfId="8215" xr:uid="{B3FE9DBB-1257-4292-88CE-5B587D9C1370}"/>
    <cellStyle name="Normal 5 3 6 4 3" xfId="6070" xr:uid="{2C0D66BC-940A-4434-BDCA-88A9A4A344C5}"/>
    <cellStyle name="Normal 5 3 6 5" xfId="2597" xr:uid="{15FC0858-7C91-4B54-8E0C-A0C8A24EA976}"/>
    <cellStyle name="Normal 5 3 6 5 2" xfId="4413" xr:uid="{EB002333-9D38-4107-B9B9-49C4FC53DCDF}"/>
    <cellStyle name="Normal 5 3 6 5 2 2" xfId="8628" xr:uid="{CF26DA48-7D4E-4648-B094-8756ED223C52}"/>
    <cellStyle name="Normal 5 3 6 5 3" xfId="6483" xr:uid="{BD36B781-2F34-4F3B-B776-275A55CAA835}"/>
    <cellStyle name="Normal 5 3 6 6" xfId="3033" xr:uid="{360AF9DE-A3D1-430A-A5A0-7D141BE84389}"/>
    <cellStyle name="Normal 5 3 6 6 2" xfId="6896" xr:uid="{FE8FA938-7DD2-4482-9890-4FF253A8658F}"/>
    <cellStyle name="Normal 5 3 6 7" xfId="4831" xr:uid="{BC50B36B-DC64-447C-8462-DD49B6208DD8}"/>
    <cellStyle name="Normal 5 3 7" xfId="921" xr:uid="{00000000-0005-0000-0000-000034030000}"/>
    <cellStyle name="Normal 5 3 7 2" xfId="1754" xr:uid="{66BA0C18-B57D-4482-BBF4-8D7DA3E0E5BE}"/>
    <cellStyle name="Normal 5 3 7 2 2" xfId="7374" xr:uid="{8925780E-128C-40CB-B2AA-E357CAA8A0D7}"/>
    <cellStyle name="Normal 5 3 7 3" xfId="5229" xr:uid="{B71B3EBC-0F01-45B2-8F5A-24B53704642A}"/>
    <cellStyle name="Normal 5 3 8" xfId="1338" xr:uid="{41D17FB2-FB16-4751-8B0F-BD1C32C8BCEC}"/>
    <cellStyle name="Normal 5 3 8 2" xfId="3572" xr:uid="{24DCE0A9-E95C-4E1C-9AB4-AEF0E1DD0F95}"/>
    <cellStyle name="Normal 5 3 8 2 2" xfId="7787" xr:uid="{3EE03B53-2E99-42B0-A1A6-85674ED833C8}"/>
    <cellStyle name="Normal 5 3 8 3" xfId="5642" xr:uid="{B1CF1651-FE20-46A0-945E-1B844854BB13}"/>
    <cellStyle name="Normal 5 3 9" xfId="2169" xr:uid="{6155A11E-BE96-4E22-A566-B1A9A7B1E209}"/>
    <cellStyle name="Normal 5 3 9 2" xfId="3985" xr:uid="{8297783B-3009-46C6-85BB-71A634A13D12}"/>
    <cellStyle name="Normal 5 3 9 2 2" xfId="8200" xr:uid="{1F33EFF5-FE77-4CD4-AC6A-54B7A36CE5F1}"/>
    <cellStyle name="Normal 5 3 9 3" xfId="6055" xr:uid="{B32F931D-AF5E-48D3-AD8A-DCB177573F71}"/>
    <cellStyle name="Normal 5 4" xfId="459" xr:uid="{00000000-0005-0000-0000-000035030000}"/>
    <cellStyle name="Normal 5 4 10" xfId="4832" xr:uid="{AF7A722C-B8F8-4E0A-88DB-30F69BCFFCC8}"/>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3" xr:uid="{3E0CBAA0-EC22-429A-9988-007D39F6296A}"/>
    <cellStyle name="Normal 5 4 2 2 2 2 2 2" xfId="7393" xr:uid="{24CCBF80-1071-44A6-B774-F9EFC0828953}"/>
    <cellStyle name="Normal 5 4 2 2 2 2 3" xfId="5248" xr:uid="{60C55116-9590-4895-B22A-73C8A6E4701F}"/>
    <cellStyle name="Normal 5 4 2 2 2 3" xfId="1357" xr:uid="{BB51C5B9-3014-4FDA-B7DE-31B737B42E19}"/>
    <cellStyle name="Normal 5 4 2 2 2 3 2" xfId="3591" xr:uid="{F9DA9E6D-2608-4C6B-A665-0D769BB10209}"/>
    <cellStyle name="Normal 5 4 2 2 2 3 2 2" xfId="7806" xr:uid="{7225B5EF-B62E-4109-B21A-1D43E400A100}"/>
    <cellStyle name="Normal 5 4 2 2 2 3 3" xfId="5661" xr:uid="{69106F00-D220-48CC-B15E-06AC0893F45E}"/>
    <cellStyle name="Normal 5 4 2 2 2 4" xfId="2188" xr:uid="{1FEC49BD-82DB-41F6-A1D7-3F761F5916E2}"/>
    <cellStyle name="Normal 5 4 2 2 2 4 2" xfId="4004" xr:uid="{0E15A00F-373E-4BE6-AF5B-9B77AB1773C4}"/>
    <cellStyle name="Normal 5 4 2 2 2 4 2 2" xfId="8219" xr:uid="{7B0B53F6-FE0C-4CAA-86FD-B38818060E8A}"/>
    <cellStyle name="Normal 5 4 2 2 2 4 3" xfId="6074" xr:uid="{E7F11A0E-0FDB-4AC8-8253-E0D4B18B5FA3}"/>
    <cellStyle name="Normal 5 4 2 2 2 5" xfId="2601" xr:uid="{27075E87-B698-4CD3-87BC-1F754AE106ED}"/>
    <cellStyle name="Normal 5 4 2 2 2 5 2" xfId="4417" xr:uid="{6D1BB646-009C-4A4F-909F-38B8CB83C749}"/>
    <cellStyle name="Normal 5 4 2 2 2 5 2 2" xfId="8632" xr:uid="{3E272C6E-A0D6-427F-90E6-3B9843C75600}"/>
    <cellStyle name="Normal 5 4 2 2 2 5 3" xfId="6487" xr:uid="{88E67B98-43E2-4CD8-937B-1902FBBA17AF}"/>
    <cellStyle name="Normal 5 4 2 2 2 6" xfId="3037" xr:uid="{EC91639F-3C53-46E3-B667-47E5982286F6}"/>
    <cellStyle name="Normal 5 4 2 2 2 6 2" xfId="6900" xr:uid="{0F439B4B-BED5-4404-82D2-92521E7C611D}"/>
    <cellStyle name="Normal 5 4 2 2 2 7" xfId="4835" xr:uid="{824BB6DB-7AEB-468D-998B-852B51DCAAF3}"/>
    <cellStyle name="Normal 5 4 2 2 3" xfId="940" xr:uid="{00000000-0005-0000-0000-00003A030000}"/>
    <cellStyle name="Normal 5 4 2 2 3 2" xfId="1772" xr:uid="{87192987-2DF9-4F6A-8F13-D2DD62776181}"/>
    <cellStyle name="Normal 5 4 2 2 3 2 2" xfId="7392" xr:uid="{D47F4DEB-ABBE-4E67-B3C4-AF8C92D025AF}"/>
    <cellStyle name="Normal 5 4 2 2 3 3" xfId="5247" xr:uid="{CE29195A-FC06-489C-889A-A5DE4DAE33EC}"/>
    <cellStyle name="Normal 5 4 2 2 4" xfId="1356" xr:uid="{EF130E27-BDD7-4FB8-B870-AA7DDC0813FB}"/>
    <cellStyle name="Normal 5 4 2 2 4 2" xfId="3590" xr:uid="{B7C0E563-32C5-443C-98B4-8347464EDEA1}"/>
    <cellStyle name="Normal 5 4 2 2 4 2 2" xfId="7805" xr:uid="{8B80764C-0A27-49D7-843E-163E987636A2}"/>
    <cellStyle name="Normal 5 4 2 2 4 3" xfId="5660" xr:uid="{CB5C00A0-384F-43DB-B71C-4F343C12D327}"/>
    <cellStyle name="Normal 5 4 2 2 5" xfId="2187" xr:uid="{E14596A3-8659-4838-A35F-04925B31AC73}"/>
    <cellStyle name="Normal 5 4 2 2 5 2" xfId="4003" xr:uid="{0801BD67-8086-499B-974E-78F4340EF0AF}"/>
    <cellStyle name="Normal 5 4 2 2 5 2 2" xfId="8218" xr:uid="{7CFDD561-0AAA-49DA-B42B-3B11FBC2D969}"/>
    <cellStyle name="Normal 5 4 2 2 5 3" xfId="6073" xr:uid="{C0E9B3B5-6CAE-4EDF-9041-B6589B3F182A}"/>
    <cellStyle name="Normal 5 4 2 2 6" xfId="2600" xr:uid="{7A5FDE9F-E422-42ED-A4EE-7634041BD8C8}"/>
    <cellStyle name="Normal 5 4 2 2 6 2" xfId="4416" xr:uid="{45AC8796-2A67-4675-856E-3C4C81E73BC5}"/>
    <cellStyle name="Normal 5 4 2 2 6 2 2" xfId="8631" xr:uid="{ED4CAC6F-C6B9-4B58-AE05-ABCFE5A8EC79}"/>
    <cellStyle name="Normal 5 4 2 2 6 3" xfId="6486" xr:uid="{EF8C89F0-24D4-4B50-AC25-35EEC919FDE9}"/>
    <cellStyle name="Normal 5 4 2 2 7" xfId="3036" xr:uid="{0DBB6F32-16F0-4E33-86EF-C29A654AD5D9}"/>
    <cellStyle name="Normal 5 4 2 2 7 2" xfId="6899" xr:uid="{671B5C5D-569F-42E3-81DD-DE9818FEB4B6}"/>
    <cellStyle name="Normal 5 4 2 2 8" xfId="4834" xr:uid="{380F1542-55A6-485C-9C77-9BD72D6E8CDB}"/>
    <cellStyle name="Normal 5 4 2 3" xfId="463" xr:uid="{00000000-0005-0000-0000-00003B030000}"/>
    <cellStyle name="Normal 5 4 2 3 2" xfId="942" xr:uid="{00000000-0005-0000-0000-00003C030000}"/>
    <cellStyle name="Normal 5 4 2 3 2 2" xfId="1774" xr:uid="{FD847003-E688-4009-A4BE-E339D3B84C9D}"/>
    <cellStyle name="Normal 5 4 2 3 2 2 2" xfId="7394" xr:uid="{364E7189-69D1-4C51-A8C0-278DE5FA42D8}"/>
    <cellStyle name="Normal 5 4 2 3 2 3" xfId="5249" xr:uid="{A34F8E18-3C2F-4FAA-BF74-0633AD9D8ED1}"/>
    <cellStyle name="Normal 5 4 2 3 3" xfId="1358" xr:uid="{09CDCC05-A647-4B9C-AA55-DD97FEE510DB}"/>
    <cellStyle name="Normal 5 4 2 3 3 2" xfId="3592" xr:uid="{F34A8751-BAA2-496F-9C3A-4C462848F9D9}"/>
    <cellStyle name="Normal 5 4 2 3 3 2 2" xfId="7807" xr:uid="{47DA70C8-4B2D-4434-8E47-8FC522438D4D}"/>
    <cellStyle name="Normal 5 4 2 3 3 3" xfId="5662" xr:uid="{98476F85-138F-4B88-937E-E3771AB9676D}"/>
    <cellStyle name="Normal 5 4 2 3 4" xfId="2189" xr:uid="{C1AC300C-4817-485D-9F3D-1C93DF60181A}"/>
    <cellStyle name="Normal 5 4 2 3 4 2" xfId="4005" xr:uid="{7324D12F-6F75-47EE-83D1-598C329004AC}"/>
    <cellStyle name="Normal 5 4 2 3 4 2 2" xfId="8220" xr:uid="{DD026994-E5B1-455B-BACB-561F1513AF18}"/>
    <cellStyle name="Normal 5 4 2 3 4 3" xfId="6075" xr:uid="{91EE63E8-4DF0-41AA-BC88-9FB6C56FA3AB}"/>
    <cellStyle name="Normal 5 4 2 3 5" xfId="2602" xr:uid="{2AF33D25-3CD1-449C-AEE8-DCA63A681C26}"/>
    <cellStyle name="Normal 5 4 2 3 5 2" xfId="4418" xr:uid="{0331FF6A-F879-4939-B101-99D70F87B53E}"/>
    <cellStyle name="Normal 5 4 2 3 5 2 2" xfId="8633" xr:uid="{5F41B196-8DDD-4067-9DC3-1F205077CD87}"/>
    <cellStyle name="Normal 5 4 2 3 5 3" xfId="6488" xr:uid="{E4CD9C70-EC36-4E89-93EF-B0AD6428CE75}"/>
    <cellStyle name="Normal 5 4 2 3 6" xfId="3038" xr:uid="{3F7FB43F-6B1D-45B7-9BB9-D80D3548DFA2}"/>
    <cellStyle name="Normal 5 4 2 3 6 2" xfId="6901" xr:uid="{D6990BCD-58E2-42BE-B047-9B538BEA07A8}"/>
    <cellStyle name="Normal 5 4 2 3 7" xfId="4836" xr:uid="{E65A9C51-0D0C-4849-9287-980540A32BC6}"/>
    <cellStyle name="Normal 5 4 2 4" xfId="939" xr:uid="{00000000-0005-0000-0000-00003D030000}"/>
    <cellStyle name="Normal 5 4 2 4 2" xfId="1771" xr:uid="{581374EC-72D6-4043-ADE0-4C7EF19E59F0}"/>
    <cellStyle name="Normal 5 4 2 4 2 2" xfId="7391" xr:uid="{2E6D70CF-156C-4AAD-BECF-61272C29D4F6}"/>
    <cellStyle name="Normal 5 4 2 4 3" xfId="5246" xr:uid="{2ACFE1D9-531F-4EF9-BA89-39F83FEA2B27}"/>
    <cellStyle name="Normal 5 4 2 5" xfId="1355" xr:uid="{F1B7C3A0-C0AF-46CE-9058-EABB4218E22F}"/>
    <cellStyle name="Normal 5 4 2 5 2" xfId="3589" xr:uid="{731F893D-D659-4DFF-856E-5F189E2D5CF7}"/>
    <cellStyle name="Normal 5 4 2 5 2 2" xfId="7804" xr:uid="{29B229C9-9B1A-43A8-9E3B-0B5624CECB5C}"/>
    <cellStyle name="Normal 5 4 2 5 3" xfId="5659" xr:uid="{6307F53D-2BD3-484A-AC30-598C49F34E97}"/>
    <cellStyle name="Normal 5 4 2 6" xfId="2186" xr:uid="{0DFB6974-364E-4F98-88F5-10E08C80DF52}"/>
    <cellStyle name="Normal 5 4 2 6 2" xfId="4002" xr:uid="{8B3A2529-A9AB-4B89-8BA4-C14267E22F90}"/>
    <cellStyle name="Normal 5 4 2 6 2 2" xfId="8217" xr:uid="{7024A756-16E6-433B-A114-7A4210B37596}"/>
    <cellStyle name="Normal 5 4 2 6 3" xfId="6072" xr:uid="{28C4B258-FABD-4A5D-A0DB-3BC82E2C1794}"/>
    <cellStyle name="Normal 5 4 2 7" xfId="2599" xr:uid="{A6AE3141-9A10-4634-ACAF-8EC65FF58104}"/>
    <cellStyle name="Normal 5 4 2 7 2" xfId="4415" xr:uid="{7E92F260-E0C5-4554-A522-DA1E24D7A39B}"/>
    <cellStyle name="Normal 5 4 2 7 2 2" xfId="8630" xr:uid="{D74369E4-E0AE-4F3C-875C-C16270C8EC3F}"/>
    <cellStyle name="Normal 5 4 2 7 3" xfId="6485" xr:uid="{D029024F-431B-451C-8B35-7B6A50CB19D0}"/>
    <cellStyle name="Normal 5 4 2 8" xfId="3035" xr:uid="{D290A281-99CA-4B13-9E40-F2761F73B53E}"/>
    <cellStyle name="Normal 5 4 2 8 2" xfId="6898" xr:uid="{55D140F7-B208-4905-B243-60CA30F58977}"/>
    <cellStyle name="Normal 5 4 2 9" xfId="4833" xr:uid="{6CB015B1-CCC9-4B5D-ADB0-F89D77048B13}"/>
    <cellStyle name="Normal 5 4 3" xfId="464" xr:uid="{00000000-0005-0000-0000-00003E030000}"/>
    <cellStyle name="Normal 5 4 3 2" xfId="465" xr:uid="{00000000-0005-0000-0000-00003F030000}"/>
    <cellStyle name="Normal 5 4 3 2 2" xfId="944" xr:uid="{00000000-0005-0000-0000-000040030000}"/>
    <cellStyle name="Normal 5 4 3 2 2 2" xfId="1776" xr:uid="{F912EEA5-2683-42D8-AD13-7171148E9DC0}"/>
    <cellStyle name="Normal 5 4 3 2 2 2 2" xfId="7396" xr:uid="{FA45DAF8-921A-4B0C-94E4-ABBBBBEE900D}"/>
    <cellStyle name="Normal 5 4 3 2 2 3" xfId="5251" xr:uid="{F804BA0D-37A7-4463-9EB6-06EF57DAE508}"/>
    <cellStyle name="Normal 5 4 3 2 3" xfId="1360" xr:uid="{458FF6B5-891A-4938-BC01-24B65633622E}"/>
    <cellStyle name="Normal 5 4 3 2 3 2" xfId="3594" xr:uid="{346E9B57-BA6B-4A31-87C9-93148D599419}"/>
    <cellStyle name="Normal 5 4 3 2 3 2 2" xfId="7809" xr:uid="{8F555AC5-50AD-4D5B-9E6B-599F86D152AD}"/>
    <cellStyle name="Normal 5 4 3 2 3 3" xfId="5664" xr:uid="{55700695-0C56-48C6-B7DC-D0E55AB727B1}"/>
    <cellStyle name="Normal 5 4 3 2 4" xfId="2191" xr:uid="{878701E9-C7AC-4649-BB7E-853C6AA2C9B3}"/>
    <cellStyle name="Normal 5 4 3 2 4 2" xfId="4007" xr:uid="{1B47822F-25DD-4C2E-864F-49B019D076D0}"/>
    <cellStyle name="Normal 5 4 3 2 4 2 2" xfId="8222" xr:uid="{15217B82-C339-4687-B322-C686A7E404DD}"/>
    <cellStyle name="Normal 5 4 3 2 4 3" xfId="6077" xr:uid="{044741E4-9F02-4364-B77B-633B9802DF3F}"/>
    <cellStyle name="Normal 5 4 3 2 5" xfId="2604" xr:uid="{BE53BF64-8DA9-4B50-8722-F4D6ECA0E9FB}"/>
    <cellStyle name="Normal 5 4 3 2 5 2" xfId="4420" xr:uid="{E9C515FE-58B6-47C0-8D82-3E4CC936706A}"/>
    <cellStyle name="Normal 5 4 3 2 5 2 2" xfId="8635" xr:uid="{6BDD1B29-6E31-4252-A4B9-5359E6BD4FE7}"/>
    <cellStyle name="Normal 5 4 3 2 5 3" xfId="6490" xr:uid="{F24DFB87-81CD-48D3-9A88-18C120542BF4}"/>
    <cellStyle name="Normal 5 4 3 2 6" xfId="3040" xr:uid="{2C11F3EE-EEF7-4575-B766-007CED41B3D3}"/>
    <cellStyle name="Normal 5 4 3 2 6 2" xfId="6903" xr:uid="{17A0FD18-06BB-4273-A5F0-259C50538CD7}"/>
    <cellStyle name="Normal 5 4 3 2 7" xfId="4838" xr:uid="{7B4FB681-2753-4B81-9524-58D76090A733}"/>
    <cellStyle name="Normal 5 4 3 3" xfId="943" xr:uid="{00000000-0005-0000-0000-000041030000}"/>
    <cellStyle name="Normal 5 4 3 3 2" xfId="1775" xr:uid="{608ADF64-4288-4C5C-AC80-3ED6ABA69CED}"/>
    <cellStyle name="Normal 5 4 3 3 2 2" xfId="7395" xr:uid="{C50A1206-22CB-4D74-832F-F1C07EBE2859}"/>
    <cellStyle name="Normal 5 4 3 3 3" xfId="5250" xr:uid="{6673F101-F5FF-4132-8BC8-01D5C5E5712F}"/>
    <cellStyle name="Normal 5 4 3 4" xfId="1359" xr:uid="{82C2C9E1-E27E-4FD5-A591-9510887C9FDE}"/>
    <cellStyle name="Normal 5 4 3 4 2" xfId="3593" xr:uid="{26F2BEA8-FA74-4BCC-A5BD-91AA690CDD7A}"/>
    <cellStyle name="Normal 5 4 3 4 2 2" xfId="7808" xr:uid="{B4BD06A4-8876-46BD-AB31-363FFFF27A57}"/>
    <cellStyle name="Normal 5 4 3 4 3" xfId="5663" xr:uid="{431DAA4D-2521-464F-9DF2-977A5525303F}"/>
    <cellStyle name="Normal 5 4 3 5" xfId="2190" xr:uid="{D38C33BF-C9B6-4964-8233-D6726023CBFE}"/>
    <cellStyle name="Normal 5 4 3 5 2" xfId="4006" xr:uid="{91D82B7E-789E-4ED6-92AE-0347A85E706F}"/>
    <cellStyle name="Normal 5 4 3 5 2 2" xfId="8221" xr:uid="{84184E50-E87D-48BA-8DFF-D661685E9D6F}"/>
    <cellStyle name="Normal 5 4 3 5 3" xfId="6076" xr:uid="{F01D38D1-E57B-4679-B3E3-1FEF03E8AEB2}"/>
    <cellStyle name="Normal 5 4 3 6" xfId="2603" xr:uid="{BF330964-4D80-4B5A-8542-19F96158DF5E}"/>
    <cellStyle name="Normal 5 4 3 6 2" xfId="4419" xr:uid="{BE7B68BD-E887-4F4F-A6EE-9E6DF09BFA1D}"/>
    <cellStyle name="Normal 5 4 3 6 2 2" xfId="8634" xr:uid="{B6EA7048-D463-40F9-B8B9-686CD4CA2D66}"/>
    <cellStyle name="Normal 5 4 3 6 3" xfId="6489" xr:uid="{EED3B3AB-1CB9-4067-9ABE-EE2C4A61B713}"/>
    <cellStyle name="Normal 5 4 3 7" xfId="3039" xr:uid="{AD311981-DF00-4012-AA87-6767AD4500FF}"/>
    <cellStyle name="Normal 5 4 3 7 2" xfId="6902" xr:uid="{169DA1E6-AB90-477C-A35F-D7BBE8F1FE9A}"/>
    <cellStyle name="Normal 5 4 3 8" xfId="4837" xr:uid="{BC262128-247F-43B1-8B8A-74896F508D0A}"/>
    <cellStyle name="Normal 5 4 4" xfId="466" xr:uid="{00000000-0005-0000-0000-000042030000}"/>
    <cellStyle name="Normal 5 4 4 2" xfId="945" xr:uid="{00000000-0005-0000-0000-000043030000}"/>
    <cellStyle name="Normal 5 4 4 2 2" xfId="1777" xr:uid="{D910D811-2111-4DD5-8FAD-75DA3D1AFC69}"/>
    <cellStyle name="Normal 5 4 4 2 2 2" xfId="7397" xr:uid="{CE0487D7-9FAF-4FDE-8482-80FBE1579F9B}"/>
    <cellStyle name="Normal 5 4 4 2 3" xfId="5252" xr:uid="{D50F856B-721A-478B-9173-C86238ADA152}"/>
    <cellStyle name="Normal 5 4 4 3" xfId="1361" xr:uid="{A0BDBD48-CED5-4EEC-92B7-49EC07E7AFA3}"/>
    <cellStyle name="Normal 5 4 4 3 2" xfId="3595" xr:uid="{4FA2744C-1153-486C-95E6-AAF7E0EC1E16}"/>
    <cellStyle name="Normal 5 4 4 3 2 2" xfId="7810" xr:uid="{C668A15B-385B-45F8-BF8D-B2E3868C57E9}"/>
    <cellStyle name="Normal 5 4 4 3 3" xfId="5665" xr:uid="{2AC6908C-56A0-4A79-B7F6-ECA1B318C354}"/>
    <cellStyle name="Normal 5 4 4 4" xfId="2192" xr:uid="{39FC63D0-194F-4A27-AEAF-88D63C04968B}"/>
    <cellStyle name="Normal 5 4 4 4 2" xfId="4008" xr:uid="{A82A5C06-F972-4AEC-A68C-7227C7DE7387}"/>
    <cellStyle name="Normal 5 4 4 4 2 2" xfId="8223" xr:uid="{3B5EC215-B1E9-48DF-B277-EC51E15DB1D7}"/>
    <cellStyle name="Normal 5 4 4 4 3" xfId="6078" xr:uid="{23438D06-187F-4161-92C8-3BDEE8245A8D}"/>
    <cellStyle name="Normal 5 4 4 5" xfId="2605" xr:uid="{DE0EEE60-E97E-4051-B200-ECFCF4C4A604}"/>
    <cellStyle name="Normal 5 4 4 5 2" xfId="4421" xr:uid="{E60F78CF-4546-43A3-B8ED-EDE6EC630AD1}"/>
    <cellStyle name="Normal 5 4 4 5 2 2" xfId="8636" xr:uid="{4FB9B267-C136-4FC1-B915-F09BD5711960}"/>
    <cellStyle name="Normal 5 4 4 5 3" xfId="6491" xr:uid="{EBA3BDC6-BEDF-4235-9341-CE40B5020A18}"/>
    <cellStyle name="Normal 5 4 4 6" xfId="3041" xr:uid="{D151F218-BF75-46A2-9467-3FFEB8E07380}"/>
    <cellStyle name="Normal 5 4 4 6 2" xfId="6904" xr:uid="{78006ADB-A0FE-4704-A2C0-4069A6E20E61}"/>
    <cellStyle name="Normal 5 4 4 7" xfId="4839" xr:uid="{418EC9BE-5887-4B0C-AD6A-0E123A22CCBF}"/>
    <cellStyle name="Normal 5 4 5" xfId="938" xr:uid="{00000000-0005-0000-0000-000044030000}"/>
    <cellStyle name="Normal 5 4 5 2" xfId="1770" xr:uid="{6F758979-BAC8-4AEE-B589-5ED20ED9D9BA}"/>
    <cellStyle name="Normal 5 4 5 2 2" xfId="7390" xr:uid="{31A2DDF6-F157-40BF-A9C5-AE90ED0B10D3}"/>
    <cellStyle name="Normal 5 4 5 3" xfId="5245" xr:uid="{EAFAE7DA-3F61-4507-9ED0-0862D0B7EA82}"/>
    <cellStyle name="Normal 5 4 6" xfId="1354" xr:uid="{E53B8B2A-AF76-42AF-9ED6-8ABB43ED94B0}"/>
    <cellStyle name="Normal 5 4 6 2" xfId="3588" xr:uid="{80D17856-DAD4-417A-8921-A9096363D8AA}"/>
    <cellStyle name="Normal 5 4 6 2 2" xfId="7803" xr:uid="{8B85F2CE-95DA-4896-8315-8AD7FD3B41E2}"/>
    <cellStyle name="Normal 5 4 6 3" xfId="5658" xr:uid="{670F2B80-F5A3-4187-A341-08A577FC7C57}"/>
    <cellStyle name="Normal 5 4 7" xfId="2185" xr:uid="{5EEB5415-6C16-4EA1-8A20-CA8FCD99625C}"/>
    <cellStyle name="Normal 5 4 7 2" xfId="4001" xr:uid="{11333C56-AB5F-4E9D-975A-FDB77CBCB678}"/>
    <cellStyle name="Normal 5 4 7 2 2" xfId="8216" xr:uid="{ECB711E5-CA33-4262-A9E9-84D17877BA11}"/>
    <cellStyle name="Normal 5 4 7 3" xfId="6071" xr:uid="{727B8A37-39EC-4F5C-9F15-2A7732A2C3F8}"/>
    <cellStyle name="Normal 5 4 8" xfId="2598" xr:uid="{3400809F-D827-4A09-BC6D-0868908585F7}"/>
    <cellStyle name="Normal 5 4 8 2" xfId="4414" xr:uid="{12FF9401-597D-4113-AE2D-3A53214EA6AC}"/>
    <cellStyle name="Normal 5 4 8 2 2" xfId="8629" xr:uid="{6E920CBC-C2DF-4FED-BF44-2B97E3967918}"/>
    <cellStyle name="Normal 5 4 8 3" xfId="6484" xr:uid="{3FF59F0E-E2C6-4DFB-9BB1-BB60AB2A38EA}"/>
    <cellStyle name="Normal 5 4 9" xfId="3034" xr:uid="{713CCE45-1B1A-4A98-9EC7-63E271F0A411}"/>
    <cellStyle name="Normal 5 4 9 2" xfId="6897" xr:uid="{77984335-A012-4792-895B-5665DB7019FE}"/>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0" xr:uid="{4B9250DB-29C0-4048-95B3-2A7CBF7A060F}"/>
    <cellStyle name="Normal 5 5 2 2 2 2 2" xfId="7400" xr:uid="{AAA2BAB4-6096-4BB4-A679-F9848A853447}"/>
    <cellStyle name="Normal 5 5 2 2 2 3" xfId="5255" xr:uid="{FFBAE6C4-0B56-4933-A25F-5690F83C82EC}"/>
    <cellStyle name="Normal 5 5 2 2 3" xfId="1364" xr:uid="{FDCA053D-BA91-4D51-8C24-E6EC22015A1D}"/>
    <cellStyle name="Normal 5 5 2 2 3 2" xfId="3598" xr:uid="{C9138F3E-6E76-45D4-919B-991D5A3DA462}"/>
    <cellStyle name="Normal 5 5 2 2 3 2 2" xfId="7813" xr:uid="{EAD0A003-CCA6-4898-892F-9E1DF2E99A02}"/>
    <cellStyle name="Normal 5 5 2 2 3 3" xfId="5668" xr:uid="{7BF8CB29-C6FC-4F14-89BC-7E714C8E933E}"/>
    <cellStyle name="Normal 5 5 2 2 4" xfId="2195" xr:uid="{C7A2A1ED-EBB6-4C22-B696-DC322E05AFFE}"/>
    <cellStyle name="Normal 5 5 2 2 4 2" xfId="4011" xr:uid="{369A482A-5C7E-4D6C-9EE4-9E8003C16F2B}"/>
    <cellStyle name="Normal 5 5 2 2 4 2 2" xfId="8226" xr:uid="{D6913BD5-CBCC-4069-B733-AC1ECC18927C}"/>
    <cellStyle name="Normal 5 5 2 2 4 3" xfId="6081" xr:uid="{F94108C9-1EC9-451C-B214-D0357E47B482}"/>
    <cellStyle name="Normal 5 5 2 2 5" xfId="2608" xr:uid="{A942AC72-4322-4C9C-8269-4EF172818DA6}"/>
    <cellStyle name="Normal 5 5 2 2 5 2" xfId="4424" xr:uid="{B382B33C-CB57-471B-AD03-13B1C82610D5}"/>
    <cellStyle name="Normal 5 5 2 2 5 2 2" xfId="8639" xr:uid="{77AD3CA0-CA78-484E-A44F-379B830A3CC0}"/>
    <cellStyle name="Normal 5 5 2 2 5 3" xfId="6494" xr:uid="{6C074ED1-CFF8-4642-A9B1-72D4630CC1CC}"/>
    <cellStyle name="Normal 5 5 2 2 6" xfId="3044" xr:uid="{09B72FCF-D56D-4BBB-8527-1569A9C61BAA}"/>
    <cellStyle name="Normal 5 5 2 2 6 2" xfId="6907" xr:uid="{913631C7-9053-4E21-A991-DE9F87652AD5}"/>
    <cellStyle name="Normal 5 5 2 2 7" xfId="4842" xr:uid="{7E4D283E-3F74-45CA-8244-600A6E3E86D4}"/>
    <cellStyle name="Normal 5 5 2 3" xfId="947" xr:uid="{00000000-0005-0000-0000-000049030000}"/>
    <cellStyle name="Normal 5 5 2 3 2" xfId="1779" xr:uid="{92D55085-6FBA-4466-A845-CEDD94DE63AE}"/>
    <cellStyle name="Normal 5 5 2 3 2 2" xfId="7399" xr:uid="{E172BA6E-123E-4F6E-8C4B-D4A72E10428F}"/>
    <cellStyle name="Normal 5 5 2 3 3" xfId="5254" xr:uid="{FE746F29-E498-4271-B076-9130803D2D4D}"/>
    <cellStyle name="Normal 5 5 2 4" xfId="1363" xr:uid="{395E4994-1ABE-4079-BDEE-6581C57AF012}"/>
    <cellStyle name="Normal 5 5 2 4 2" xfId="3597" xr:uid="{0CB6BFD9-384B-418A-8822-27FF321C3425}"/>
    <cellStyle name="Normal 5 5 2 4 2 2" xfId="7812" xr:uid="{5D023518-4BBA-4F85-A77B-67ACE67AC317}"/>
    <cellStyle name="Normal 5 5 2 4 3" xfId="5667" xr:uid="{70779C3A-8317-4013-9B9A-E94CDA61542C}"/>
    <cellStyle name="Normal 5 5 2 5" xfId="2194" xr:uid="{31D8833E-2575-40DF-A52A-47120446995B}"/>
    <cellStyle name="Normal 5 5 2 5 2" xfId="4010" xr:uid="{2D149917-1C8B-48BA-BFDD-4735E0A0D311}"/>
    <cellStyle name="Normal 5 5 2 5 2 2" xfId="8225" xr:uid="{E86225C0-406B-4D34-9719-61F2C3CA078C}"/>
    <cellStyle name="Normal 5 5 2 5 3" xfId="6080" xr:uid="{F2607FB8-108E-4723-B2F9-4EAD794057F5}"/>
    <cellStyle name="Normal 5 5 2 6" xfId="2607" xr:uid="{A2E2431A-E99A-451F-BAE8-9AC6505DA081}"/>
    <cellStyle name="Normal 5 5 2 6 2" xfId="4423" xr:uid="{176023BF-332E-448B-AC2C-AF86755683F1}"/>
    <cellStyle name="Normal 5 5 2 6 2 2" xfId="8638" xr:uid="{8C28FC7C-1934-453B-8F83-9BCF3ADD280A}"/>
    <cellStyle name="Normal 5 5 2 6 3" xfId="6493" xr:uid="{E57195D0-927A-4667-B8C7-541B1948067E}"/>
    <cellStyle name="Normal 5 5 2 7" xfId="3043" xr:uid="{2479D7E6-13F5-45C1-B73C-04F91B3BAF8F}"/>
    <cellStyle name="Normal 5 5 2 7 2" xfId="6906" xr:uid="{F572D5F3-3033-454F-B14B-FECC50CDDBA4}"/>
    <cellStyle name="Normal 5 5 2 8" xfId="4841" xr:uid="{8831C233-9C01-44BA-9DC1-2BD398287E6D}"/>
    <cellStyle name="Normal 5 5 3" xfId="470" xr:uid="{00000000-0005-0000-0000-00004A030000}"/>
    <cellStyle name="Normal 5 5 3 2" xfId="949" xr:uid="{00000000-0005-0000-0000-00004B030000}"/>
    <cellStyle name="Normal 5 5 3 2 2" xfId="1781" xr:uid="{1576F94D-7F9A-49DE-A585-003BC4CE6CF6}"/>
    <cellStyle name="Normal 5 5 3 2 2 2" xfId="7401" xr:uid="{0844B144-7083-4962-A57D-E943D3368ECF}"/>
    <cellStyle name="Normal 5 5 3 2 3" xfId="5256" xr:uid="{614F8628-4963-4266-94F1-DEB34E0FEFCB}"/>
    <cellStyle name="Normal 5 5 3 3" xfId="1365" xr:uid="{92FF0E92-DAD2-4850-A330-D8AD4E0958E4}"/>
    <cellStyle name="Normal 5 5 3 3 2" xfId="3599" xr:uid="{B7F56103-F012-4861-BDE1-8C1097F9A85A}"/>
    <cellStyle name="Normal 5 5 3 3 2 2" xfId="7814" xr:uid="{B04099FF-1381-4238-98E6-0DF2DE6CDCD0}"/>
    <cellStyle name="Normal 5 5 3 3 3" xfId="5669" xr:uid="{5CC113EF-DCF8-44B9-9B48-0693DFA64359}"/>
    <cellStyle name="Normal 5 5 3 4" xfId="2196" xr:uid="{F01FF6FD-3D1A-4BA9-A243-91755A098752}"/>
    <cellStyle name="Normal 5 5 3 4 2" xfId="4012" xr:uid="{49C4522A-C126-47C9-B493-A04227F914EC}"/>
    <cellStyle name="Normal 5 5 3 4 2 2" xfId="8227" xr:uid="{9FA3A40E-AD6E-4339-B487-BA0EB280BE0A}"/>
    <cellStyle name="Normal 5 5 3 4 3" xfId="6082" xr:uid="{02401B64-ADE7-49A4-837B-B50CB3AEEE2C}"/>
    <cellStyle name="Normal 5 5 3 5" xfId="2609" xr:uid="{316F158B-55A0-47C6-9ED7-3346F737A872}"/>
    <cellStyle name="Normal 5 5 3 5 2" xfId="4425" xr:uid="{CCE6B615-9143-4227-8754-79F5DCF36A2B}"/>
    <cellStyle name="Normal 5 5 3 5 2 2" xfId="8640" xr:uid="{7366F2B1-2BEA-4352-B8A4-62636802D4E9}"/>
    <cellStyle name="Normal 5 5 3 5 3" xfId="6495" xr:uid="{A12A9CD1-3EE4-4590-8559-4BD83A5934A8}"/>
    <cellStyle name="Normal 5 5 3 6" xfId="3045" xr:uid="{4172C3D0-FF35-49B0-B0B8-FA1A2B7EA155}"/>
    <cellStyle name="Normal 5 5 3 6 2" xfId="6908" xr:uid="{3AC2D7F6-9DBB-47A8-829C-50A0536DD8AA}"/>
    <cellStyle name="Normal 5 5 3 7" xfId="4843" xr:uid="{5428E7E6-93E8-49D7-BE77-91BCB0FB3B31}"/>
    <cellStyle name="Normal 5 5 4" xfId="946" xr:uid="{00000000-0005-0000-0000-00004C030000}"/>
    <cellStyle name="Normal 5 5 4 2" xfId="1778" xr:uid="{7AED65C0-C2E2-4FA8-BBD7-F225ED5AAFF9}"/>
    <cellStyle name="Normal 5 5 4 2 2" xfId="7398" xr:uid="{3FD8E5E0-9671-497C-903A-D03CEAE91217}"/>
    <cellStyle name="Normal 5 5 4 3" xfId="5253" xr:uid="{4AC606B3-18DA-46E1-ADC5-27082935D2A5}"/>
    <cellStyle name="Normal 5 5 5" xfId="1362" xr:uid="{A81E3A62-29E4-4585-BA0A-AB96C5216534}"/>
    <cellStyle name="Normal 5 5 5 2" xfId="3596" xr:uid="{39827CC0-CC5D-444A-8754-F78C13ABF603}"/>
    <cellStyle name="Normal 5 5 5 2 2" xfId="7811" xr:uid="{0FBD4145-0F8E-43E8-A4B9-3B14407DA9E1}"/>
    <cellStyle name="Normal 5 5 5 3" xfId="5666" xr:uid="{6A9C1D6A-7A7F-464C-A026-B31C4150099C}"/>
    <cellStyle name="Normal 5 5 6" xfId="2193" xr:uid="{A4A1B9C0-5789-40E4-AC02-2605EEFD5D3C}"/>
    <cellStyle name="Normal 5 5 6 2" xfId="4009" xr:uid="{5F520D0F-31BC-49E6-BF6B-BA44244EC7BC}"/>
    <cellStyle name="Normal 5 5 6 2 2" xfId="8224" xr:uid="{1E26FBF5-E939-4667-84D0-D7C8020044D1}"/>
    <cellStyle name="Normal 5 5 6 3" xfId="6079" xr:uid="{F6D0D542-BDE3-4FD3-9129-318C8C4679B6}"/>
    <cellStyle name="Normal 5 5 7" xfId="2606" xr:uid="{0399F0FE-F221-40FE-BD0D-D906936A2FE5}"/>
    <cellStyle name="Normal 5 5 7 2" xfId="4422" xr:uid="{97753914-F12C-4BFC-B388-0D73B410F9F2}"/>
    <cellStyle name="Normal 5 5 7 2 2" xfId="8637" xr:uid="{042656F7-7DC0-4DD7-9157-2A4793AFEF7A}"/>
    <cellStyle name="Normal 5 5 7 3" xfId="6492" xr:uid="{BE68D15E-8BE2-4CA8-92EE-9EBA4A899289}"/>
    <cellStyle name="Normal 5 5 8" xfId="3042" xr:uid="{8FFD38EB-B1C3-4BEE-8D91-76E1E333C1D6}"/>
    <cellStyle name="Normal 5 5 8 2" xfId="6905" xr:uid="{92507ABF-6089-41E5-B7EB-A2D99D61C41B}"/>
    <cellStyle name="Normal 5 5 9" xfId="4840" xr:uid="{A295E566-123C-4F69-97E2-C2525E9DC074}"/>
    <cellStyle name="Normal 5 6" xfId="471" xr:uid="{00000000-0005-0000-0000-00004D030000}"/>
    <cellStyle name="Normal 5 6 2" xfId="472" xr:uid="{00000000-0005-0000-0000-00004E030000}"/>
    <cellStyle name="Normal 5 6 2 2" xfId="951" xr:uid="{00000000-0005-0000-0000-00004F030000}"/>
    <cellStyle name="Normal 5 6 2 2 2" xfId="1783" xr:uid="{CFC2B37B-5A53-46C0-813F-14AEA509992B}"/>
    <cellStyle name="Normal 5 6 2 2 2 2" xfId="7403" xr:uid="{D63C9243-6A4B-4EF6-BB93-FB4F19DB7B2F}"/>
    <cellStyle name="Normal 5 6 2 2 3" xfId="5258" xr:uid="{B1805EF8-0A3B-45E0-84D5-D073E81F31D9}"/>
    <cellStyle name="Normal 5 6 2 3" xfId="1367" xr:uid="{EF215DE3-6EA9-40C6-92C6-DB7BC3540C70}"/>
    <cellStyle name="Normal 5 6 2 3 2" xfId="3601" xr:uid="{F98FE3DB-73C3-4921-95E1-20DA738706C4}"/>
    <cellStyle name="Normal 5 6 2 3 2 2" xfId="7816" xr:uid="{5BCDEF15-8599-4157-9631-2698507B7501}"/>
    <cellStyle name="Normal 5 6 2 3 3" xfId="5671" xr:uid="{EEEB38C1-4AC9-4725-A683-16389D06DD59}"/>
    <cellStyle name="Normal 5 6 2 4" xfId="2198" xr:uid="{3B88AD09-DC90-457E-B93E-76AA3CFBDD19}"/>
    <cellStyle name="Normal 5 6 2 4 2" xfId="4014" xr:uid="{026911E3-2716-4D37-9187-952F85830954}"/>
    <cellStyle name="Normal 5 6 2 4 2 2" xfId="8229" xr:uid="{71F417DA-32F6-4A18-9C98-D5561EAE86CF}"/>
    <cellStyle name="Normal 5 6 2 4 3" xfId="6084" xr:uid="{FAEA0825-23D9-4FAB-978A-CA42590BD66C}"/>
    <cellStyle name="Normal 5 6 2 5" xfId="2611" xr:uid="{0C51AF20-EC87-40EA-828D-105AA951EAF2}"/>
    <cellStyle name="Normal 5 6 2 5 2" xfId="4427" xr:uid="{C56E075A-4A23-4372-BE1C-13EDD4EB5A01}"/>
    <cellStyle name="Normal 5 6 2 5 2 2" xfId="8642" xr:uid="{7BFC95DE-A030-4D79-8BF9-18CAFB68449C}"/>
    <cellStyle name="Normal 5 6 2 5 3" xfId="6497" xr:uid="{06C6D495-E5C5-4B78-AE84-814A40BD4968}"/>
    <cellStyle name="Normal 5 6 2 6" xfId="3047" xr:uid="{64CB4CA4-6DBB-41A4-B278-D577BA5B55B4}"/>
    <cellStyle name="Normal 5 6 2 6 2" xfId="6910" xr:uid="{DFD9D6F7-000C-479E-BB4A-90FD5F6C7BF6}"/>
    <cellStyle name="Normal 5 6 2 7" xfId="4845" xr:uid="{29FDEE51-C8E3-4C46-9EFC-644ACFE3DFE0}"/>
    <cellStyle name="Normal 5 6 3" xfId="950" xr:uid="{00000000-0005-0000-0000-000050030000}"/>
    <cellStyle name="Normal 5 6 3 2" xfId="1782" xr:uid="{2D745D72-661F-4000-BE90-69123FF1CD9F}"/>
    <cellStyle name="Normal 5 6 3 2 2" xfId="7402" xr:uid="{09ACBC40-7A4C-4691-B478-D746CD6C6195}"/>
    <cellStyle name="Normal 5 6 3 3" xfId="5257" xr:uid="{F0D50269-5F91-47F9-8D11-B159ED64D452}"/>
    <cellStyle name="Normal 5 6 4" xfId="1366" xr:uid="{17D51297-A57A-43FF-9C55-0164AEEDDCAE}"/>
    <cellStyle name="Normal 5 6 4 2" xfId="3600" xr:uid="{3F4D4911-7CC0-4337-8678-9A6601BBB284}"/>
    <cellStyle name="Normal 5 6 4 2 2" xfId="7815" xr:uid="{940C9A09-2F4E-4FB7-9AE3-A6C6A187FD62}"/>
    <cellStyle name="Normal 5 6 4 3" xfId="5670" xr:uid="{C482D6BE-986B-44F6-96D6-57BFE007FCE6}"/>
    <cellStyle name="Normal 5 6 5" xfId="2197" xr:uid="{5D65F6E4-E4C0-4185-B641-CF05318BB59C}"/>
    <cellStyle name="Normal 5 6 5 2" xfId="4013" xr:uid="{5D2EB4DF-F54D-4932-8593-AEA4CE183C77}"/>
    <cellStyle name="Normal 5 6 5 2 2" xfId="8228" xr:uid="{883B46D3-7417-453A-8033-910EDE59B3C9}"/>
    <cellStyle name="Normal 5 6 5 3" xfId="6083" xr:uid="{2011F5F7-D929-4A62-AF4A-DC9BAC2AFCD7}"/>
    <cellStyle name="Normal 5 6 6" xfId="2610" xr:uid="{DF8F4DE2-D7C5-49DB-8B9E-0467E46BF919}"/>
    <cellStyle name="Normal 5 6 6 2" xfId="4426" xr:uid="{72E0973C-A1FF-4ACF-A698-75975B949B10}"/>
    <cellStyle name="Normal 5 6 6 2 2" xfId="8641" xr:uid="{BE507658-3959-429C-9CA8-C757BCFEDDB1}"/>
    <cellStyle name="Normal 5 6 6 3" xfId="6496" xr:uid="{F67B732A-93F1-445E-8E76-4ED0345B2ADE}"/>
    <cellStyle name="Normal 5 6 7" xfId="3046" xr:uid="{27D7EBF2-AA14-4819-BFAD-D622B271A354}"/>
    <cellStyle name="Normal 5 6 7 2" xfId="6909" xr:uid="{A5BC3B7B-E78F-4559-8840-88D17B818709}"/>
    <cellStyle name="Normal 5 6 8" xfId="4844" xr:uid="{DCA9830C-84F9-4DD4-82F2-A496FACC0891}"/>
    <cellStyle name="Normal 5 7" xfId="473" xr:uid="{00000000-0005-0000-0000-000051030000}"/>
    <cellStyle name="Normal 5 7 2" xfId="952" xr:uid="{00000000-0005-0000-0000-000052030000}"/>
    <cellStyle name="Normal 5 7 2 2" xfId="1784" xr:uid="{19BC4FAA-F0F5-41FA-9BD0-D0FA42CD04D9}"/>
    <cellStyle name="Normal 5 7 2 2 2" xfId="7404" xr:uid="{C25A374B-254A-4D2B-AEE3-2CD36D2BFA98}"/>
    <cellStyle name="Normal 5 7 2 3" xfId="5259" xr:uid="{CA5E8718-7AD8-4C2B-8FC4-FCF2E4BA3F1E}"/>
    <cellStyle name="Normal 5 7 3" xfId="1368" xr:uid="{162B7217-6EB1-446E-B159-C2DA19B6C87F}"/>
    <cellStyle name="Normal 5 7 3 2" xfId="3602" xr:uid="{8228B909-D916-40B1-A085-C534A18FB8CE}"/>
    <cellStyle name="Normal 5 7 3 2 2" xfId="7817" xr:uid="{6D2D3063-DBA4-4EA9-AA1C-3BE8BFDC4563}"/>
    <cellStyle name="Normal 5 7 3 3" xfId="5672" xr:uid="{7D25DB6C-1B9D-441D-A793-00604F1495CE}"/>
    <cellStyle name="Normal 5 7 4" xfId="2199" xr:uid="{C7606ACC-2858-47B6-8252-626DE90925C8}"/>
    <cellStyle name="Normal 5 7 4 2" xfId="4015" xr:uid="{40D22EEB-1725-44A5-BDA5-8F029F125D04}"/>
    <cellStyle name="Normal 5 7 4 2 2" xfId="8230" xr:uid="{9EA4557A-FF0B-4E36-9085-231AFCC96995}"/>
    <cellStyle name="Normal 5 7 4 3" xfId="6085" xr:uid="{78A067F8-EEFA-4993-9077-930EDA109F33}"/>
    <cellStyle name="Normal 5 7 5" xfId="2612" xr:uid="{CB846538-DE64-4F13-B4AB-8581C8268F1A}"/>
    <cellStyle name="Normal 5 7 5 2" xfId="4428" xr:uid="{799E9FB6-12E2-4E99-91EE-2DC8B5302C65}"/>
    <cellStyle name="Normal 5 7 5 2 2" xfId="8643" xr:uid="{37B5F4C3-E7D2-4676-A13A-89937BD8ADA7}"/>
    <cellStyle name="Normal 5 7 5 3" xfId="6498" xr:uid="{A6F58168-4452-45E4-B692-547C4DFE305A}"/>
    <cellStyle name="Normal 5 7 6" xfId="3048" xr:uid="{3D0F102B-E304-41B3-9A35-77A4A0BD03EA}"/>
    <cellStyle name="Normal 5 7 6 2" xfId="6911" xr:uid="{CE65A8CD-E4FD-4828-95E0-B173ADC42924}"/>
    <cellStyle name="Normal 5 7 7" xfId="4846" xr:uid="{34A91A51-D9B4-4105-90D5-C66E036E2A95}"/>
    <cellStyle name="Normal 5 8" xfId="888" xr:uid="{00000000-0005-0000-0000-000053030000}"/>
    <cellStyle name="Normal 5 8 2" xfId="1721" xr:uid="{FAEAE91A-CA7F-4314-A9DB-6740509E9CD9}"/>
    <cellStyle name="Normal 5 8 2 2" xfId="7341" xr:uid="{9EA37FD1-1E60-4A2E-8A8B-51C77E238C8E}"/>
    <cellStyle name="Normal 5 8 3" xfId="5196" xr:uid="{F218C8CF-2465-4B80-AE0B-94D0775ED02F}"/>
    <cellStyle name="Normal 5 9" xfId="1305" xr:uid="{81285D98-1154-4A4C-BF02-7915EE5A6E35}"/>
    <cellStyle name="Normal 5 9 2" xfId="3539" xr:uid="{D9313FB3-BE57-42CF-8CD3-08EB65C8907C}"/>
    <cellStyle name="Normal 5 9 2 2" xfId="7754" xr:uid="{1F14E3D5-0C96-45CF-B1EA-20B328632364}"/>
    <cellStyle name="Normal 5 9 3" xfId="5609" xr:uid="{E4D50BF1-C03D-44BF-8278-EA0554244C91}"/>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2613" xr:uid="{B198E5E6-EFAB-47E7-9365-E8F726A3ED09}"/>
    <cellStyle name="Normal 8 10 2" xfId="4429" xr:uid="{9F6BC57F-D410-4F3D-8D22-F58C192837BA}"/>
    <cellStyle name="Normal 8 10 2 2" xfId="8644" xr:uid="{8A02B20A-B640-464C-9786-7D2D26894AA6}"/>
    <cellStyle name="Normal 8 10 3" xfId="6499" xr:uid="{70D796EF-7DB8-40F9-A569-8A7C33E42DB3}"/>
    <cellStyle name="Normal 8 11" xfId="3049" xr:uid="{C4C031DF-0745-4477-92FB-B146F7370FE4}"/>
    <cellStyle name="Normal 8 11 2" xfId="6912" xr:uid="{B1F875B9-90B1-4A1E-91DE-451A1C38156F}"/>
    <cellStyle name="Normal 8 12" xfId="4847" xr:uid="{0B1626EB-FE14-4DC5-AD46-80546E2A2CDE}"/>
    <cellStyle name="Normal 8 2" xfId="482" xr:uid="{00000000-0005-0000-0000-00005C030000}"/>
    <cellStyle name="Normal 8 2 10" xfId="3050" xr:uid="{5350B3F0-D2A0-4A76-8B64-7AE935192CFF}"/>
    <cellStyle name="Normal 8 2 10 2" xfId="6913" xr:uid="{A716C7B1-72D2-4596-86CB-7FCE64B1CADB}"/>
    <cellStyle name="Normal 8 2 11" xfId="4848" xr:uid="{7C2873D6-9431-429F-9E52-50993C2F9276}"/>
    <cellStyle name="Normal 8 2 2" xfId="483" xr:uid="{00000000-0005-0000-0000-00005D030000}"/>
    <cellStyle name="Normal 8 2 2 10" xfId="4849" xr:uid="{FEF76599-11EE-4771-97EB-CD1CE64F8D9F}"/>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0" xr:uid="{1FF56E7A-591E-46D7-8A50-D57C295FDD77}"/>
    <cellStyle name="Normal 8 2 2 2 2 2 2 2 2" xfId="7410" xr:uid="{5BCEABF0-DF11-4AE2-A360-CB5615A5C5F1}"/>
    <cellStyle name="Normal 8 2 2 2 2 2 2 3" xfId="5265" xr:uid="{EEC4E9A9-F671-42F2-BC84-B3D68554750F}"/>
    <cellStyle name="Normal 8 2 2 2 2 2 3" xfId="1374" xr:uid="{632D6846-9537-4177-B201-9552962862BE}"/>
    <cellStyle name="Normal 8 2 2 2 2 2 3 2" xfId="3608" xr:uid="{4DA1E78D-1929-46F6-8155-D76767095FA3}"/>
    <cellStyle name="Normal 8 2 2 2 2 2 3 2 2" xfId="7823" xr:uid="{D56CB2EA-9E6B-4999-A2F0-E151EA76B014}"/>
    <cellStyle name="Normal 8 2 2 2 2 2 3 3" xfId="5678" xr:uid="{36AD5A42-DFAA-47A0-9697-18FEFB5A36ED}"/>
    <cellStyle name="Normal 8 2 2 2 2 2 4" xfId="2205" xr:uid="{C3845B2F-AF67-4CF4-9E8D-977ECDBCEA40}"/>
    <cellStyle name="Normal 8 2 2 2 2 2 4 2" xfId="4021" xr:uid="{AA88056E-78D0-4F83-A200-990D7C600204}"/>
    <cellStyle name="Normal 8 2 2 2 2 2 4 2 2" xfId="8236" xr:uid="{05E1EA29-1394-490A-9D65-343515874DE9}"/>
    <cellStyle name="Normal 8 2 2 2 2 2 4 3" xfId="6091" xr:uid="{6A0625CF-93AC-414B-A260-39A2871B08C2}"/>
    <cellStyle name="Normal 8 2 2 2 2 2 5" xfId="2618" xr:uid="{4BB208E5-2CF6-4BCD-B0F2-A1B7781F67EC}"/>
    <cellStyle name="Normal 8 2 2 2 2 2 5 2" xfId="4434" xr:uid="{FE6E9D85-78E7-4711-860D-DB71CEDCAEB5}"/>
    <cellStyle name="Normal 8 2 2 2 2 2 5 2 2" xfId="8649" xr:uid="{D0B89066-52DD-4425-9EA0-D41345C8CAC6}"/>
    <cellStyle name="Normal 8 2 2 2 2 2 5 3" xfId="6504" xr:uid="{45B5C528-E0DC-47A3-9D8B-46ECC5CE9F47}"/>
    <cellStyle name="Normal 8 2 2 2 2 2 6" xfId="3054" xr:uid="{2DDA41E5-2D67-419B-9FE6-54C018BFAF2D}"/>
    <cellStyle name="Normal 8 2 2 2 2 2 6 2" xfId="6917" xr:uid="{DA3A5036-0B3D-40D1-9EF6-D02CA14202A2}"/>
    <cellStyle name="Normal 8 2 2 2 2 2 7" xfId="4852" xr:uid="{1DDF433C-E6AD-4796-A632-B300D4FCB8EA}"/>
    <cellStyle name="Normal 8 2 2 2 2 3" xfId="957" xr:uid="{00000000-0005-0000-0000-000062030000}"/>
    <cellStyle name="Normal 8 2 2 2 2 3 2" xfId="1789" xr:uid="{1D713D22-FB3B-4465-B217-B33B9E576ABB}"/>
    <cellStyle name="Normal 8 2 2 2 2 3 2 2" xfId="7409" xr:uid="{C92E67FF-2D3D-488B-8ECC-2BD4010150FC}"/>
    <cellStyle name="Normal 8 2 2 2 2 3 3" xfId="5264" xr:uid="{5DF3CE0F-6564-435C-8A45-9DC7020557BF}"/>
    <cellStyle name="Normal 8 2 2 2 2 4" xfId="1373" xr:uid="{8812995C-BC23-40B3-A810-167DD950F820}"/>
    <cellStyle name="Normal 8 2 2 2 2 4 2" xfId="3607" xr:uid="{266AEE4E-1F4F-4C75-AD1F-AA039409B27F}"/>
    <cellStyle name="Normal 8 2 2 2 2 4 2 2" xfId="7822" xr:uid="{77E15FCD-9B46-49E0-BDDD-BF6A62D52185}"/>
    <cellStyle name="Normal 8 2 2 2 2 4 3" xfId="5677" xr:uid="{41B969DC-68D9-46F9-AC9C-0B85BBDE9A3F}"/>
    <cellStyle name="Normal 8 2 2 2 2 5" xfId="2204" xr:uid="{D106B4D7-4A3D-41BB-8E9F-6C6D55BE0A07}"/>
    <cellStyle name="Normal 8 2 2 2 2 5 2" xfId="4020" xr:uid="{07F1705E-C53B-4BD5-8542-D3F55D9AC8F7}"/>
    <cellStyle name="Normal 8 2 2 2 2 5 2 2" xfId="8235" xr:uid="{03509D40-FEA7-4977-93B7-8207815C53F8}"/>
    <cellStyle name="Normal 8 2 2 2 2 5 3" xfId="6090" xr:uid="{E2E7AAED-D270-40AA-B28D-F40B4B8CF74A}"/>
    <cellStyle name="Normal 8 2 2 2 2 6" xfId="2617" xr:uid="{CD8B9BDF-3CBB-4F6C-8A13-D5A5E4C17E66}"/>
    <cellStyle name="Normal 8 2 2 2 2 6 2" xfId="4433" xr:uid="{7C783F96-F322-4F2A-AD41-42F2CDF6E775}"/>
    <cellStyle name="Normal 8 2 2 2 2 6 2 2" xfId="8648" xr:uid="{A6F0530D-7455-4337-B065-E664B942E3FD}"/>
    <cellStyle name="Normal 8 2 2 2 2 6 3" xfId="6503" xr:uid="{32F2BF5E-AFF9-4BCC-8973-408ED7C5BD83}"/>
    <cellStyle name="Normal 8 2 2 2 2 7" xfId="3053" xr:uid="{2688B4A7-4F49-4E73-8162-15E50AEEEC25}"/>
    <cellStyle name="Normal 8 2 2 2 2 7 2" xfId="6916" xr:uid="{E6E00C16-B95B-4F7A-A251-69D1888A5970}"/>
    <cellStyle name="Normal 8 2 2 2 2 8" xfId="4851" xr:uid="{3FD42C12-66AE-47F1-8E04-5E9F95052C03}"/>
    <cellStyle name="Normal 8 2 2 2 3" xfId="487" xr:uid="{00000000-0005-0000-0000-000063030000}"/>
    <cellStyle name="Normal 8 2 2 2 3 2" xfId="959" xr:uid="{00000000-0005-0000-0000-000064030000}"/>
    <cellStyle name="Normal 8 2 2 2 3 2 2" xfId="1791" xr:uid="{5CD28EB3-7363-4BEB-B46B-6EB12E99F1D4}"/>
    <cellStyle name="Normal 8 2 2 2 3 2 2 2" xfId="7411" xr:uid="{378E91B2-7F67-4D01-9126-798C4878EA3F}"/>
    <cellStyle name="Normal 8 2 2 2 3 2 3" xfId="5266" xr:uid="{9C104BB0-8289-497D-B7EF-0FC4A4EB7754}"/>
    <cellStyle name="Normal 8 2 2 2 3 3" xfId="1375" xr:uid="{49C6D539-91BF-450A-8942-D122F17D12EA}"/>
    <cellStyle name="Normal 8 2 2 2 3 3 2" xfId="3609" xr:uid="{7679519E-F07B-449F-B637-54E6F6C70617}"/>
    <cellStyle name="Normal 8 2 2 2 3 3 2 2" xfId="7824" xr:uid="{73A0A1DA-EA6E-4139-873C-C8781B0C7C73}"/>
    <cellStyle name="Normal 8 2 2 2 3 3 3" xfId="5679" xr:uid="{5D625716-9278-4C31-AC8F-2A060DFAAB47}"/>
    <cellStyle name="Normal 8 2 2 2 3 4" xfId="2206" xr:uid="{15DD1166-273A-48F5-A6D6-768C51FC3C46}"/>
    <cellStyle name="Normal 8 2 2 2 3 4 2" xfId="4022" xr:uid="{3ADE0481-D52E-408E-97A4-257E06EF38CE}"/>
    <cellStyle name="Normal 8 2 2 2 3 4 2 2" xfId="8237" xr:uid="{F9B01D96-F8FA-478E-AEF8-6DF34787E8F3}"/>
    <cellStyle name="Normal 8 2 2 2 3 4 3" xfId="6092" xr:uid="{E9DB942D-4D8A-4048-9B71-2AFB863905F0}"/>
    <cellStyle name="Normal 8 2 2 2 3 5" xfId="2619" xr:uid="{68927057-7070-44E9-AF70-6590DDC13730}"/>
    <cellStyle name="Normal 8 2 2 2 3 5 2" xfId="4435" xr:uid="{B655043E-99B4-41AF-9975-04E4FB9C4C57}"/>
    <cellStyle name="Normal 8 2 2 2 3 5 2 2" xfId="8650" xr:uid="{F663EB92-D20E-4E00-804E-F84284ED73C4}"/>
    <cellStyle name="Normal 8 2 2 2 3 5 3" xfId="6505" xr:uid="{4850CD47-8665-4284-8A32-7D37ACD8BA95}"/>
    <cellStyle name="Normal 8 2 2 2 3 6" xfId="3055" xr:uid="{AFB1EE11-8774-4D2E-B878-715537966714}"/>
    <cellStyle name="Normal 8 2 2 2 3 6 2" xfId="6918" xr:uid="{97E0B2C4-4CD4-48E9-A12C-784546F79BAD}"/>
    <cellStyle name="Normal 8 2 2 2 3 7" xfId="4853" xr:uid="{0093C97B-D4F1-49B7-A201-46DBF287E90E}"/>
    <cellStyle name="Normal 8 2 2 2 4" xfId="956" xr:uid="{00000000-0005-0000-0000-000065030000}"/>
    <cellStyle name="Normal 8 2 2 2 4 2" xfId="1788" xr:uid="{323EFD21-5649-48E1-9458-34B935AB4C39}"/>
    <cellStyle name="Normal 8 2 2 2 4 2 2" xfId="7408" xr:uid="{08DEB5EA-600B-4483-B2FD-377638372282}"/>
    <cellStyle name="Normal 8 2 2 2 4 3" xfId="5263" xr:uid="{AE4B4F7C-B126-4BB4-9EB7-C9D7E00730E7}"/>
    <cellStyle name="Normal 8 2 2 2 5" xfId="1372" xr:uid="{24D6E58C-B297-4CC0-9F5E-E2508A22D33C}"/>
    <cellStyle name="Normal 8 2 2 2 5 2" xfId="3606" xr:uid="{A6168AEC-3107-41BE-99C3-A8D0EF45454A}"/>
    <cellStyle name="Normal 8 2 2 2 5 2 2" xfId="7821" xr:uid="{C3B2D94F-6AA5-49B0-AE8E-15A321766D5A}"/>
    <cellStyle name="Normal 8 2 2 2 5 3" xfId="5676" xr:uid="{82C80F7A-4C73-4075-AD55-5688B15D2096}"/>
    <cellStyle name="Normal 8 2 2 2 6" xfId="2203" xr:uid="{D0FB746B-8881-4880-A066-095BD438CA39}"/>
    <cellStyle name="Normal 8 2 2 2 6 2" xfId="4019" xr:uid="{35131BE2-4AFF-455C-84E1-ECD70F9C7906}"/>
    <cellStyle name="Normal 8 2 2 2 6 2 2" xfId="8234" xr:uid="{B0B2CAD5-37C2-466D-8CFF-47546E2AF604}"/>
    <cellStyle name="Normal 8 2 2 2 6 3" xfId="6089" xr:uid="{CB581331-DC2E-4D50-9F2B-B89DA152F75E}"/>
    <cellStyle name="Normal 8 2 2 2 7" xfId="2616" xr:uid="{BE0344F2-20FC-4BF9-94B4-0E01F68C19EA}"/>
    <cellStyle name="Normal 8 2 2 2 7 2" xfId="4432" xr:uid="{E1BD68E2-2948-4121-A4CD-C6621FED4C87}"/>
    <cellStyle name="Normal 8 2 2 2 7 2 2" xfId="8647" xr:uid="{658540CE-85E4-4D55-8BD0-EFBAF0732E40}"/>
    <cellStyle name="Normal 8 2 2 2 7 3" xfId="6502" xr:uid="{1EA38A28-5FA5-4C6B-9714-AAB17829F78C}"/>
    <cellStyle name="Normal 8 2 2 2 8" xfId="3052" xr:uid="{B82CF549-E8A8-466D-AE4D-00E0CD4F7043}"/>
    <cellStyle name="Normal 8 2 2 2 8 2" xfId="6915" xr:uid="{C07316A2-107C-445E-9656-1DCAD4287914}"/>
    <cellStyle name="Normal 8 2 2 2 9" xfId="4850" xr:uid="{B1890109-4161-4515-9404-0891088CBD52}"/>
    <cellStyle name="Normal 8 2 2 3" xfId="488" xr:uid="{00000000-0005-0000-0000-000066030000}"/>
    <cellStyle name="Normal 8 2 2 3 2" xfId="489" xr:uid="{00000000-0005-0000-0000-000067030000}"/>
    <cellStyle name="Normal 8 2 2 3 2 2" xfId="961" xr:uid="{00000000-0005-0000-0000-000068030000}"/>
    <cellStyle name="Normal 8 2 2 3 2 2 2" xfId="1793" xr:uid="{536E52CF-FFDB-4829-BE16-9B87F47556E2}"/>
    <cellStyle name="Normal 8 2 2 3 2 2 2 2" xfId="7413" xr:uid="{EB9C25D1-B924-4E18-8B81-CE40D21CE4EE}"/>
    <cellStyle name="Normal 8 2 2 3 2 2 3" xfId="5268" xr:uid="{E49C820E-38BC-417E-AF11-84F66FF444C7}"/>
    <cellStyle name="Normal 8 2 2 3 2 3" xfId="1377" xr:uid="{91E0BEC2-D344-46C7-8AAD-A618658D1458}"/>
    <cellStyle name="Normal 8 2 2 3 2 3 2" xfId="3611" xr:uid="{84C13E34-0CD9-4FF4-9C1E-978471CBCBC7}"/>
    <cellStyle name="Normal 8 2 2 3 2 3 2 2" xfId="7826" xr:uid="{C3A00BBE-2B0C-43D8-9A86-40C2CF83F416}"/>
    <cellStyle name="Normal 8 2 2 3 2 3 3" xfId="5681" xr:uid="{0407E23F-6E73-403C-9853-F14988C34073}"/>
    <cellStyle name="Normal 8 2 2 3 2 4" xfId="2208" xr:uid="{A30BD1E5-07F6-40AC-8F76-FC642B9F8307}"/>
    <cellStyle name="Normal 8 2 2 3 2 4 2" xfId="4024" xr:uid="{9FE6BA33-386D-4FC9-8E8A-27732599FAA1}"/>
    <cellStyle name="Normal 8 2 2 3 2 4 2 2" xfId="8239" xr:uid="{786BE8A4-5B9B-4DBF-BFA7-9A76CB6536EE}"/>
    <cellStyle name="Normal 8 2 2 3 2 4 3" xfId="6094" xr:uid="{835D7A03-900E-4CE4-8448-658176C7F18A}"/>
    <cellStyle name="Normal 8 2 2 3 2 5" xfId="2621" xr:uid="{4B98D1B5-693F-4C12-8DB0-77685C74CAFA}"/>
    <cellStyle name="Normal 8 2 2 3 2 5 2" xfId="4437" xr:uid="{85AE46F7-C681-47CF-AD72-0A38C771454E}"/>
    <cellStyle name="Normal 8 2 2 3 2 5 2 2" xfId="8652" xr:uid="{003A89B0-0946-40A8-BA06-DA3D5B41AD21}"/>
    <cellStyle name="Normal 8 2 2 3 2 5 3" xfId="6507" xr:uid="{FDABEFB9-C7AF-4FDA-8FB4-98CF70A7346C}"/>
    <cellStyle name="Normal 8 2 2 3 2 6" xfId="3057" xr:uid="{62DEE35D-714D-4860-B693-36DA1D940291}"/>
    <cellStyle name="Normal 8 2 2 3 2 6 2" xfId="6920" xr:uid="{1C7A1961-E441-4397-A05A-61039ECE4AA2}"/>
    <cellStyle name="Normal 8 2 2 3 2 7" xfId="4855" xr:uid="{32E69413-75A1-48A9-9E46-465E05C745AD}"/>
    <cellStyle name="Normal 8 2 2 3 3" xfId="960" xr:uid="{00000000-0005-0000-0000-000069030000}"/>
    <cellStyle name="Normal 8 2 2 3 3 2" xfId="1792" xr:uid="{F8D38B62-219B-47C6-A3AF-502B0CBB2CA1}"/>
    <cellStyle name="Normal 8 2 2 3 3 2 2" xfId="7412" xr:uid="{545B0F34-4BAD-4FDF-A7EC-BB0C0A37951A}"/>
    <cellStyle name="Normal 8 2 2 3 3 3" xfId="5267" xr:uid="{4D462A47-6A81-487C-AE9A-80060E2C6E07}"/>
    <cellStyle name="Normal 8 2 2 3 4" xfId="1376" xr:uid="{5B13F3D2-20D7-417A-B2CA-30812E27CC0B}"/>
    <cellStyle name="Normal 8 2 2 3 4 2" xfId="3610" xr:uid="{6378F3C9-8383-4C1E-B8E9-DA4C812122AF}"/>
    <cellStyle name="Normal 8 2 2 3 4 2 2" xfId="7825" xr:uid="{C6DEB183-BEB4-4CE4-A816-4FE084AA25E3}"/>
    <cellStyle name="Normal 8 2 2 3 4 3" xfId="5680" xr:uid="{990CE19C-E6D2-4B21-B876-1A397858D180}"/>
    <cellStyle name="Normal 8 2 2 3 5" xfId="2207" xr:uid="{F275A1D8-D7E0-467E-BC38-5E123064EA1C}"/>
    <cellStyle name="Normal 8 2 2 3 5 2" xfId="4023" xr:uid="{6C99A9A5-0DC1-462E-BD1D-E939774EA7F9}"/>
    <cellStyle name="Normal 8 2 2 3 5 2 2" xfId="8238" xr:uid="{2DE79995-CB27-481B-9441-FF70959F1583}"/>
    <cellStyle name="Normal 8 2 2 3 5 3" xfId="6093" xr:uid="{67709418-5601-41CF-980C-4A885836AE8B}"/>
    <cellStyle name="Normal 8 2 2 3 6" xfId="2620" xr:uid="{5C73929D-3E60-453B-8D2A-403FF8139C2B}"/>
    <cellStyle name="Normal 8 2 2 3 6 2" xfId="4436" xr:uid="{2AD39D6F-915E-4E0C-99F9-EFC4EF1CD5BB}"/>
    <cellStyle name="Normal 8 2 2 3 6 2 2" xfId="8651" xr:uid="{8FAE278B-DA73-4612-B437-597720F992D1}"/>
    <cellStyle name="Normal 8 2 2 3 6 3" xfId="6506" xr:uid="{1D871AB1-0571-4050-8B8B-38D0A328D2A2}"/>
    <cellStyle name="Normal 8 2 2 3 7" xfId="3056" xr:uid="{F2C26D54-B685-460E-9EA0-B959BA939A2C}"/>
    <cellStyle name="Normal 8 2 2 3 7 2" xfId="6919" xr:uid="{6C0439C0-17AF-4F40-99B0-8D1C92D6863E}"/>
    <cellStyle name="Normal 8 2 2 3 8" xfId="4854" xr:uid="{6BF89911-83F5-4859-B22A-F3C6D99B496E}"/>
    <cellStyle name="Normal 8 2 2 4" xfId="490" xr:uid="{00000000-0005-0000-0000-00006A030000}"/>
    <cellStyle name="Normal 8 2 2 4 2" xfId="962" xr:uid="{00000000-0005-0000-0000-00006B030000}"/>
    <cellStyle name="Normal 8 2 2 4 2 2" xfId="1794" xr:uid="{029E3DA7-CDA2-4541-A805-86F0E33DB74E}"/>
    <cellStyle name="Normal 8 2 2 4 2 2 2" xfId="7414" xr:uid="{35A8566A-D9CD-4F53-8BDB-5DFF06201305}"/>
    <cellStyle name="Normal 8 2 2 4 2 3" xfId="5269" xr:uid="{A7BD5C5D-7812-46FF-8DC9-2AE22C63EDAA}"/>
    <cellStyle name="Normal 8 2 2 4 3" xfId="1378" xr:uid="{FDC011DE-D498-4BC4-BD27-BD8D9056B817}"/>
    <cellStyle name="Normal 8 2 2 4 3 2" xfId="3612" xr:uid="{ACA44629-E828-471D-9AD2-36F3C29D0098}"/>
    <cellStyle name="Normal 8 2 2 4 3 2 2" xfId="7827" xr:uid="{CBA1F67F-22F8-4898-9863-0814A07F84EF}"/>
    <cellStyle name="Normal 8 2 2 4 3 3" xfId="5682" xr:uid="{047FCA70-B4FA-4D8F-A788-5CA1D95BF7B6}"/>
    <cellStyle name="Normal 8 2 2 4 4" xfId="2209" xr:uid="{B40ACA90-308D-48B3-959D-8B7E9A3CD685}"/>
    <cellStyle name="Normal 8 2 2 4 4 2" xfId="4025" xr:uid="{DCB86DDA-E3A3-47CE-8F9E-CBD2EE81394C}"/>
    <cellStyle name="Normal 8 2 2 4 4 2 2" xfId="8240" xr:uid="{BC12BB5B-30B5-42C0-B00F-F103B7157347}"/>
    <cellStyle name="Normal 8 2 2 4 4 3" xfId="6095" xr:uid="{84C5B88D-D85F-42BF-9448-6784C961B837}"/>
    <cellStyle name="Normal 8 2 2 4 5" xfId="2622" xr:uid="{11A634B9-3D6D-4C10-940A-24C9B1824B6A}"/>
    <cellStyle name="Normal 8 2 2 4 5 2" xfId="4438" xr:uid="{E65C6500-8D17-4A43-B1BB-DF1018F19AE5}"/>
    <cellStyle name="Normal 8 2 2 4 5 2 2" xfId="8653" xr:uid="{8479BF69-3BC3-4363-902F-939094094F28}"/>
    <cellStyle name="Normal 8 2 2 4 5 3" xfId="6508" xr:uid="{C043A7E2-6FA8-4198-9B67-50CEA468C777}"/>
    <cellStyle name="Normal 8 2 2 4 6" xfId="3058" xr:uid="{0D2E5C99-083A-4278-A902-66741D16E11C}"/>
    <cellStyle name="Normal 8 2 2 4 6 2" xfId="6921" xr:uid="{3778F763-28D9-47F6-A58E-16D43C61984F}"/>
    <cellStyle name="Normal 8 2 2 4 7" xfId="4856" xr:uid="{A1CE67B0-C950-4BFA-8728-FD608661139F}"/>
    <cellStyle name="Normal 8 2 2 5" xfId="955" xr:uid="{00000000-0005-0000-0000-00006C030000}"/>
    <cellStyle name="Normal 8 2 2 5 2" xfId="1787" xr:uid="{4AEDDCD0-266F-4E3E-90C9-74AFF21BC86E}"/>
    <cellStyle name="Normal 8 2 2 5 2 2" xfId="7407" xr:uid="{843AF303-2EBE-491C-ABCF-9312F739AD44}"/>
    <cellStyle name="Normal 8 2 2 5 3" xfId="5262" xr:uid="{31E63534-EEF3-40FA-B413-35F43956605A}"/>
    <cellStyle name="Normal 8 2 2 6" xfId="1371" xr:uid="{4B1CC971-2335-4720-879F-B4888FD73861}"/>
    <cellStyle name="Normal 8 2 2 6 2" xfId="3605" xr:uid="{A414C3CA-4146-4AF6-908D-8751E77ACA40}"/>
    <cellStyle name="Normal 8 2 2 6 2 2" xfId="7820" xr:uid="{58057176-D9F9-4067-B199-8BB823C1ED9F}"/>
    <cellStyle name="Normal 8 2 2 6 3" xfId="5675" xr:uid="{4515E2A8-02CD-4663-8137-4C711123F5AA}"/>
    <cellStyle name="Normal 8 2 2 7" xfId="2202" xr:uid="{D165CEB4-3779-4F07-A9C1-3A8BD91A3FF2}"/>
    <cellStyle name="Normal 8 2 2 7 2" xfId="4018" xr:uid="{0CEAC028-6D7C-4BED-ADF4-42D2CE58EF43}"/>
    <cellStyle name="Normal 8 2 2 7 2 2" xfId="8233" xr:uid="{839D1513-4F4D-4748-BB72-89314C4058D7}"/>
    <cellStyle name="Normal 8 2 2 7 3" xfId="6088" xr:uid="{270F70B3-C5D3-49F3-BDBB-6034E0F75188}"/>
    <cellStyle name="Normal 8 2 2 8" xfId="2615" xr:uid="{2514E0C3-5EEF-439F-9498-3D00D0EE932F}"/>
    <cellStyle name="Normal 8 2 2 8 2" xfId="4431" xr:uid="{E8E14B6B-750C-4124-8181-7860B8794D64}"/>
    <cellStyle name="Normal 8 2 2 8 2 2" xfId="8646" xr:uid="{48823353-6BE5-48B8-A896-F43D64F14A56}"/>
    <cellStyle name="Normal 8 2 2 8 3" xfId="6501" xr:uid="{BA5D2330-5DC4-4609-9FEE-4E4B67990EC6}"/>
    <cellStyle name="Normal 8 2 2 9" xfId="3051" xr:uid="{5ADC616F-01F1-45F1-AB46-4BB59F0B7901}"/>
    <cellStyle name="Normal 8 2 2 9 2" xfId="6914" xr:uid="{A1FB8172-5742-4C06-8AC9-22DE8864480D}"/>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7" xr:uid="{A5E3EA31-A73B-40E9-9A13-9568DD9E3240}"/>
    <cellStyle name="Normal 8 2 3 2 2 2 2 2" xfId="7417" xr:uid="{D2822AFD-8FDC-40A3-B4D5-A6D36A392FE9}"/>
    <cellStyle name="Normal 8 2 3 2 2 2 3" xfId="5272" xr:uid="{795E697D-9897-46D2-A899-96797F2C9A36}"/>
    <cellStyle name="Normal 8 2 3 2 2 3" xfId="1381" xr:uid="{47DEC469-B414-4FE3-9E8E-E8DBCD105DC2}"/>
    <cellStyle name="Normal 8 2 3 2 2 3 2" xfId="3615" xr:uid="{2789D320-7F4F-446C-8C3A-B1D034F948CA}"/>
    <cellStyle name="Normal 8 2 3 2 2 3 2 2" xfId="7830" xr:uid="{00EC7B55-8C06-44FE-AF77-6179E9C85ED1}"/>
    <cellStyle name="Normal 8 2 3 2 2 3 3" xfId="5685" xr:uid="{1BD238E6-63BC-4E5B-BA8A-F1DD553B28D9}"/>
    <cellStyle name="Normal 8 2 3 2 2 4" xfId="2212" xr:uid="{4075281A-1BF1-4912-85E9-B8213D6596B3}"/>
    <cellStyle name="Normal 8 2 3 2 2 4 2" xfId="4028" xr:uid="{69DBA4B3-201A-49F0-A6A1-8BC995944732}"/>
    <cellStyle name="Normal 8 2 3 2 2 4 2 2" xfId="8243" xr:uid="{77C88443-4E88-4927-9489-FB6B874288D5}"/>
    <cellStyle name="Normal 8 2 3 2 2 4 3" xfId="6098" xr:uid="{BE857F2F-18FF-4FA3-922F-70342C55ABB0}"/>
    <cellStyle name="Normal 8 2 3 2 2 5" xfId="2625" xr:uid="{D000507C-916B-4B0E-B142-768F3CC56BC7}"/>
    <cellStyle name="Normal 8 2 3 2 2 5 2" xfId="4441" xr:uid="{438248D0-DFF6-430F-BFDF-3A7346B3DFB6}"/>
    <cellStyle name="Normal 8 2 3 2 2 5 2 2" xfId="8656" xr:uid="{0C5269B2-DD9A-4E0F-95E9-54C9A0D18D6C}"/>
    <cellStyle name="Normal 8 2 3 2 2 5 3" xfId="6511" xr:uid="{534753BF-EA50-4DA7-BD8D-9B8E75673265}"/>
    <cellStyle name="Normal 8 2 3 2 2 6" xfId="3061" xr:uid="{E267A1DA-10CD-4615-BC74-97ECDA0DAD33}"/>
    <cellStyle name="Normal 8 2 3 2 2 6 2" xfId="6924" xr:uid="{A0354D34-4FB1-4400-B43C-0F8E418A408F}"/>
    <cellStyle name="Normal 8 2 3 2 2 7" xfId="4859" xr:uid="{AB5570E1-3391-449B-8456-94EB188E84A0}"/>
    <cellStyle name="Normal 8 2 3 2 3" xfId="964" xr:uid="{00000000-0005-0000-0000-000071030000}"/>
    <cellStyle name="Normal 8 2 3 2 3 2" xfId="1796" xr:uid="{EACD5318-1BCA-42D9-9152-F4CAC2EA552D}"/>
    <cellStyle name="Normal 8 2 3 2 3 2 2" xfId="7416" xr:uid="{B1F0F11C-A68E-4F25-873C-2BD0F1015373}"/>
    <cellStyle name="Normal 8 2 3 2 3 3" xfId="5271" xr:uid="{710F1E10-3093-49A0-A971-D8B2F5F654F0}"/>
    <cellStyle name="Normal 8 2 3 2 4" xfId="1380" xr:uid="{8051F8D7-255D-4388-AE0A-6C0B60FBA420}"/>
    <cellStyle name="Normal 8 2 3 2 4 2" xfId="3614" xr:uid="{A8DB3A81-153C-47AC-8E96-B20F641A7DB2}"/>
    <cellStyle name="Normal 8 2 3 2 4 2 2" xfId="7829" xr:uid="{CF7EE08E-494F-4EEC-AC99-36A108FDA826}"/>
    <cellStyle name="Normal 8 2 3 2 4 3" xfId="5684" xr:uid="{ABD97216-4F82-4D56-B730-C2646F8BD050}"/>
    <cellStyle name="Normal 8 2 3 2 5" xfId="2211" xr:uid="{FA83C58F-F0F3-4020-8B34-4C411F59F815}"/>
    <cellStyle name="Normal 8 2 3 2 5 2" xfId="4027" xr:uid="{A3E60B32-1343-4172-B485-1F4B2C54DE1F}"/>
    <cellStyle name="Normal 8 2 3 2 5 2 2" xfId="8242" xr:uid="{D9392646-50D3-45AE-B9BC-003DA6300A15}"/>
    <cellStyle name="Normal 8 2 3 2 5 3" xfId="6097" xr:uid="{BD7CBA5D-0D71-445F-91F9-928897D98EAD}"/>
    <cellStyle name="Normal 8 2 3 2 6" xfId="2624" xr:uid="{23E2C68F-0D64-4E8C-9981-2FDB998EE75D}"/>
    <cellStyle name="Normal 8 2 3 2 6 2" xfId="4440" xr:uid="{3D6701F6-2041-4102-88FC-16CBCB34C82C}"/>
    <cellStyle name="Normal 8 2 3 2 6 2 2" xfId="8655" xr:uid="{E7F20304-AC08-4424-A28F-ADC376751BFF}"/>
    <cellStyle name="Normal 8 2 3 2 6 3" xfId="6510" xr:uid="{36EB457D-F801-4F60-ADC9-51CDE9A2FBA4}"/>
    <cellStyle name="Normal 8 2 3 2 7" xfId="3060" xr:uid="{1F842DE8-0ED1-408A-8F86-1ECD58B2FFA9}"/>
    <cellStyle name="Normal 8 2 3 2 7 2" xfId="6923" xr:uid="{EC7FB495-6765-425D-B3F8-D32937DDDC40}"/>
    <cellStyle name="Normal 8 2 3 2 8" xfId="4858" xr:uid="{A53DD1C3-48DA-418B-9540-5873AE1137B8}"/>
    <cellStyle name="Normal 8 2 3 3" xfId="494" xr:uid="{00000000-0005-0000-0000-000072030000}"/>
    <cellStyle name="Normal 8 2 3 3 2" xfId="966" xr:uid="{00000000-0005-0000-0000-000073030000}"/>
    <cellStyle name="Normal 8 2 3 3 2 2" xfId="1798" xr:uid="{66593021-12ED-4F0D-9ACA-A61D7B02C8BA}"/>
    <cellStyle name="Normal 8 2 3 3 2 2 2" xfId="7418" xr:uid="{94EBC77E-1104-4875-B2FB-F0F8588E1A4F}"/>
    <cellStyle name="Normal 8 2 3 3 2 3" xfId="5273" xr:uid="{0EAF6EC0-E464-4431-8EC1-F2C1175D10A3}"/>
    <cellStyle name="Normal 8 2 3 3 3" xfId="1382" xr:uid="{3D2A4719-2CA7-45A3-B979-53A412825754}"/>
    <cellStyle name="Normal 8 2 3 3 3 2" xfId="3616" xr:uid="{C0655C15-76BC-4418-A1F1-407E4233FA00}"/>
    <cellStyle name="Normal 8 2 3 3 3 2 2" xfId="7831" xr:uid="{6A3CFE20-C940-4A45-91B1-B424117F8FB8}"/>
    <cellStyle name="Normal 8 2 3 3 3 3" xfId="5686" xr:uid="{9AA0C6C8-D45A-4AA8-8C44-E564732DB7BA}"/>
    <cellStyle name="Normal 8 2 3 3 4" xfId="2213" xr:uid="{CC3F7BB4-7A59-4A91-93BE-1F76DD2151AD}"/>
    <cellStyle name="Normal 8 2 3 3 4 2" xfId="4029" xr:uid="{731388A4-A891-4339-90DF-AB3B2F1E9FEC}"/>
    <cellStyle name="Normal 8 2 3 3 4 2 2" xfId="8244" xr:uid="{9FC1437D-64CD-4BBF-A017-1A6873AC7877}"/>
    <cellStyle name="Normal 8 2 3 3 4 3" xfId="6099" xr:uid="{24303EA6-96C3-416F-9B50-C89E28A66D5A}"/>
    <cellStyle name="Normal 8 2 3 3 5" xfId="2626" xr:uid="{66E3293D-08B2-4F72-9D77-52772FCAE9C9}"/>
    <cellStyle name="Normal 8 2 3 3 5 2" xfId="4442" xr:uid="{69B4C1F5-2765-4764-AD80-05714CBE332D}"/>
    <cellStyle name="Normal 8 2 3 3 5 2 2" xfId="8657" xr:uid="{52DA02F5-CAD7-4653-9F35-A10572A0F2C4}"/>
    <cellStyle name="Normal 8 2 3 3 5 3" xfId="6512" xr:uid="{0DA90EB7-28A8-45F8-B6F3-08A5597BBCFB}"/>
    <cellStyle name="Normal 8 2 3 3 6" xfId="3062" xr:uid="{B816270A-F1A1-4BD9-9329-7006FB86EA98}"/>
    <cellStyle name="Normal 8 2 3 3 6 2" xfId="6925" xr:uid="{488B414B-1CB5-44EA-8D20-50B68ABC40C5}"/>
    <cellStyle name="Normal 8 2 3 3 7" xfId="4860" xr:uid="{B999EFC7-5AE5-4E4F-8252-8DEE2D99787E}"/>
    <cellStyle name="Normal 8 2 3 4" xfId="963" xr:uid="{00000000-0005-0000-0000-000074030000}"/>
    <cellStyle name="Normal 8 2 3 4 2" xfId="1795" xr:uid="{925DBF10-0ACC-46B3-B1B8-0F7DDC7E8C69}"/>
    <cellStyle name="Normal 8 2 3 4 2 2" xfId="7415" xr:uid="{324B7726-CDEB-453E-88CD-D1585C00ED51}"/>
    <cellStyle name="Normal 8 2 3 4 3" xfId="5270" xr:uid="{B91B947E-B29D-4AE8-8DD5-2291FB87F0B7}"/>
    <cellStyle name="Normal 8 2 3 5" xfId="1379" xr:uid="{5074D5F5-9908-49BC-8F78-12176B86A9B8}"/>
    <cellStyle name="Normal 8 2 3 5 2" xfId="3613" xr:uid="{14369481-8B47-4C40-9F7E-FFB086E561DE}"/>
    <cellStyle name="Normal 8 2 3 5 2 2" xfId="7828" xr:uid="{8AD99792-AC37-47A3-A30D-E20BAB132BF7}"/>
    <cellStyle name="Normal 8 2 3 5 3" xfId="5683" xr:uid="{5AC1B7CB-33A7-4947-888F-0D574B7EE717}"/>
    <cellStyle name="Normal 8 2 3 6" xfId="2210" xr:uid="{A32B4CC2-CAD1-4647-B022-20C165351C53}"/>
    <cellStyle name="Normal 8 2 3 6 2" xfId="4026" xr:uid="{CBEB85F1-55BB-4A17-870F-A0EEEE86AAF1}"/>
    <cellStyle name="Normal 8 2 3 6 2 2" xfId="8241" xr:uid="{9FC68643-6E7B-44AE-A77F-D80C96CDB452}"/>
    <cellStyle name="Normal 8 2 3 6 3" xfId="6096" xr:uid="{31AD3FCC-E022-475C-ACAD-1F4F0AF3BA8F}"/>
    <cellStyle name="Normal 8 2 3 7" xfId="2623" xr:uid="{A27C5D59-7193-434F-B479-C64D70D817C0}"/>
    <cellStyle name="Normal 8 2 3 7 2" xfId="4439" xr:uid="{0E5FEA44-4B32-4A57-8E0F-993AA7E674E3}"/>
    <cellStyle name="Normal 8 2 3 7 2 2" xfId="8654" xr:uid="{2DDA10A2-DB1B-422D-84B3-D55A0BE8F4FF}"/>
    <cellStyle name="Normal 8 2 3 7 3" xfId="6509" xr:uid="{32A453A8-3364-4E54-958D-72FB8120F49A}"/>
    <cellStyle name="Normal 8 2 3 8" xfId="3059" xr:uid="{CD0C113C-9D4D-43D0-9E34-C7D882C10C88}"/>
    <cellStyle name="Normal 8 2 3 8 2" xfId="6922" xr:uid="{D0148E72-BD2A-4D3C-9479-E77387CAE347}"/>
    <cellStyle name="Normal 8 2 3 9" xfId="4857" xr:uid="{15DAB1A3-A006-43AB-9D79-B53BDB9273DF}"/>
    <cellStyle name="Normal 8 2 4" xfId="495" xr:uid="{00000000-0005-0000-0000-000075030000}"/>
    <cellStyle name="Normal 8 2 4 2" xfId="496" xr:uid="{00000000-0005-0000-0000-000076030000}"/>
    <cellStyle name="Normal 8 2 4 2 2" xfId="968" xr:uid="{00000000-0005-0000-0000-000077030000}"/>
    <cellStyle name="Normal 8 2 4 2 2 2" xfId="1800" xr:uid="{FD7EA41F-19FD-4538-A3BB-DB251E300EB8}"/>
    <cellStyle name="Normal 8 2 4 2 2 2 2" xfId="7420" xr:uid="{C75BCB8A-C2CC-46CC-99A9-15664A243490}"/>
    <cellStyle name="Normal 8 2 4 2 2 3" xfId="5275" xr:uid="{15F5DDCE-499F-4027-AB30-AA3F1D5134B1}"/>
    <cellStyle name="Normal 8 2 4 2 3" xfId="1384" xr:uid="{22C9A44C-9E7C-4CC3-BE7A-97D5A8D1EBA1}"/>
    <cellStyle name="Normal 8 2 4 2 3 2" xfId="3618" xr:uid="{73A636DD-F758-44F7-89CC-B5861F246622}"/>
    <cellStyle name="Normal 8 2 4 2 3 2 2" xfId="7833" xr:uid="{9F5B8EF4-33A5-4F1A-B599-5728412C18EE}"/>
    <cellStyle name="Normal 8 2 4 2 3 3" xfId="5688" xr:uid="{1E73EEFF-AFD1-41FB-9306-F0CDB5DC712D}"/>
    <cellStyle name="Normal 8 2 4 2 4" xfId="2215" xr:uid="{F7B077F2-8299-41A9-949F-DEAC292E5876}"/>
    <cellStyle name="Normal 8 2 4 2 4 2" xfId="4031" xr:uid="{F06B189B-5356-40B4-BB91-B3BC683DC65C}"/>
    <cellStyle name="Normal 8 2 4 2 4 2 2" xfId="8246" xr:uid="{22B22608-D74B-4D45-A4AF-A1B55F5E6DE2}"/>
    <cellStyle name="Normal 8 2 4 2 4 3" xfId="6101" xr:uid="{4BDD230F-D8AC-4624-BB72-8842F216852C}"/>
    <cellStyle name="Normal 8 2 4 2 5" xfId="2628" xr:uid="{884E1A41-7A51-487D-8E30-D55A0513421C}"/>
    <cellStyle name="Normal 8 2 4 2 5 2" xfId="4444" xr:uid="{E5BEB34E-B4F2-4117-A3D0-3C2C4993DEA8}"/>
    <cellStyle name="Normal 8 2 4 2 5 2 2" xfId="8659" xr:uid="{434EF0B8-6D55-4AFF-8B68-A3EC18E881D5}"/>
    <cellStyle name="Normal 8 2 4 2 5 3" xfId="6514" xr:uid="{12101941-2B5B-421F-9180-4F3E23EC9F56}"/>
    <cellStyle name="Normal 8 2 4 2 6" xfId="3064" xr:uid="{60EEFF1A-E2BF-4CB0-819A-10D7658C6D1D}"/>
    <cellStyle name="Normal 8 2 4 2 6 2" xfId="6927" xr:uid="{73BE02AC-04DF-450B-A052-69AEA7A9422F}"/>
    <cellStyle name="Normal 8 2 4 2 7" xfId="4862" xr:uid="{882314BD-74FD-4682-8C2F-0A2D860167D5}"/>
    <cellStyle name="Normal 8 2 4 3" xfId="967" xr:uid="{00000000-0005-0000-0000-000078030000}"/>
    <cellStyle name="Normal 8 2 4 3 2" xfId="1799" xr:uid="{E4D2F5E2-8BA8-4BAF-9FAF-288F3B8E8DB9}"/>
    <cellStyle name="Normal 8 2 4 3 2 2" xfId="7419" xr:uid="{42E5EA21-B8B3-4932-9E1D-B3808B993A57}"/>
    <cellStyle name="Normal 8 2 4 3 3" xfId="5274" xr:uid="{34537C82-9EB7-4E93-B1E5-636D1A93A9A7}"/>
    <cellStyle name="Normal 8 2 4 4" xfId="1383" xr:uid="{131FFA31-63AE-4E9A-BA40-5B4AB7DA1D86}"/>
    <cellStyle name="Normal 8 2 4 4 2" xfId="3617" xr:uid="{035AF36E-DB41-4527-ABDD-516F09592F87}"/>
    <cellStyle name="Normal 8 2 4 4 2 2" xfId="7832" xr:uid="{B9A1ED27-0521-4F9C-A8F7-A4AC8A3E71BF}"/>
    <cellStyle name="Normal 8 2 4 4 3" xfId="5687" xr:uid="{614C415C-3487-4624-9572-641DE16CCDA3}"/>
    <cellStyle name="Normal 8 2 4 5" xfId="2214" xr:uid="{21D74397-141B-4B55-A842-7FF0E5D92160}"/>
    <cellStyle name="Normal 8 2 4 5 2" xfId="4030" xr:uid="{3A101E39-5E58-40BD-80C4-86A194AAB1AC}"/>
    <cellStyle name="Normal 8 2 4 5 2 2" xfId="8245" xr:uid="{22885280-DE2B-4C8C-8E61-B9DD84C7532C}"/>
    <cellStyle name="Normal 8 2 4 5 3" xfId="6100" xr:uid="{1C564A22-C991-47BC-B513-BCEC51EA28DE}"/>
    <cellStyle name="Normal 8 2 4 6" xfId="2627" xr:uid="{A324D052-A985-49C9-8E9A-EFB747D119F7}"/>
    <cellStyle name="Normal 8 2 4 6 2" xfId="4443" xr:uid="{ABADC0C3-8D4E-40D2-8671-F8CD3EF7125B}"/>
    <cellStyle name="Normal 8 2 4 6 2 2" xfId="8658" xr:uid="{AB00FDB4-5D79-4E98-A700-7916E7BE2E75}"/>
    <cellStyle name="Normal 8 2 4 6 3" xfId="6513" xr:uid="{62EB75FC-20E7-4D67-9794-E306E68A52C0}"/>
    <cellStyle name="Normal 8 2 4 7" xfId="3063" xr:uid="{C95EB5B0-D4A5-44C5-9615-AEAA3DFCD401}"/>
    <cellStyle name="Normal 8 2 4 7 2" xfId="6926" xr:uid="{32408B13-63D2-4855-9065-21C401CEF15B}"/>
    <cellStyle name="Normal 8 2 4 8" xfId="4861" xr:uid="{A3576CA9-09AF-4D93-A874-359052F20A44}"/>
    <cellStyle name="Normal 8 2 5" xfId="497" xr:uid="{00000000-0005-0000-0000-000079030000}"/>
    <cellStyle name="Normal 8 2 5 2" xfId="969" xr:uid="{00000000-0005-0000-0000-00007A030000}"/>
    <cellStyle name="Normal 8 2 5 2 2" xfId="1801" xr:uid="{535A9777-5190-4CE6-B16B-0497610FD11D}"/>
    <cellStyle name="Normal 8 2 5 2 2 2" xfId="7421" xr:uid="{52DFFD0E-1E55-42EA-8009-089EFE180DF6}"/>
    <cellStyle name="Normal 8 2 5 2 3" xfId="5276" xr:uid="{CA5E50B2-4295-4B95-AD75-8B621EB2934F}"/>
    <cellStyle name="Normal 8 2 5 3" xfId="1385" xr:uid="{B743AD27-F79E-4684-A9F1-777CFF849381}"/>
    <cellStyle name="Normal 8 2 5 3 2" xfId="3619" xr:uid="{6BAF7EC6-720F-4541-9C8B-D9C0F818B0DA}"/>
    <cellStyle name="Normal 8 2 5 3 2 2" xfId="7834" xr:uid="{53280C9E-7875-4A5F-875C-E20A61F93005}"/>
    <cellStyle name="Normal 8 2 5 3 3" xfId="5689" xr:uid="{6E91BF60-A59F-4669-97C3-A900DA4A6BC1}"/>
    <cellStyle name="Normal 8 2 5 4" xfId="2216" xr:uid="{1542349E-DB42-4086-A11F-7A0A2B078768}"/>
    <cellStyle name="Normal 8 2 5 4 2" xfId="4032" xr:uid="{72149F5D-ADA1-4DDE-99FA-A34305E3A263}"/>
    <cellStyle name="Normal 8 2 5 4 2 2" xfId="8247" xr:uid="{17D4144F-ABEA-40C3-8D90-1699296E22D1}"/>
    <cellStyle name="Normal 8 2 5 4 3" xfId="6102" xr:uid="{4EE9523D-58FD-4721-9139-42CE3C725586}"/>
    <cellStyle name="Normal 8 2 5 5" xfId="2629" xr:uid="{21A3F729-46B5-43F7-851D-F1F36EC3DE15}"/>
    <cellStyle name="Normal 8 2 5 5 2" xfId="4445" xr:uid="{76E76057-06FA-4358-8997-FFA202DFE82F}"/>
    <cellStyle name="Normal 8 2 5 5 2 2" xfId="8660" xr:uid="{0EB906EB-6D79-4294-B72C-4B4B018AD6AB}"/>
    <cellStyle name="Normal 8 2 5 5 3" xfId="6515" xr:uid="{13D5E8A7-80BD-4FA0-BE4B-6C8BDB37142D}"/>
    <cellStyle name="Normal 8 2 5 6" xfId="3065" xr:uid="{CF967625-B80C-4A02-95F9-FB9BF274158E}"/>
    <cellStyle name="Normal 8 2 5 6 2" xfId="6928" xr:uid="{E390DAE7-E75B-4E48-B3CB-A0E9C742C8E6}"/>
    <cellStyle name="Normal 8 2 5 7" xfId="4863" xr:uid="{2272AC07-D8BD-47BE-8F35-DE9E38220908}"/>
    <cellStyle name="Normal 8 2 6" xfId="954" xr:uid="{00000000-0005-0000-0000-00007B030000}"/>
    <cellStyle name="Normal 8 2 6 2" xfId="1786" xr:uid="{EBF12344-D656-438F-BCE5-19F9542FC5CC}"/>
    <cellStyle name="Normal 8 2 6 2 2" xfId="7406" xr:uid="{EEACD8BC-73DF-4934-AE76-07622B03C0FC}"/>
    <cellStyle name="Normal 8 2 6 3" xfId="5261" xr:uid="{9A7E7719-4917-4132-A893-DAF1178342BF}"/>
    <cellStyle name="Normal 8 2 7" xfId="1370" xr:uid="{6E2C54F9-6FAB-421A-B773-9886B9054C5E}"/>
    <cellStyle name="Normal 8 2 7 2" xfId="3604" xr:uid="{C32CBD14-1D4A-4CF4-8B5F-3EB452A9DA96}"/>
    <cellStyle name="Normal 8 2 7 2 2" xfId="7819" xr:uid="{3A78BD31-55A4-4A0B-A233-1CC2025A617D}"/>
    <cellStyle name="Normal 8 2 7 3" xfId="5674" xr:uid="{E78ED02D-1B5B-4410-A8A2-0D29DC3D1396}"/>
    <cellStyle name="Normal 8 2 8" xfId="2201" xr:uid="{A23BA82F-717F-47FC-961A-3A48FFE25FA1}"/>
    <cellStyle name="Normal 8 2 8 2" xfId="4017" xr:uid="{89A8CB06-F50C-4D7F-A944-F35866223948}"/>
    <cellStyle name="Normal 8 2 8 2 2" xfId="8232" xr:uid="{C11076D8-B85B-4E63-8A36-A76A7B286D1A}"/>
    <cellStyle name="Normal 8 2 8 3" xfId="6087" xr:uid="{D24BB67D-6259-44BE-84EA-7E03FBD1E601}"/>
    <cellStyle name="Normal 8 2 9" xfId="2614" xr:uid="{407F5645-A68C-4DF2-9CFD-53E9D5416BF8}"/>
    <cellStyle name="Normal 8 2 9 2" xfId="4430" xr:uid="{9A152C5C-EF29-44FB-B85E-5EEC2E75915C}"/>
    <cellStyle name="Normal 8 2 9 2 2" xfId="8645" xr:uid="{B41F52C7-8D4B-4DE4-B856-6079AC50FF94}"/>
    <cellStyle name="Normal 8 2 9 3" xfId="6500" xr:uid="{DAAB70F0-2CC2-44B8-AB37-6E6776C37EEC}"/>
    <cellStyle name="Normal 8 3" xfId="498" xr:uid="{00000000-0005-0000-0000-00007C030000}"/>
    <cellStyle name="Normal 8 3 10" xfId="4864" xr:uid="{2D3ABA59-854F-4138-BD3F-BF0970F4A814}"/>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5" xr:uid="{8CFF74F7-BFCD-4E3D-B972-48DA9D17F9DB}"/>
    <cellStyle name="Normal 8 3 2 2 2 2 2 2" xfId="7425" xr:uid="{DB772F13-C72B-42B1-AB5B-BAEEDEEE54BF}"/>
    <cellStyle name="Normal 8 3 2 2 2 2 3" xfId="5280" xr:uid="{DE881938-CA2B-4535-A01E-7FF515842606}"/>
    <cellStyle name="Normal 8 3 2 2 2 3" xfId="1389" xr:uid="{91DB967C-2CB6-4E77-AC29-455E9A00B2C4}"/>
    <cellStyle name="Normal 8 3 2 2 2 3 2" xfId="3623" xr:uid="{89460232-8601-4C40-9913-89B5F735B334}"/>
    <cellStyle name="Normal 8 3 2 2 2 3 2 2" xfId="7838" xr:uid="{12D96E39-B876-486D-9716-91B25A9D7CC1}"/>
    <cellStyle name="Normal 8 3 2 2 2 3 3" xfId="5693" xr:uid="{688B1602-1C03-41EB-B8E4-A897E2324154}"/>
    <cellStyle name="Normal 8 3 2 2 2 4" xfId="2220" xr:uid="{D8024883-00DA-490B-9FC5-B64167389740}"/>
    <cellStyle name="Normal 8 3 2 2 2 4 2" xfId="4036" xr:uid="{1F339F77-AC5F-4E8C-9C1F-9714684B304E}"/>
    <cellStyle name="Normal 8 3 2 2 2 4 2 2" xfId="8251" xr:uid="{4C5E59BA-9A85-46AD-81E0-FFB41F493C1F}"/>
    <cellStyle name="Normal 8 3 2 2 2 4 3" xfId="6106" xr:uid="{3C0588C4-00C8-4427-B808-1D8634274291}"/>
    <cellStyle name="Normal 8 3 2 2 2 5" xfId="2633" xr:uid="{5A18BA9D-9B72-477A-9AAE-BEA7F8725D60}"/>
    <cellStyle name="Normal 8 3 2 2 2 5 2" xfId="4449" xr:uid="{889A4A11-F8E1-4717-8509-AD316809CE52}"/>
    <cellStyle name="Normal 8 3 2 2 2 5 2 2" xfId="8664" xr:uid="{6A9FCB39-6905-4712-8C83-D379EA1A1640}"/>
    <cellStyle name="Normal 8 3 2 2 2 5 3" xfId="6519" xr:uid="{82060915-6000-448A-A642-44BD12C0FE7D}"/>
    <cellStyle name="Normal 8 3 2 2 2 6" xfId="3069" xr:uid="{AB352987-31AA-4808-A744-CD67D345C21F}"/>
    <cellStyle name="Normal 8 3 2 2 2 6 2" xfId="6932" xr:uid="{1AF94F5C-1ACC-4708-AA27-75EA432F8870}"/>
    <cellStyle name="Normal 8 3 2 2 2 7" xfId="4867" xr:uid="{6643715D-9F0B-4700-91AF-F96341BF752A}"/>
    <cellStyle name="Normal 8 3 2 2 3" xfId="972" xr:uid="{00000000-0005-0000-0000-000081030000}"/>
    <cellStyle name="Normal 8 3 2 2 3 2" xfId="1804" xr:uid="{4E5A568E-AF08-4EDA-B417-4EAEE17C0E68}"/>
    <cellStyle name="Normal 8 3 2 2 3 2 2" xfId="7424" xr:uid="{4D316FEC-E233-41F6-B621-4CC7598D2312}"/>
    <cellStyle name="Normal 8 3 2 2 3 3" xfId="5279" xr:uid="{E4B559F4-0A5E-4FA0-89A4-740482E1777D}"/>
    <cellStyle name="Normal 8 3 2 2 4" xfId="1388" xr:uid="{FAD2AA47-5DCD-4824-8580-6188B250E916}"/>
    <cellStyle name="Normal 8 3 2 2 4 2" xfId="3622" xr:uid="{F2964DB4-7EFC-4E0B-A6E2-038BD64EFFB1}"/>
    <cellStyle name="Normal 8 3 2 2 4 2 2" xfId="7837" xr:uid="{82AE15D2-7B76-4DC2-B7A0-BC00A87802D2}"/>
    <cellStyle name="Normal 8 3 2 2 4 3" xfId="5692" xr:uid="{E7405259-9CC4-4007-B2A7-E5330C2FAF03}"/>
    <cellStyle name="Normal 8 3 2 2 5" xfId="2219" xr:uid="{6EBBB90E-5564-40FA-AFE6-9F7E2808B229}"/>
    <cellStyle name="Normal 8 3 2 2 5 2" xfId="4035" xr:uid="{C0035941-1628-4DB5-9C66-FB30F9EDA586}"/>
    <cellStyle name="Normal 8 3 2 2 5 2 2" xfId="8250" xr:uid="{7F98DDD9-683C-4F30-93C0-53B3AFD85A62}"/>
    <cellStyle name="Normal 8 3 2 2 5 3" xfId="6105" xr:uid="{2E483D1E-DA7F-454D-BA4B-C10A8C006D71}"/>
    <cellStyle name="Normal 8 3 2 2 6" xfId="2632" xr:uid="{20F0EA44-AAB6-4945-A610-9B5FA24481E8}"/>
    <cellStyle name="Normal 8 3 2 2 6 2" xfId="4448" xr:uid="{63D47F01-CDE4-4818-9097-48BA739E69DC}"/>
    <cellStyle name="Normal 8 3 2 2 6 2 2" xfId="8663" xr:uid="{7A0679CF-29DA-47B9-A96A-CC9F6E23DFE0}"/>
    <cellStyle name="Normal 8 3 2 2 6 3" xfId="6518" xr:uid="{6F3D7D31-26C9-4B64-BEF3-8B3E64940549}"/>
    <cellStyle name="Normal 8 3 2 2 7" xfId="3068" xr:uid="{464BA150-BB2B-4697-972A-D07EB67562DD}"/>
    <cellStyle name="Normal 8 3 2 2 7 2" xfId="6931" xr:uid="{478458F1-F04D-4531-9C36-B4CE5AEAE1C5}"/>
    <cellStyle name="Normal 8 3 2 2 8" xfId="4866" xr:uid="{CB5DAABF-08E4-4004-9C08-BE1906112C2F}"/>
    <cellStyle name="Normal 8 3 2 3" xfId="502" xr:uid="{00000000-0005-0000-0000-000082030000}"/>
    <cellStyle name="Normal 8 3 2 3 2" xfId="974" xr:uid="{00000000-0005-0000-0000-000083030000}"/>
    <cellStyle name="Normal 8 3 2 3 2 2" xfId="1806" xr:uid="{10C7A8FD-7B5F-4C5C-939D-329F9DD1CEAC}"/>
    <cellStyle name="Normal 8 3 2 3 2 2 2" xfId="7426" xr:uid="{64A01C49-303E-4177-BDC1-37EE8F2706A8}"/>
    <cellStyle name="Normal 8 3 2 3 2 3" xfId="5281" xr:uid="{01682260-17A2-44A3-B567-958481F4108B}"/>
    <cellStyle name="Normal 8 3 2 3 3" xfId="1390" xr:uid="{892021B5-E0F6-4825-B5A9-87E0428382C4}"/>
    <cellStyle name="Normal 8 3 2 3 3 2" xfId="3624" xr:uid="{ACCAA87C-CD1B-4734-8F1D-806133C8F68F}"/>
    <cellStyle name="Normal 8 3 2 3 3 2 2" xfId="7839" xr:uid="{CC878014-E400-4730-B0FD-1975D02735E1}"/>
    <cellStyle name="Normal 8 3 2 3 3 3" xfId="5694" xr:uid="{A3466435-7E85-42B5-B98C-FE6A3938A54C}"/>
    <cellStyle name="Normal 8 3 2 3 4" xfId="2221" xr:uid="{0EB082B7-5AD4-4350-8DA0-5CBC34C0DFED}"/>
    <cellStyle name="Normal 8 3 2 3 4 2" xfId="4037" xr:uid="{4A56B4CA-E338-46A9-A8DD-FA7C76029AAF}"/>
    <cellStyle name="Normal 8 3 2 3 4 2 2" xfId="8252" xr:uid="{BCC81CF6-A75E-4761-8360-663A96714E2F}"/>
    <cellStyle name="Normal 8 3 2 3 4 3" xfId="6107" xr:uid="{2ACF0211-4107-4A8E-AFE3-020C67B7AD3A}"/>
    <cellStyle name="Normal 8 3 2 3 5" xfId="2634" xr:uid="{0EA1F3EE-3D4F-4726-91EB-F381DC4CDA39}"/>
    <cellStyle name="Normal 8 3 2 3 5 2" xfId="4450" xr:uid="{F171E8A0-2A17-4091-A147-5BCD9B5E663E}"/>
    <cellStyle name="Normal 8 3 2 3 5 2 2" xfId="8665" xr:uid="{AF868D45-B0C6-456A-8FF1-C9BA2DF1F83C}"/>
    <cellStyle name="Normal 8 3 2 3 5 3" xfId="6520" xr:uid="{2B188903-120B-4A44-A27F-32EE5ED1AD59}"/>
    <cellStyle name="Normal 8 3 2 3 6" xfId="3070" xr:uid="{89532928-E5AF-471C-9DC9-8ED361965AFD}"/>
    <cellStyle name="Normal 8 3 2 3 6 2" xfId="6933" xr:uid="{AC796D42-9A6C-40E9-9837-5CA7FC7BF504}"/>
    <cellStyle name="Normal 8 3 2 3 7" xfId="4868" xr:uid="{F0F3F49C-DA58-4303-8860-0DB32283575F}"/>
    <cellStyle name="Normal 8 3 2 4" xfId="971" xr:uid="{00000000-0005-0000-0000-000084030000}"/>
    <cellStyle name="Normal 8 3 2 4 2" xfId="1803" xr:uid="{E3FCA905-52A6-48AC-8643-BF0BEA3C5DFB}"/>
    <cellStyle name="Normal 8 3 2 4 2 2" xfId="7423" xr:uid="{F3200F43-F3F0-4289-97E3-4D3B2F0FE40E}"/>
    <cellStyle name="Normal 8 3 2 4 3" xfId="5278" xr:uid="{3B6890DA-9E86-49DC-9CCF-C022CF70C486}"/>
    <cellStyle name="Normal 8 3 2 5" xfId="1387" xr:uid="{B511C449-9148-4FF5-AD3F-21224B4A31E9}"/>
    <cellStyle name="Normal 8 3 2 5 2" xfId="3621" xr:uid="{1D9FF896-183B-4B64-A3B7-D21CB44C5A66}"/>
    <cellStyle name="Normal 8 3 2 5 2 2" xfId="7836" xr:uid="{E033129D-FD89-4ADF-A55B-416A2B7074AF}"/>
    <cellStyle name="Normal 8 3 2 5 3" xfId="5691" xr:uid="{DB107DE7-FF4E-4653-9326-0D0258E70CA5}"/>
    <cellStyle name="Normal 8 3 2 6" xfId="2218" xr:uid="{4DDE6EC7-F079-42CC-AA73-6D1E8FFA19D2}"/>
    <cellStyle name="Normal 8 3 2 6 2" xfId="4034" xr:uid="{2110A59B-F80C-4676-8B27-499C0AAB0121}"/>
    <cellStyle name="Normal 8 3 2 6 2 2" xfId="8249" xr:uid="{6A267397-C5B2-4F54-854F-9A08308BAC23}"/>
    <cellStyle name="Normal 8 3 2 6 3" xfId="6104" xr:uid="{C33EC612-E9BD-4784-8329-B0B72D61208B}"/>
    <cellStyle name="Normal 8 3 2 7" xfId="2631" xr:uid="{F015B765-376B-49BF-B569-6599B6137069}"/>
    <cellStyle name="Normal 8 3 2 7 2" xfId="4447" xr:uid="{3C3DF5C1-62F0-4BD9-9701-D2BE54253A0B}"/>
    <cellStyle name="Normal 8 3 2 7 2 2" xfId="8662" xr:uid="{0EE6A2BB-126B-49C1-A6EE-E35CC1BFBF09}"/>
    <cellStyle name="Normal 8 3 2 7 3" xfId="6517" xr:uid="{7FAA2A6B-CFA5-4238-A227-6ADE1FBB0997}"/>
    <cellStyle name="Normal 8 3 2 8" xfId="3067" xr:uid="{FC5AA2DF-A702-469B-9FF3-E69C425FB176}"/>
    <cellStyle name="Normal 8 3 2 8 2" xfId="6930" xr:uid="{298BE5E7-8DFC-4881-A41E-E0D543D91547}"/>
    <cellStyle name="Normal 8 3 2 9" xfId="4865" xr:uid="{9340FEE9-4103-4B44-829F-5978FF9BAC29}"/>
    <cellStyle name="Normal 8 3 3" xfId="503" xr:uid="{00000000-0005-0000-0000-000085030000}"/>
    <cellStyle name="Normal 8 3 3 2" xfId="504" xr:uid="{00000000-0005-0000-0000-000086030000}"/>
    <cellStyle name="Normal 8 3 3 2 2" xfId="976" xr:uid="{00000000-0005-0000-0000-000087030000}"/>
    <cellStyle name="Normal 8 3 3 2 2 2" xfId="1808" xr:uid="{971FDB70-F942-4148-BAD2-33D612826703}"/>
    <cellStyle name="Normal 8 3 3 2 2 2 2" xfId="7428" xr:uid="{188B8131-5608-422C-9010-ED465991961E}"/>
    <cellStyle name="Normal 8 3 3 2 2 3" xfId="5283" xr:uid="{0E2274D9-73A5-4C1A-BBC4-767F82047223}"/>
    <cellStyle name="Normal 8 3 3 2 3" xfId="1392" xr:uid="{F2586CF4-EE6F-4F9A-B9C4-5B77013BE156}"/>
    <cellStyle name="Normal 8 3 3 2 3 2" xfId="3626" xr:uid="{59824918-B5F5-4DCC-8BC0-C4DD0414FA04}"/>
    <cellStyle name="Normal 8 3 3 2 3 2 2" xfId="7841" xr:uid="{541EE664-2285-41C4-B86C-62214ED367EE}"/>
    <cellStyle name="Normal 8 3 3 2 3 3" xfId="5696" xr:uid="{3289DF3A-927E-40BD-9F36-51B6F56B3044}"/>
    <cellStyle name="Normal 8 3 3 2 4" xfId="2223" xr:uid="{87C5C771-E4C1-4049-940F-A55DDC77A2B3}"/>
    <cellStyle name="Normal 8 3 3 2 4 2" xfId="4039" xr:uid="{E93D1DD6-84A6-484D-81CD-705000CDF784}"/>
    <cellStyle name="Normal 8 3 3 2 4 2 2" xfId="8254" xr:uid="{7BCE792B-E0A0-41EB-A2B2-06E537B87ECF}"/>
    <cellStyle name="Normal 8 3 3 2 4 3" xfId="6109" xr:uid="{58EC184B-3343-47FC-BCF1-DBB5A913B78E}"/>
    <cellStyle name="Normal 8 3 3 2 5" xfId="2636" xr:uid="{1F708A5E-B3FB-49D7-8B94-33708E8A60B0}"/>
    <cellStyle name="Normal 8 3 3 2 5 2" xfId="4452" xr:uid="{B23DBDFA-C9A7-4FB6-B847-9162D41E3D25}"/>
    <cellStyle name="Normal 8 3 3 2 5 2 2" xfId="8667" xr:uid="{A0CF61A2-2154-4248-95C1-616D6FBC91E3}"/>
    <cellStyle name="Normal 8 3 3 2 5 3" xfId="6522" xr:uid="{72651B88-1D54-4E19-B09F-52BAF7271D1D}"/>
    <cellStyle name="Normal 8 3 3 2 6" xfId="3072" xr:uid="{12BD16F3-46BA-47F5-9C19-5E0BA8AD3DF2}"/>
    <cellStyle name="Normal 8 3 3 2 6 2" xfId="6935" xr:uid="{1301596E-CE0E-4275-BAA7-CA9EC7F96A48}"/>
    <cellStyle name="Normal 8 3 3 2 7" xfId="4870" xr:uid="{EE7E0903-7791-41D8-A19C-91E8E1B708F6}"/>
    <cellStyle name="Normal 8 3 3 3" xfId="975" xr:uid="{00000000-0005-0000-0000-000088030000}"/>
    <cellStyle name="Normal 8 3 3 3 2" xfId="1807" xr:uid="{51CBBF82-FE7E-4110-96A1-C0B137608FC7}"/>
    <cellStyle name="Normal 8 3 3 3 2 2" xfId="7427" xr:uid="{0F907740-DF16-42C7-9520-23D62CDB250C}"/>
    <cellStyle name="Normal 8 3 3 3 3" xfId="5282" xr:uid="{A79F3A11-4661-4E56-8189-C77AF08718A6}"/>
    <cellStyle name="Normal 8 3 3 4" xfId="1391" xr:uid="{CA8FFB82-BED3-496E-A1C3-F58F37A0292E}"/>
    <cellStyle name="Normal 8 3 3 4 2" xfId="3625" xr:uid="{396FCDD7-6696-461B-B985-9D022DBF7F6D}"/>
    <cellStyle name="Normal 8 3 3 4 2 2" xfId="7840" xr:uid="{74B69DF1-0C1A-4105-A98E-EFB95E6E7026}"/>
    <cellStyle name="Normal 8 3 3 4 3" xfId="5695" xr:uid="{EC83BBC4-010D-46CE-9CDC-C9FA8C005640}"/>
    <cellStyle name="Normal 8 3 3 5" xfId="2222" xr:uid="{130762BB-D621-4D5F-A787-A717642F80F2}"/>
    <cellStyle name="Normal 8 3 3 5 2" xfId="4038" xr:uid="{F45FD8BC-27CF-40EC-BF69-48EC1CCE9A0B}"/>
    <cellStyle name="Normal 8 3 3 5 2 2" xfId="8253" xr:uid="{58D40B11-3A42-47D5-96B8-CB1401078EDF}"/>
    <cellStyle name="Normal 8 3 3 5 3" xfId="6108" xr:uid="{836C2AF8-E180-4606-AB3C-36A2781BEC11}"/>
    <cellStyle name="Normal 8 3 3 6" xfId="2635" xr:uid="{A07698B1-BA6C-4064-98FD-D5B2F66C98ED}"/>
    <cellStyle name="Normal 8 3 3 6 2" xfId="4451" xr:uid="{EC04F691-359D-4B07-B0AA-BDC57DF77814}"/>
    <cellStyle name="Normal 8 3 3 6 2 2" xfId="8666" xr:uid="{B98157DD-3FD5-47EF-BAB1-AFB0C85AE6A2}"/>
    <cellStyle name="Normal 8 3 3 6 3" xfId="6521" xr:uid="{1770909A-3711-48D7-B5F0-897B91256A57}"/>
    <cellStyle name="Normal 8 3 3 7" xfId="3071" xr:uid="{2C2EF6B0-325A-4561-B03B-185F805757EE}"/>
    <cellStyle name="Normal 8 3 3 7 2" xfId="6934" xr:uid="{C1BC51BC-A50B-4E46-B552-6F2769B2A063}"/>
    <cellStyle name="Normal 8 3 3 8" xfId="4869" xr:uid="{002483DB-0451-431B-A339-2B2D1FD60406}"/>
    <cellStyle name="Normal 8 3 4" xfId="505" xr:uid="{00000000-0005-0000-0000-000089030000}"/>
    <cellStyle name="Normal 8 3 4 2" xfId="977" xr:uid="{00000000-0005-0000-0000-00008A030000}"/>
    <cellStyle name="Normal 8 3 4 2 2" xfId="1809" xr:uid="{62962F56-C95D-4189-90DE-B345C9BCA449}"/>
    <cellStyle name="Normal 8 3 4 2 2 2" xfId="7429" xr:uid="{933FFAF3-7707-4025-A24A-BB4EE7D74053}"/>
    <cellStyle name="Normal 8 3 4 2 3" xfId="5284" xr:uid="{B17DFE5E-F191-4134-8E19-A02325E60B5A}"/>
    <cellStyle name="Normal 8 3 4 3" xfId="1393" xr:uid="{8D71F80C-A87E-4729-AC96-5BD663394C64}"/>
    <cellStyle name="Normal 8 3 4 3 2" xfId="3627" xr:uid="{59E69189-B83C-424E-8D2D-86475F869304}"/>
    <cellStyle name="Normal 8 3 4 3 2 2" xfId="7842" xr:uid="{298AF418-A32E-45EC-89C8-76C9D22277C5}"/>
    <cellStyle name="Normal 8 3 4 3 3" xfId="5697" xr:uid="{FD02F76C-38D7-4204-A913-6CAECB367292}"/>
    <cellStyle name="Normal 8 3 4 4" xfId="2224" xr:uid="{F1D7D930-4496-49B1-AB74-EC8886FB656E}"/>
    <cellStyle name="Normal 8 3 4 4 2" xfId="4040" xr:uid="{20B65232-0652-41D0-BDC8-21946D24975D}"/>
    <cellStyle name="Normal 8 3 4 4 2 2" xfId="8255" xr:uid="{D5E2F4CF-2908-4F11-BBF4-F8F24743C2C0}"/>
    <cellStyle name="Normal 8 3 4 4 3" xfId="6110" xr:uid="{B7C1CC84-EEAD-492D-AB83-BB6725661AB2}"/>
    <cellStyle name="Normal 8 3 4 5" xfId="2637" xr:uid="{760D0700-72A9-4E5B-B198-097C6EFCA28A}"/>
    <cellStyle name="Normal 8 3 4 5 2" xfId="4453" xr:uid="{68C4BEF9-C3AA-417D-B8FB-DB7C728C7692}"/>
    <cellStyle name="Normal 8 3 4 5 2 2" xfId="8668" xr:uid="{827A0F50-F610-442A-BA85-CB0C744BDBF0}"/>
    <cellStyle name="Normal 8 3 4 5 3" xfId="6523" xr:uid="{572E6DF6-CD54-44AA-B36A-49B4A9A137D2}"/>
    <cellStyle name="Normal 8 3 4 6" xfId="3073" xr:uid="{0929E4AE-3FAB-4F49-A15F-ABDDD89F7E8B}"/>
    <cellStyle name="Normal 8 3 4 6 2" xfId="6936" xr:uid="{4583F706-E396-4A4A-B4EF-266CFF44077F}"/>
    <cellStyle name="Normal 8 3 4 7" xfId="4871" xr:uid="{FA8D466A-1245-4225-81F3-D566308062B4}"/>
    <cellStyle name="Normal 8 3 5" xfId="970" xr:uid="{00000000-0005-0000-0000-00008B030000}"/>
    <cellStyle name="Normal 8 3 5 2" xfId="1802" xr:uid="{C7B56594-0F0F-4285-A9F5-AED22D9F2EF2}"/>
    <cellStyle name="Normal 8 3 5 2 2" xfId="7422" xr:uid="{CE7F1781-8B04-44B5-A815-D8DD988D93F3}"/>
    <cellStyle name="Normal 8 3 5 3" xfId="5277" xr:uid="{74FF20AE-AD9A-48DB-B4EF-B8AF2A70FE00}"/>
    <cellStyle name="Normal 8 3 6" xfId="1386" xr:uid="{B9E83427-132C-4564-9B04-E333286C83DB}"/>
    <cellStyle name="Normal 8 3 6 2" xfId="3620" xr:uid="{6D535CF7-38D0-4E56-BB0A-99871C3931D6}"/>
    <cellStyle name="Normal 8 3 6 2 2" xfId="7835" xr:uid="{5C2F569B-2ECE-42A1-B8BF-E562DADB9936}"/>
    <cellStyle name="Normal 8 3 6 3" xfId="5690" xr:uid="{950A5079-0195-4D03-9F04-5FC07E0AF5D6}"/>
    <cellStyle name="Normal 8 3 7" xfId="2217" xr:uid="{82D4820B-048A-4EDE-9864-B4E8E7D5F670}"/>
    <cellStyle name="Normal 8 3 7 2" xfId="4033" xr:uid="{525A2C28-4744-433D-9CC9-03026B5CFB7E}"/>
    <cellStyle name="Normal 8 3 7 2 2" xfId="8248" xr:uid="{1AF43271-66DD-4F3E-83DF-E8EB7EB29D35}"/>
    <cellStyle name="Normal 8 3 7 3" xfId="6103" xr:uid="{1C38E382-6597-4064-8644-9355FB7EF528}"/>
    <cellStyle name="Normal 8 3 8" xfId="2630" xr:uid="{BC704C99-50EC-4D83-883A-75DA4333C19A}"/>
    <cellStyle name="Normal 8 3 8 2" xfId="4446" xr:uid="{FE43E62F-3220-432E-B3A7-38ED5FFBFB65}"/>
    <cellStyle name="Normal 8 3 8 2 2" xfId="8661" xr:uid="{3A15A3B2-6D18-43F2-AF17-15729FE756D9}"/>
    <cellStyle name="Normal 8 3 8 3" xfId="6516" xr:uid="{3CA0F593-7C26-478F-A8A8-2568F273362E}"/>
    <cellStyle name="Normal 8 3 9" xfId="3066" xr:uid="{CE30E7FB-2777-41D9-AFE0-64EF7AB8321F}"/>
    <cellStyle name="Normal 8 3 9 2" xfId="6929" xr:uid="{B43D684D-C135-4C89-A3BC-50DBE02CF557}"/>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2" xr:uid="{378A6E73-1096-4C44-8012-4230F798478B}"/>
    <cellStyle name="Normal 8 4 2 2 2 2 2" xfId="7432" xr:uid="{97433402-0E77-4397-A56B-A0E6569AAA35}"/>
    <cellStyle name="Normal 8 4 2 2 2 3" xfId="5287" xr:uid="{9E0C0C10-4DC8-4F59-BFFC-DF93F19C6678}"/>
    <cellStyle name="Normal 8 4 2 2 3" xfId="1396" xr:uid="{3087A885-2B0E-4B4A-8C31-7FFAC24F4C7C}"/>
    <cellStyle name="Normal 8 4 2 2 3 2" xfId="3630" xr:uid="{85C41F57-931B-4ADD-B3C4-36BE3AE1003C}"/>
    <cellStyle name="Normal 8 4 2 2 3 2 2" xfId="7845" xr:uid="{5E66AD26-D50C-42A2-B305-A69B941031CB}"/>
    <cellStyle name="Normal 8 4 2 2 3 3" xfId="5700" xr:uid="{BEA909B4-2AA2-492D-842E-1F492055239D}"/>
    <cellStyle name="Normal 8 4 2 2 4" xfId="2227" xr:uid="{75AE580A-E19B-4B59-95B0-451557C38A9D}"/>
    <cellStyle name="Normal 8 4 2 2 4 2" xfId="4043" xr:uid="{C178B0D3-C1C6-4E94-A290-82F14EE71F12}"/>
    <cellStyle name="Normal 8 4 2 2 4 2 2" xfId="8258" xr:uid="{5835D3F9-4466-41A6-9338-FBDDF8BF9F44}"/>
    <cellStyle name="Normal 8 4 2 2 4 3" xfId="6113" xr:uid="{DD6E349D-56C8-4CD1-BECE-9D1808F07FBA}"/>
    <cellStyle name="Normal 8 4 2 2 5" xfId="2640" xr:uid="{06604B7D-5A37-4ED1-9E0A-6314B75FEF36}"/>
    <cellStyle name="Normal 8 4 2 2 5 2" xfId="4456" xr:uid="{6B2C54A5-7266-4B8C-9AF9-0E8060E8CF6D}"/>
    <cellStyle name="Normal 8 4 2 2 5 2 2" xfId="8671" xr:uid="{1C3A04C7-7E8E-42D0-BCCD-07676D090EFC}"/>
    <cellStyle name="Normal 8 4 2 2 5 3" xfId="6526" xr:uid="{06F3C678-4814-45BA-80D4-D6CC0BD77C8A}"/>
    <cellStyle name="Normal 8 4 2 2 6" xfId="3076" xr:uid="{BB02B8A7-DF17-4F63-87C4-8CBB9A722BAE}"/>
    <cellStyle name="Normal 8 4 2 2 6 2" xfId="6939" xr:uid="{6EBAFE59-BF00-42FA-B6B7-66A20D889D8E}"/>
    <cellStyle name="Normal 8 4 2 2 7" xfId="4874" xr:uid="{FB423EDD-E084-4D09-8A49-DFA7A7105FA5}"/>
    <cellStyle name="Normal 8 4 2 3" xfId="979" xr:uid="{00000000-0005-0000-0000-000090030000}"/>
    <cellStyle name="Normal 8 4 2 3 2" xfId="1811" xr:uid="{7B278E56-296C-4F62-A2B4-BA98141B3E4E}"/>
    <cellStyle name="Normal 8 4 2 3 2 2" xfId="7431" xr:uid="{EC26B05E-08A5-4A5E-99DE-B1C64A6A4391}"/>
    <cellStyle name="Normal 8 4 2 3 3" xfId="5286" xr:uid="{F56B1072-B86E-42F0-8878-67F3D7C18895}"/>
    <cellStyle name="Normal 8 4 2 4" xfId="1395" xr:uid="{7E5B5FF0-7AEA-4A5F-881C-601F9D742BBA}"/>
    <cellStyle name="Normal 8 4 2 4 2" xfId="3629" xr:uid="{BE1FA0A2-8011-4BE9-B25E-E39BBE8358B6}"/>
    <cellStyle name="Normal 8 4 2 4 2 2" xfId="7844" xr:uid="{CFCBC8E9-9E63-49DA-BDBF-A94618C82DB1}"/>
    <cellStyle name="Normal 8 4 2 4 3" xfId="5699" xr:uid="{018B5D59-40E2-4A5D-995D-E2277FAC44AB}"/>
    <cellStyle name="Normal 8 4 2 5" xfId="2226" xr:uid="{EEDB0D9E-C9A2-415B-BFE0-9DE364D3AD60}"/>
    <cellStyle name="Normal 8 4 2 5 2" xfId="4042" xr:uid="{E853EB16-E1C1-4C25-A8DF-332C9DBB05C8}"/>
    <cellStyle name="Normal 8 4 2 5 2 2" xfId="8257" xr:uid="{3497B9F5-612B-4586-8FDA-9CFA0BAD9765}"/>
    <cellStyle name="Normal 8 4 2 5 3" xfId="6112" xr:uid="{0757B8AE-4756-4B2E-8266-912B2EF303E8}"/>
    <cellStyle name="Normal 8 4 2 6" xfId="2639" xr:uid="{E04F7122-7E19-4B62-B12A-5C3CB6290FCC}"/>
    <cellStyle name="Normal 8 4 2 6 2" xfId="4455" xr:uid="{FFB3E312-4F98-4E66-BD8F-A98A518B03F5}"/>
    <cellStyle name="Normal 8 4 2 6 2 2" xfId="8670" xr:uid="{1B4E9025-B023-4AB4-980A-75A00F089FE1}"/>
    <cellStyle name="Normal 8 4 2 6 3" xfId="6525" xr:uid="{83F944F1-9F7F-4588-8CDF-E520C21F2E02}"/>
    <cellStyle name="Normal 8 4 2 7" xfId="3075" xr:uid="{17038119-7095-47E1-822B-10F4743EE6B1}"/>
    <cellStyle name="Normal 8 4 2 7 2" xfId="6938" xr:uid="{25B779C1-75AC-4BC4-9CB5-8F2EC160ACB6}"/>
    <cellStyle name="Normal 8 4 2 8" xfId="4873" xr:uid="{72531E04-5F69-416A-9B97-B4EB01F08E56}"/>
    <cellStyle name="Normal 8 4 3" xfId="509" xr:uid="{00000000-0005-0000-0000-000091030000}"/>
    <cellStyle name="Normal 8 4 3 2" xfId="981" xr:uid="{00000000-0005-0000-0000-000092030000}"/>
    <cellStyle name="Normal 8 4 3 2 2" xfId="1813" xr:uid="{306BF020-F7F6-411F-8427-9041B7134EE6}"/>
    <cellStyle name="Normal 8 4 3 2 2 2" xfId="7433" xr:uid="{5378F98E-408D-46BC-A4AD-A1AE016CE10D}"/>
    <cellStyle name="Normal 8 4 3 2 3" xfId="5288" xr:uid="{EA454CB9-4FE8-45F2-B7FC-06658CA61A31}"/>
    <cellStyle name="Normal 8 4 3 3" xfId="1397" xr:uid="{089AF035-958C-4063-8BA3-E65810F337AE}"/>
    <cellStyle name="Normal 8 4 3 3 2" xfId="3631" xr:uid="{57A039A8-0F53-4CB9-979D-50B0955A166A}"/>
    <cellStyle name="Normal 8 4 3 3 2 2" xfId="7846" xr:uid="{7C923D19-BF6C-44B1-99D6-5BF6EABC5F2C}"/>
    <cellStyle name="Normal 8 4 3 3 3" xfId="5701" xr:uid="{771D0C4C-D4CD-46AC-94FD-A3E431A3D3BA}"/>
    <cellStyle name="Normal 8 4 3 4" xfId="2228" xr:uid="{E481C75E-763B-4A0B-BC21-D7890BF9B7BC}"/>
    <cellStyle name="Normal 8 4 3 4 2" xfId="4044" xr:uid="{9A18383E-60D7-4542-A56D-E19B64EAF2DE}"/>
    <cellStyle name="Normal 8 4 3 4 2 2" xfId="8259" xr:uid="{823CC160-C29B-4802-979C-8798064B4774}"/>
    <cellStyle name="Normal 8 4 3 4 3" xfId="6114" xr:uid="{40AD0C30-A25B-4E27-B60C-AEE28BAB01A0}"/>
    <cellStyle name="Normal 8 4 3 5" xfId="2641" xr:uid="{1A806C74-8762-4DFF-BCA3-CC5351AADD7C}"/>
    <cellStyle name="Normal 8 4 3 5 2" xfId="4457" xr:uid="{44C2FEE7-59AF-46CE-A0EC-4EBECEA62CFB}"/>
    <cellStyle name="Normal 8 4 3 5 2 2" xfId="8672" xr:uid="{B8CF48E4-81ED-4E81-87FD-EB226E67F075}"/>
    <cellStyle name="Normal 8 4 3 5 3" xfId="6527" xr:uid="{4D670432-45B4-4775-9EDD-F0ED6186C184}"/>
    <cellStyle name="Normal 8 4 3 6" xfId="3077" xr:uid="{8F000E5E-C182-4B7F-8257-ECF73BE9C794}"/>
    <cellStyle name="Normal 8 4 3 6 2" xfId="6940" xr:uid="{4E0BAE71-AB49-4951-8858-F4D8670CFACA}"/>
    <cellStyle name="Normal 8 4 3 7" xfId="4875" xr:uid="{F0DE1181-B55B-494B-B6CA-EDECF119A589}"/>
    <cellStyle name="Normal 8 4 4" xfId="978" xr:uid="{00000000-0005-0000-0000-000093030000}"/>
    <cellStyle name="Normal 8 4 4 2" xfId="1810" xr:uid="{68EE95B0-2C9B-43B4-B7A7-069386946A32}"/>
    <cellStyle name="Normal 8 4 4 2 2" xfId="7430" xr:uid="{17D4A709-3961-46F5-9B1A-5A742F990EBF}"/>
    <cellStyle name="Normal 8 4 4 3" xfId="5285" xr:uid="{BB5A28D7-7522-4539-BA61-2ED21F3EE9A3}"/>
    <cellStyle name="Normal 8 4 5" xfId="1394" xr:uid="{31A115A3-6A1A-43A5-BE49-FE6D0E973B5D}"/>
    <cellStyle name="Normal 8 4 5 2" xfId="3628" xr:uid="{1D80F800-0E7A-48E7-9E6E-1D067D9544E8}"/>
    <cellStyle name="Normal 8 4 5 2 2" xfId="7843" xr:uid="{5CFF40CE-07C1-44A1-9973-1C6FC8FE0B1C}"/>
    <cellStyle name="Normal 8 4 5 3" xfId="5698" xr:uid="{5CCD7AFB-0EDA-4AE8-9C87-008D659FCD3B}"/>
    <cellStyle name="Normal 8 4 6" xfId="2225" xr:uid="{47DE830F-4367-481C-B926-7CA3FE54DE7D}"/>
    <cellStyle name="Normal 8 4 6 2" xfId="4041" xr:uid="{E0405EA2-38F7-49AF-BF2E-0F33F1A885BE}"/>
    <cellStyle name="Normal 8 4 6 2 2" xfId="8256" xr:uid="{450BCFC0-F96D-4966-8D03-3BEE415FAB78}"/>
    <cellStyle name="Normal 8 4 6 3" xfId="6111" xr:uid="{4B2D6F2A-7C8A-4D11-9972-1BF94F5C0EF3}"/>
    <cellStyle name="Normal 8 4 7" xfId="2638" xr:uid="{AD7C1437-0491-4148-B6C5-7434E6FAC553}"/>
    <cellStyle name="Normal 8 4 7 2" xfId="4454" xr:uid="{B95DE29F-F90C-48D9-AC49-79458E76C4E4}"/>
    <cellStyle name="Normal 8 4 7 2 2" xfId="8669" xr:uid="{AE1D8EBB-58C1-4579-B6A8-90BE8AD7952B}"/>
    <cellStyle name="Normal 8 4 7 3" xfId="6524" xr:uid="{82F1E91C-F601-4E9F-9557-A647C307F170}"/>
    <cellStyle name="Normal 8 4 8" xfId="3074" xr:uid="{2445D8A2-0FD4-4D29-88ED-BC38D416E952}"/>
    <cellStyle name="Normal 8 4 8 2" xfId="6937" xr:uid="{CA07C38C-7820-46E4-959E-3EB0DF35CADA}"/>
    <cellStyle name="Normal 8 4 9" xfId="4872" xr:uid="{2D74E9E5-4014-4B29-AA3A-DA1794533287}"/>
    <cellStyle name="Normal 8 5" xfId="510" xr:uid="{00000000-0005-0000-0000-000094030000}"/>
    <cellStyle name="Normal 8 5 2" xfId="511" xr:uid="{00000000-0005-0000-0000-000095030000}"/>
    <cellStyle name="Normal 8 5 2 2" xfId="983" xr:uid="{00000000-0005-0000-0000-000096030000}"/>
    <cellStyle name="Normal 8 5 2 2 2" xfId="1815" xr:uid="{92678EB0-EC87-43F0-AC77-A7CD582A2E3A}"/>
    <cellStyle name="Normal 8 5 2 2 2 2" xfId="7435" xr:uid="{191B265C-19F2-4744-95A2-1A4A4ECE0773}"/>
    <cellStyle name="Normal 8 5 2 2 3" xfId="5290" xr:uid="{DEEE0F8E-3EF9-4E24-BFC3-790A17B80041}"/>
    <cellStyle name="Normal 8 5 2 3" xfId="1399" xr:uid="{1E316844-C4B5-4CF9-95F6-7FF6A75AFE88}"/>
    <cellStyle name="Normal 8 5 2 3 2" xfId="3633" xr:uid="{D119DF33-564A-489C-9A7B-575E89D3CB7C}"/>
    <cellStyle name="Normal 8 5 2 3 2 2" xfId="7848" xr:uid="{FE5BCC5C-8DF2-4BEE-9522-B53989E2732C}"/>
    <cellStyle name="Normal 8 5 2 3 3" xfId="5703" xr:uid="{DBB50599-C825-4FED-88EF-424D261D7B4F}"/>
    <cellStyle name="Normal 8 5 2 4" xfId="2230" xr:uid="{D3B602FB-C36D-4BEB-9504-34750CFC9BC0}"/>
    <cellStyle name="Normal 8 5 2 4 2" xfId="4046" xr:uid="{272C1C05-6DCE-45C0-B589-7C94774CFC42}"/>
    <cellStyle name="Normal 8 5 2 4 2 2" xfId="8261" xr:uid="{FB5965CC-5D07-4095-90D0-76404EFE4E0E}"/>
    <cellStyle name="Normal 8 5 2 4 3" xfId="6116" xr:uid="{2A79202A-3E93-4DC1-BE2B-655FCA42CC0B}"/>
    <cellStyle name="Normal 8 5 2 5" xfId="2643" xr:uid="{A28ED50E-4307-4270-A45E-737FC8B28B9F}"/>
    <cellStyle name="Normal 8 5 2 5 2" xfId="4459" xr:uid="{1ACB6056-233E-4836-A1E5-35664BFEE7F8}"/>
    <cellStyle name="Normal 8 5 2 5 2 2" xfId="8674" xr:uid="{06CB77EF-A0E7-464C-B45F-9BC69ACACBA5}"/>
    <cellStyle name="Normal 8 5 2 5 3" xfId="6529" xr:uid="{A54E3AE8-D86D-4356-893B-D148B80937A6}"/>
    <cellStyle name="Normal 8 5 2 6" xfId="3079" xr:uid="{EAA42E24-2D4F-4E4B-95EA-584E188767C2}"/>
    <cellStyle name="Normal 8 5 2 6 2" xfId="6942" xr:uid="{75093E9F-F374-43C5-9167-2DF69F429821}"/>
    <cellStyle name="Normal 8 5 2 7" xfId="4877" xr:uid="{85A5E62F-F0E2-45E9-85D6-3A6051F984B8}"/>
    <cellStyle name="Normal 8 5 3" xfId="982" xr:uid="{00000000-0005-0000-0000-000097030000}"/>
    <cellStyle name="Normal 8 5 3 2" xfId="1814" xr:uid="{A8BE692F-EDBA-4030-B99E-A98EAF2A6837}"/>
    <cellStyle name="Normal 8 5 3 2 2" xfId="7434" xr:uid="{BF183750-6DDB-4F3E-9A19-27C1A899199A}"/>
    <cellStyle name="Normal 8 5 3 3" xfId="5289" xr:uid="{54F67DA2-5F05-4131-81DC-D55EE8522404}"/>
    <cellStyle name="Normal 8 5 4" xfId="1398" xr:uid="{86612229-3C28-47DB-8E09-834D20B66349}"/>
    <cellStyle name="Normal 8 5 4 2" xfId="3632" xr:uid="{AA495A73-E809-4993-8B6E-7F8FBEEBEEAB}"/>
    <cellStyle name="Normal 8 5 4 2 2" xfId="7847" xr:uid="{8EEE3173-5F0B-4B29-8C66-B40B70D64245}"/>
    <cellStyle name="Normal 8 5 4 3" xfId="5702" xr:uid="{063943ED-60A8-4E06-A6BC-9D33AE1D60E8}"/>
    <cellStyle name="Normal 8 5 5" xfId="2229" xr:uid="{3D00ACDD-5EE6-4A35-ACFD-FDB29A6032D9}"/>
    <cellStyle name="Normal 8 5 5 2" xfId="4045" xr:uid="{39C62C37-87BB-496D-8C2C-3E0E68BB4367}"/>
    <cellStyle name="Normal 8 5 5 2 2" xfId="8260" xr:uid="{5270F0AC-8D3C-4252-AC9F-6BA3E0980A69}"/>
    <cellStyle name="Normal 8 5 5 3" xfId="6115" xr:uid="{36EBB670-BEA5-4CF3-83B2-0E05F464710B}"/>
    <cellStyle name="Normal 8 5 6" xfId="2642" xr:uid="{42A467D1-E762-4623-B079-B85E433E3159}"/>
    <cellStyle name="Normal 8 5 6 2" xfId="4458" xr:uid="{5738FA69-703C-4A07-A373-6CCA98C5C4A4}"/>
    <cellStyle name="Normal 8 5 6 2 2" xfId="8673" xr:uid="{454D3445-B460-43CC-A4CE-7768B6353D22}"/>
    <cellStyle name="Normal 8 5 6 3" xfId="6528" xr:uid="{B7BCB674-5860-43CB-8DCA-8A09A71B6655}"/>
    <cellStyle name="Normal 8 5 7" xfId="3078" xr:uid="{9875173E-5E8E-4FFE-B6C2-F2BA9F51A6C3}"/>
    <cellStyle name="Normal 8 5 7 2" xfId="6941" xr:uid="{5766170C-5076-4ABB-AD4E-2EEF4D48F943}"/>
    <cellStyle name="Normal 8 5 8" xfId="4876" xr:uid="{2F6456CE-D63A-49DB-BF80-0E3C63ED09D7}"/>
    <cellStyle name="Normal 8 6" xfId="512" xr:uid="{00000000-0005-0000-0000-000098030000}"/>
    <cellStyle name="Normal 8 6 2" xfId="984" xr:uid="{00000000-0005-0000-0000-000099030000}"/>
    <cellStyle name="Normal 8 6 2 2" xfId="1816" xr:uid="{5BD44D7A-AC8B-455F-8BC1-C7A0F4C6C891}"/>
    <cellStyle name="Normal 8 6 2 2 2" xfId="7436" xr:uid="{05E1F198-BB98-4862-95AE-0459FD0714A9}"/>
    <cellStyle name="Normal 8 6 2 3" xfId="5291" xr:uid="{31EA0692-F6CD-43C0-9930-AE7E4BF6AC93}"/>
    <cellStyle name="Normal 8 6 3" xfId="1400" xr:uid="{04A75B0B-C763-437B-BC81-1FB10A8324AA}"/>
    <cellStyle name="Normal 8 6 3 2" xfId="3634" xr:uid="{1B0B81FB-497A-423E-8D43-19B6BCD1F9A4}"/>
    <cellStyle name="Normal 8 6 3 2 2" xfId="7849" xr:uid="{AD2FC430-A7D7-4BE7-9CC5-218EF9226C60}"/>
    <cellStyle name="Normal 8 6 3 3" xfId="5704" xr:uid="{80C32634-509B-4FE1-A27D-D68B048BDF6E}"/>
    <cellStyle name="Normal 8 6 4" xfId="2231" xr:uid="{F0058DC5-3E2F-43DF-AF01-115195A41AA8}"/>
    <cellStyle name="Normal 8 6 4 2" xfId="4047" xr:uid="{E3F314A5-1843-41FD-A6C5-87898D74507E}"/>
    <cellStyle name="Normal 8 6 4 2 2" xfId="8262" xr:uid="{01608486-5B40-4682-9A47-DAB544A0A0DA}"/>
    <cellStyle name="Normal 8 6 4 3" xfId="6117" xr:uid="{3DE50BF1-2147-4059-924C-5FBF081554F2}"/>
    <cellStyle name="Normal 8 6 5" xfId="2644" xr:uid="{23F0E7F7-4246-4F83-ACC0-3A3CFE13D394}"/>
    <cellStyle name="Normal 8 6 5 2" xfId="4460" xr:uid="{19ED3FCF-9B1C-423A-A5A4-A6FBA66F6D00}"/>
    <cellStyle name="Normal 8 6 5 2 2" xfId="8675" xr:uid="{8E4C456D-B42D-423B-BA89-9657D7CA7D49}"/>
    <cellStyle name="Normal 8 6 5 3" xfId="6530" xr:uid="{893247E1-42C1-432C-B405-596E4F01491A}"/>
    <cellStyle name="Normal 8 6 6" xfId="3080" xr:uid="{3923CB83-9BBE-4450-B989-DC2E21363167}"/>
    <cellStyle name="Normal 8 6 6 2" xfId="6943" xr:uid="{004F8342-10D7-4CB8-936B-55AAE80B5C7B}"/>
    <cellStyle name="Normal 8 6 7" xfId="4878" xr:uid="{B3014932-1823-4C3A-950D-132CC36A8DE4}"/>
    <cellStyle name="Normal 8 7" xfId="953" xr:uid="{00000000-0005-0000-0000-00009A030000}"/>
    <cellStyle name="Normal 8 7 2" xfId="1785" xr:uid="{B5B3D1C1-F9AE-4211-85D8-D7E566E8EFC0}"/>
    <cellStyle name="Normal 8 7 2 2" xfId="7405" xr:uid="{8FB39928-6BC0-4704-B24B-3ACE4C1D928C}"/>
    <cellStyle name="Normal 8 7 3" xfId="5260" xr:uid="{51C53326-2595-4493-84DC-7609B9D5CA44}"/>
    <cellStyle name="Normal 8 8" xfId="1369" xr:uid="{67752C85-382A-43AE-8D41-ED0A59BA59B0}"/>
    <cellStyle name="Normal 8 8 2" xfId="3603" xr:uid="{25678E1D-A076-4674-B40F-B81E4E297734}"/>
    <cellStyle name="Normal 8 8 2 2" xfId="7818" xr:uid="{DAC8F2EE-6F70-408C-AE23-45B037EE8C08}"/>
    <cellStyle name="Normal 8 8 3" xfId="5673" xr:uid="{79CFC49B-7B32-4B9F-A61B-7AA38EAEC3D3}"/>
    <cellStyle name="Normal 8 9" xfId="2200" xr:uid="{758F3219-F6A3-4883-9C85-AA21E9EB0DCB}"/>
    <cellStyle name="Normal 8 9 2" xfId="4016" xr:uid="{5CC180BF-9CC3-451E-AB46-470F8F8EABF3}"/>
    <cellStyle name="Normal 8 9 2 2" xfId="8231" xr:uid="{6DFCB2CB-77DC-4132-A002-E234DD658ED3}"/>
    <cellStyle name="Normal 8 9 3" xfId="6086" xr:uid="{6B6B6092-14F0-4FB0-8E3D-1C57B1F96DA5}"/>
    <cellStyle name="Normal 9" xfId="513" xr:uid="{00000000-0005-0000-0000-00009B030000}"/>
    <cellStyle name="Normal 9 2" xfId="514" xr:uid="{00000000-0005-0000-0000-00009C030000}"/>
    <cellStyle name="Normal 9 2 10" xfId="3081" xr:uid="{EE904148-DA45-44E8-B58F-820F050B96FF}"/>
    <cellStyle name="Normal 9 2 10 2" xfId="6944" xr:uid="{BB9F3A36-40E4-4699-B9F5-50CB66C085C6}"/>
    <cellStyle name="Normal 9 2 11" xfId="4879" xr:uid="{50A7DAB8-483E-49D4-917D-42D11B5786C3}"/>
    <cellStyle name="Normal 9 2 2" xfId="515" xr:uid="{00000000-0005-0000-0000-00009D030000}"/>
    <cellStyle name="Normal 9 2 2 10" xfId="4880" xr:uid="{EB21AFB2-D6D1-42EA-B6F6-4A97DA495972}"/>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1" xr:uid="{51998803-A081-495F-8F84-21F53E182591}"/>
    <cellStyle name="Normal 9 2 2 2 2 2 2 2 2" xfId="7441" xr:uid="{DAF528A5-0AE3-4278-A266-FA2B88FD9FE2}"/>
    <cellStyle name="Normal 9 2 2 2 2 2 2 3" xfId="5296" xr:uid="{02321AB4-C542-45B8-9BAB-7FC318F9A567}"/>
    <cellStyle name="Normal 9 2 2 2 2 2 3" xfId="1405" xr:uid="{93673C85-DFB1-4728-9CE5-EA12CE633110}"/>
    <cellStyle name="Normal 9 2 2 2 2 2 3 2" xfId="3639" xr:uid="{83AD7416-9D4F-4684-BB24-8939E0428770}"/>
    <cellStyle name="Normal 9 2 2 2 2 2 3 2 2" xfId="7854" xr:uid="{08EC68EF-59DC-47B5-B9D8-32CAB6E325B7}"/>
    <cellStyle name="Normal 9 2 2 2 2 2 3 3" xfId="5709" xr:uid="{0E24286D-FEB6-47C2-84AF-CD04CA300F39}"/>
    <cellStyle name="Normal 9 2 2 2 2 2 4" xfId="2236" xr:uid="{941C135E-79EB-41B6-909C-A66FEA3BDECF}"/>
    <cellStyle name="Normal 9 2 2 2 2 2 4 2" xfId="4052" xr:uid="{69CB7275-8789-431B-929B-DA4E8C8F2A40}"/>
    <cellStyle name="Normal 9 2 2 2 2 2 4 2 2" xfId="8267" xr:uid="{84DB3858-640C-46B4-8FF6-8FB7D1027D60}"/>
    <cellStyle name="Normal 9 2 2 2 2 2 4 3" xfId="6122" xr:uid="{5CCB8937-1047-44E8-AE1E-0C2815FE18AF}"/>
    <cellStyle name="Normal 9 2 2 2 2 2 5" xfId="2649" xr:uid="{17763DC9-A21B-4100-970F-CBBB889CC464}"/>
    <cellStyle name="Normal 9 2 2 2 2 2 5 2" xfId="4465" xr:uid="{39358CA8-F35A-47F2-A00A-CCE3076CBA4F}"/>
    <cellStyle name="Normal 9 2 2 2 2 2 5 2 2" xfId="8680" xr:uid="{FA67C5B4-5588-468D-B6D1-07BF6F9F43D4}"/>
    <cellStyle name="Normal 9 2 2 2 2 2 5 3" xfId="6535" xr:uid="{4D8E9975-D242-415C-AC6C-93F205E4238E}"/>
    <cellStyle name="Normal 9 2 2 2 2 2 6" xfId="3085" xr:uid="{4421D0BA-7CE0-415A-8B39-ED23E8DCA8F0}"/>
    <cellStyle name="Normal 9 2 2 2 2 2 6 2" xfId="6948" xr:uid="{683140C7-0475-410D-B024-D33DEF6D5CD1}"/>
    <cellStyle name="Normal 9 2 2 2 2 2 7" xfId="4883" xr:uid="{77FB8F2C-9C28-4570-8CF3-966DE432FB5F}"/>
    <cellStyle name="Normal 9 2 2 2 2 3" xfId="989" xr:uid="{00000000-0005-0000-0000-0000A2030000}"/>
    <cellStyle name="Normal 9 2 2 2 2 3 2" xfId="1820" xr:uid="{E482FEFE-1480-45C2-88E0-7407F7712D5D}"/>
    <cellStyle name="Normal 9 2 2 2 2 3 2 2" xfId="7440" xr:uid="{D4B199D3-71B8-40B3-8D96-4B47B22D6916}"/>
    <cellStyle name="Normal 9 2 2 2 2 3 3" xfId="5295" xr:uid="{5F39E125-0268-4DD8-8E80-7462B38787D1}"/>
    <cellStyle name="Normal 9 2 2 2 2 4" xfId="1404" xr:uid="{F38AE109-95CA-40D7-8E6C-DCE9362596F9}"/>
    <cellStyle name="Normal 9 2 2 2 2 4 2" xfId="3638" xr:uid="{53B74642-6861-40E6-9FC2-2A10B2D52229}"/>
    <cellStyle name="Normal 9 2 2 2 2 4 2 2" xfId="7853" xr:uid="{8FFBF471-CAF2-403E-8A33-A13B27B772CB}"/>
    <cellStyle name="Normal 9 2 2 2 2 4 3" xfId="5708" xr:uid="{D8F665ED-E60A-4547-B5FD-0DAF6A2AF68C}"/>
    <cellStyle name="Normal 9 2 2 2 2 5" xfId="2235" xr:uid="{38C87D19-44A8-4ECE-836B-74A62E89704A}"/>
    <cellStyle name="Normal 9 2 2 2 2 5 2" xfId="4051" xr:uid="{8ADAADA5-93CB-46CE-B2CB-B06F4D0C59DB}"/>
    <cellStyle name="Normal 9 2 2 2 2 5 2 2" xfId="8266" xr:uid="{4C113CD8-685E-4AC4-96EF-B15C5F98010A}"/>
    <cellStyle name="Normal 9 2 2 2 2 5 3" xfId="6121" xr:uid="{95ACBBF1-53A3-4ED4-9A54-5F55E286A6D8}"/>
    <cellStyle name="Normal 9 2 2 2 2 6" xfId="2648" xr:uid="{1D968711-5952-4D04-A2B8-41EAD52614EF}"/>
    <cellStyle name="Normal 9 2 2 2 2 6 2" xfId="4464" xr:uid="{CBFD0A6D-26EC-44EF-9887-24E66532A56E}"/>
    <cellStyle name="Normal 9 2 2 2 2 6 2 2" xfId="8679" xr:uid="{1882DD18-03DE-44C4-864A-6B3F78133390}"/>
    <cellStyle name="Normal 9 2 2 2 2 6 3" xfId="6534" xr:uid="{1EE5D520-5A27-41CD-96BA-948F65511922}"/>
    <cellStyle name="Normal 9 2 2 2 2 7" xfId="3084" xr:uid="{C6F0E632-C4B5-4858-9877-D0C8AF192DC7}"/>
    <cellStyle name="Normal 9 2 2 2 2 7 2" xfId="6947" xr:uid="{58D0AABB-E1B2-4DE3-96DF-86C61D2408AC}"/>
    <cellStyle name="Normal 9 2 2 2 2 8" xfId="4882" xr:uid="{8409E029-D3AA-4559-AC2A-AEC23EA1560B}"/>
    <cellStyle name="Normal 9 2 2 2 3" xfId="519" xr:uid="{00000000-0005-0000-0000-0000A3030000}"/>
    <cellStyle name="Normal 9 2 2 2 3 2" xfId="991" xr:uid="{00000000-0005-0000-0000-0000A4030000}"/>
    <cellStyle name="Normal 9 2 2 2 3 2 2" xfId="1822" xr:uid="{DDC615AA-9576-416C-8E41-FD565CC41FD2}"/>
    <cellStyle name="Normal 9 2 2 2 3 2 2 2" xfId="7442" xr:uid="{A454BB38-698E-4825-94D7-7B3ED1B4C316}"/>
    <cellStyle name="Normal 9 2 2 2 3 2 3" xfId="5297" xr:uid="{37E32DE7-D8ED-42FC-92C7-73E74C7D87A2}"/>
    <cellStyle name="Normal 9 2 2 2 3 3" xfId="1406" xr:uid="{E8EEE480-94D7-4AAA-9011-C791FE391AF6}"/>
    <cellStyle name="Normal 9 2 2 2 3 3 2" xfId="3640" xr:uid="{BE396563-A631-425E-9B09-F2248B760A22}"/>
    <cellStyle name="Normal 9 2 2 2 3 3 2 2" xfId="7855" xr:uid="{A035F691-1A5F-4563-9B4B-E0060454A0DF}"/>
    <cellStyle name="Normal 9 2 2 2 3 3 3" xfId="5710" xr:uid="{303CDF7A-30FA-41A1-868A-B4145D86FFEB}"/>
    <cellStyle name="Normal 9 2 2 2 3 4" xfId="2237" xr:uid="{64D5C2F8-24CB-4FF1-8086-741D81DA89DE}"/>
    <cellStyle name="Normal 9 2 2 2 3 4 2" xfId="4053" xr:uid="{21B41ED0-9A91-44F3-BFD9-670C90965694}"/>
    <cellStyle name="Normal 9 2 2 2 3 4 2 2" xfId="8268" xr:uid="{E6336554-CC14-4530-BD65-059EDD204151}"/>
    <cellStyle name="Normal 9 2 2 2 3 4 3" xfId="6123" xr:uid="{84F62355-E723-420B-BA8D-3EBBE2C11D9E}"/>
    <cellStyle name="Normal 9 2 2 2 3 5" xfId="2650" xr:uid="{42F8ECE7-BC91-44E5-BEAB-54DC22F63A44}"/>
    <cellStyle name="Normal 9 2 2 2 3 5 2" xfId="4466" xr:uid="{4CE4376E-A34C-4D40-B9C0-35F370917621}"/>
    <cellStyle name="Normal 9 2 2 2 3 5 2 2" xfId="8681" xr:uid="{9627E380-B891-402E-AB1C-6D1CC87603AB}"/>
    <cellStyle name="Normal 9 2 2 2 3 5 3" xfId="6536" xr:uid="{474BFBB8-FEA7-4EC0-AE76-932788437DF4}"/>
    <cellStyle name="Normal 9 2 2 2 3 6" xfId="3086" xr:uid="{BAF07FF8-1206-4F6F-9B0F-DF1C7CBE639A}"/>
    <cellStyle name="Normal 9 2 2 2 3 6 2" xfId="6949" xr:uid="{C7B43E01-C85E-48D7-AF51-9353A726221F}"/>
    <cellStyle name="Normal 9 2 2 2 3 7" xfId="4884" xr:uid="{4ECC41B1-8E39-470B-85BA-95B6E677BB8B}"/>
    <cellStyle name="Normal 9 2 2 2 4" xfId="988" xr:uid="{00000000-0005-0000-0000-0000A5030000}"/>
    <cellStyle name="Normal 9 2 2 2 4 2" xfId="1819" xr:uid="{28181FFB-A606-4290-8BCA-8BC02C45328D}"/>
    <cellStyle name="Normal 9 2 2 2 4 2 2" xfId="7439" xr:uid="{1628DD28-1322-453E-A124-36A705FC1B9B}"/>
    <cellStyle name="Normal 9 2 2 2 4 3" xfId="5294" xr:uid="{3B20950D-88AA-4642-B653-37374CB49442}"/>
    <cellStyle name="Normal 9 2 2 2 5" xfId="1403" xr:uid="{DFD28FF2-6886-4EF4-B5AE-B4290A1740AD}"/>
    <cellStyle name="Normal 9 2 2 2 5 2" xfId="3637" xr:uid="{D898C0F9-C200-42EB-93B8-72975EA06C0F}"/>
    <cellStyle name="Normal 9 2 2 2 5 2 2" xfId="7852" xr:uid="{CBECDB24-DCFD-49C0-AA5D-9477D45E00A1}"/>
    <cellStyle name="Normal 9 2 2 2 5 3" xfId="5707" xr:uid="{B81D5C60-1719-4608-BB20-FA8466DB503D}"/>
    <cellStyle name="Normal 9 2 2 2 6" xfId="2234" xr:uid="{D74B1B60-E341-4AC3-A53E-6278A8477A2F}"/>
    <cellStyle name="Normal 9 2 2 2 6 2" xfId="4050" xr:uid="{2E01C9DD-CDC9-4D7D-8192-0998C49E3CD4}"/>
    <cellStyle name="Normal 9 2 2 2 6 2 2" xfId="8265" xr:uid="{FD38D799-AABE-4C52-AAD6-5519D367C8E4}"/>
    <cellStyle name="Normal 9 2 2 2 6 3" xfId="6120" xr:uid="{98264C90-57A5-42E9-B790-47C36821CAD7}"/>
    <cellStyle name="Normal 9 2 2 2 7" xfId="2647" xr:uid="{C5C2AF37-888D-4F7F-94B9-BD75F84DE10D}"/>
    <cellStyle name="Normal 9 2 2 2 7 2" xfId="4463" xr:uid="{0E4A3B8B-9326-47E3-8598-1DFE7107DA24}"/>
    <cellStyle name="Normal 9 2 2 2 7 2 2" xfId="8678" xr:uid="{D654CBB9-5F05-4077-B0F3-4A59156FDE14}"/>
    <cellStyle name="Normal 9 2 2 2 7 3" xfId="6533" xr:uid="{EF683FBE-BCD8-4E2F-8F32-8F0185A48650}"/>
    <cellStyle name="Normal 9 2 2 2 8" xfId="3083" xr:uid="{5DD10BC4-FD52-43C2-96FF-9FAC745AE888}"/>
    <cellStyle name="Normal 9 2 2 2 8 2" xfId="6946" xr:uid="{89C632FB-55C4-4F41-BFD1-9A34E6A2AF71}"/>
    <cellStyle name="Normal 9 2 2 2 9" xfId="4881" xr:uid="{8CDFA452-F134-4825-9648-C7FD2DA65118}"/>
    <cellStyle name="Normal 9 2 2 3" xfId="520" xr:uid="{00000000-0005-0000-0000-0000A6030000}"/>
    <cellStyle name="Normal 9 2 2 3 2" xfId="521" xr:uid="{00000000-0005-0000-0000-0000A7030000}"/>
    <cellStyle name="Normal 9 2 2 3 2 2" xfId="993" xr:uid="{00000000-0005-0000-0000-0000A8030000}"/>
    <cellStyle name="Normal 9 2 2 3 2 2 2" xfId="1824" xr:uid="{9126F17C-A68B-4271-94F8-A47A6C3C9E61}"/>
    <cellStyle name="Normal 9 2 2 3 2 2 2 2" xfId="7444" xr:uid="{E7415F81-A4A9-4708-8908-10601C31B3D1}"/>
    <cellStyle name="Normal 9 2 2 3 2 2 3" xfId="5299" xr:uid="{A2C492C8-C895-40B0-BDE3-EE9D6B657FC0}"/>
    <cellStyle name="Normal 9 2 2 3 2 3" xfId="1408" xr:uid="{FA0E07B1-685D-43F1-BC67-62AB5B3F52D2}"/>
    <cellStyle name="Normal 9 2 2 3 2 3 2" xfId="3642" xr:uid="{D9F02B19-F780-4B6D-9A5F-BC3B5F187289}"/>
    <cellStyle name="Normal 9 2 2 3 2 3 2 2" xfId="7857" xr:uid="{EF34CC16-33E9-4E08-8205-21E4B893E5F6}"/>
    <cellStyle name="Normal 9 2 2 3 2 3 3" xfId="5712" xr:uid="{BE89591F-6123-4EAF-815D-A7FDDE8487E9}"/>
    <cellStyle name="Normal 9 2 2 3 2 4" xfId="2239" xr:uid="{316D0B00-D575-407C-81E6-1473B5FD1DC2}"/>
    <cellStyle name="Normal 9 2 2 3 2 4 2" xfId="4055" xr:uid="{EC55E140-C093-4291-90F5-37911243A411}"/>
    <cellStyle name="Normal 9 2 2 3 2 4 2 2" xfId="8270" xr:uid="{AAFDEFFA-5F24-4F8A-8D17-21088E69BE86}"/>
    <cellStyle name="Normal 9 2 2 3 2 4 3" xfId="6125" xr:uid="{E21A921E-C68F-463F-9D6A-6A053A8582E5}"/>
    <cellStyle name="Normal 9 2 2 3 2 5" xfId="2652" xr:uid="{70042F09-E8B2-4B7D-AFCC-D578C3D32F7B}"/>
    <cellStyle name="Normal 9 2 2 3 2 5 2" xfId="4468" xr:uid="{6DE57A1B-1E6F-43B7-B438-040361E8F056}"/>
    <cellStyle name="Normal 9 2 2 3 2 5 2 2" xfId="8683" xr:uid="{E066CF7C-B1B7-4866-9E50-1A5D459FB874}"/>
    <cellStyle name="Normal 9 2 2 3 2 5 3" xfId="6538" xr:uid="{C9E3E3BB-A55B-4FAF-9272-8D09858406D9}"/>
    <cellStyle name="Normal 9 2 2 3 2 6" xfId="3088" xr:uid="{A723B6A4-21E0-4078-A9E4-29F8F8872744}"/>
    <cellStyle name="Normal 9 2 2 3 2 6 2" xfId="6951" xr:uid="{72F57F5B-00FE-4756-8143-1863F8A58257}"/>
    <cellStyle name="Normal 9 2 2 3 2 7" xfId="4886" xr:uid="{DBAE5F04-3C09-4B0F-B628-FB93F8429A2A}"/>
    <cellStyle name="Normal 9 2 2 3 3" xfId="992" xr:uid="{00000000-0005-0000-0000-0000A9030000}"/>
    <cellStyle name="Normal 9 2 2 3 3 2" xfId="1823" xr:uid="{4B8150B5-2F9F-4594-ACCA-B0BEE8298E8A}"/>
    <cellStyle name="Normal 9 2 2 3 3 2 2" xfId="7443" xr:uid="{5B5E8932-94C9-458A-B4D9-1C3CBF266B27}"/>
    <cellStyle name="Normal 9 2 2 3 3 3" xfId="5298" xr:uid="{A39F2771-F8EC-41E4-8B91-FAB62AE819D8}"/>
    <cellStyle name="Normal 9 2 2 3 4" xfId="1407" xr:uid="{C7ACA4C5-C594-4FE4-8D72-A2AFC9B10B72}"/>
    <cellStyle name="Normal 9 2 2 3 4 2" xfId="3641" xr:uid="{EA0E4E2F-1279-4F9B-9482-B8EF404DC570}"/>
    <cellStyle name="Normal 9 2 2 3 4 2 2" xfId="7856" xr:uid="{4389BDBB-486E-410D-82B3-39B1109E7899}"/>
    <cellStyle name="Normal 9 2 2 3 4 3" xfId="5711" xr:uid="{B6479260-433D-41A5-A23A-25B6A76BE190}"/>
    <cellStyle name="Normal 9 2 2 3 5" xfId="2238" xr:uid="{CD43187B-EFCC-4E8D-9DC2-6D4BAE87DC4E}"/>
    <cellStyle name="Normal 9 2 2 3 5 2" xfId="4054" xr:uid="{A8BBFAB1-6A07-4085-B07C-F9D66FB11921}"/>
    <cellStyle name="Normal 9 2 2 3 5 2 2" xfId="8269" xr:uid="{E2160F5F-6E1A-4773-9ECF-EA8A0BF8F290}"/>
    <cellStyle name="Normal 9 2 2 3 5 3" xfId="6124" xr:uid="{73179C44-61C7-4F9B-8670-4D88A9ABE6A8}"/>
    <cellStyle name="Normal 9 2 2 3 6" xfId="2651" xr:uid="{021D919F-6DD9-4BD9-82F1-8BC68B354974}"/>
    <cellStyle name="Normal 9 2 2 3 6 2" xfId="4467" xr:uid="{CDB76382-B4D4-4CF7-BD67-278455EC79D3}"/>
    <cellStyle name="Normal 9 2 2 3 6 2 2" xfId="8682" xr:uid="{34B34C7E-53AE-45A7-9A4D-38BA8EF01C55}"/>
    <cellStyle name="Normal 9 2 2 3 6 3" xfId="6537" xr:uid="{8F36D6EF-7A68-4913-BC65-1B2BB58BA037}"/>
    <cellStyle name="Normal 9 2 2 3 7" xfId="3087" xr:uid="{79E917A9-6F18-4E0A-946A-5D7A80223468}"/>
    <cellStyle name="Normal 9 2 2 3 7 2" xfId="6950" xr:uid="{D2CEE145-20AF-4E1F-9642-77863A3AE05D}"/>
    <cellStyle name="Normal 9 2 2 3 8" xfId="4885" xr:uid="{C16808B0-1A7B-4B90-9099-74EE77DE7D6A}"/>
    <cellStyle name="Normal 9 2 2 4" xfId="522" xr:uid="{00000000-0005-0000-0000-0000AA030000}"/>
    <cellStyle name="Normal 9 2 2 4 2" xfId="994" xr:uid="{00000000-0005-0000-0000-0000AB030000}"/>
    <cellStyle name="Normal 9 2 2 4 2 2" xfId="1825" xr:uid="{E4A8D3A1-5ADD-4A55-8C91-FE12166C66B0}"/>
    <cellStyle name="Normal 9 2 2 4 2 2 2" xfId="7445" xr:uid="{C145847A-A1A6-413B-BE37-E8366D7BAF22}"/>
    <cellStyle name="Normal 9 2 2 4 2 3" xfId="5300" xr:uid="{ABEBF22E-B74A-4E57-A6F5-5AAD6D331FBD}"/>
    <cellStyle name="Normal 9 2 2 4 3" xfId="1409" xr:uid="{D10CBA5A-81E1-4D48-B1EF-717A614E9573}"/>
    <cellStyle name="Normal 9 2 2 4 3 2" xfId="3643" xr:uid="{A0069930-54D2-462E-A0EE-E41CB89586A2}"/>
    <cellStyle name="Normal 9 2 2 4 3 2 2" xfId="7858" xr:uid="{D1D1998F-FD37-4BD8-B98D-A055545378CE}"/>
    <cellStyle name="Normal 9 2 2 4 3 3" xfId="5713" xr:uid="{89AD44EB-0D93-44D3-8652-17CEE20318A9}"/>
    <cellStyle name="Normal 9 2 2 4 4" xfId="2240" xr:uid="{5B08B27D-8722-434B-8AAF-F5B9DA311B93}"/>
    <cellStyle name="Normal 9 2 2 4 4 2" xfId="4056" xr:uid="{1804AB7E-DDC7-41BD-BA25-E90D319B8C5E}"/>
    <cellStyle name="Normal 9 2 2 4 4 2 2" xfId="8271" xr:uid="{82B160D2-754D-44DD-B206-F46EBAACB7F0}"/>
    <cellStyle name="Normal 9 2 2 4 4 3" xfId="6126" xr:uid="{DA5CC133-4ABF-4DD8-BDA9-ADCC4F114D8F}"/>
    <cellStyle name="Normal 9 2 2 4 5" xfId="2653" xr:uid="{9B32548C-295C-4EA4-8815-1F13100F3661}"/>
    <cellStyle name="Normal 9 2 2 4 5 2" xfId="4469" xr:uid="{0065DFA2-9156-4A0A-A40C-8FD49803B443}"/>
    <cellStyle name="Normal 9 2 2 4 5 2 2" xfId="8684" xr:uid="{3ABAB92E-F773-44F1-AAAA-6C687AC625F6}"/>
    <cellStyle name="Normal 9 2 2 4 5 3" xfId="6539" xr:uid="{70784D3D-E8C1-40A4-A5C0-2A368C4C6B64}"/>
    <cellStyle name="Normal 9 2 2 4 6" xfId="3089" xr:uid="{95191ADB-49A1-48D8-B7A7-E536F73996A3}"/>
    <cellStyle name="Normal 9 2 2 4 6 2" xfId="6952" xr:uid="{3C87A8F9-AAA5-459E-9E22-6FA78B479A13}"/>
    <cellStyle name="Normal 9 2 2 4 7" xfId="4887" xr:uid="{81974360-A274-44EE-BE6F-16D92CE9A277}"/>
    <cellStyle name="Normal 9 2 2 5" xfId="987" xr:uid="{00000000-0005-0000-0000-0000AC030000}"/>
    <cellStyle name="Normal 9 2 2 5 2" xfId="1818" xr:uid="{5382D4BC-F73A-4023-82E0-7670352C4BAE}"/>
    <cellStyle name="Normal 9 2 2 5 2 2" xfId="7438" xr:uid="{0A9EBACD-F149-4BC2-B3E6-7D9B95F1A7F6}"/>
    <cellStyle name="Normal 9 2 2 5 3" xfId="5293" xr:uid="{C70CC6A0-C671-49F3-8B7A-6B54015A6326}"/>
    <cellStyle name="Normal 9 2 2 6" xfId="1402" xr:uid="{CE7956F6-5FD7-4E13-942F-3939F373CCF7}"/>
    <cellStyle name="Normal 9 2 2 6 2" xfId="3636" xr:uid="{1AC853D9-1EFC-4C10-BD65-CBE68EE97787}"/>
    <cellStyle name="Normal 9 2 2 6 2 2" xfId="7851" xr:uid="{BF013B2F-0F5D-458D-90F0-DAAB3D04F8E3}"/>
    <cellStyle name="Normal 9 2 2 6 3" xfId="5706" xr:uid="{C01F0401-005D-44EB-97C8-FF759FBA958F}"/>
    <cellStyle name="Normal 9 2 2 7" xfId="2233" xr:uid="{FA697879-37D0-43DE-ADCB-304CC75B718C}"/>
    <cellStyle name="Normal 9 2 2 7 2" xfId="4049" xr:uid="{B5BE7861-BB49-456A-8988-F83A45726768}"/>
    <cellStyle name="Normal 9 2 2 7 2 2" xfId="8264" xr:uid="{A0419F5F-AC67-42B6-9E0E-8BFA959316D6}"/>
    <cellStyle name="Normal 9 2 2 7 3" xfId="6119" xr:uid="{73C43306-93CF-431F-94D2-0B7BD3D0A5F2}"/>
    <cellStyle name="Normal 9 2 2 8" xfId="2646" xr:uid="{E34B6B0F-E94E-4BF2-B3FC-C13D1B257F69}"/>
    <cellStyle name="Normal 9 2 2 8 2" xfId="4462" xr:uid="{560D84A5-2BB7-41A6-8797-D189A268552A}"/>
    <cellStyle name="Normal 9 2 2 8 2 2" xfId="8677" xr:uid="{7B529543-B156-4017-B4A4-F57177D294BA}"/>
    <cellStyle name="Normal 9 2 2 8 3" xfId="6532" xr:uid="{0A6BBF1E-8936-416E-843D-89C3D34B503B}"/>
    <cellStyle name="Normal 9 2 2 9" xfId="3082" xr:uid="{7FB2826F-0F30-42A0-B981-DAD00D7BEF57}"/>
    <cellStyle name="Normal 9 2 2 9 2" xfId="6945" xr:uid="{98721DE8-AC70-49E0-B6B6-05235577861B}"/>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8" xr:uid="{5117CE0C-E2BD-409C-AEC8-EA546BEFAC76}"/>
    <cellStyle name="Normal 9 2 3 2 2 2 2 2" xfId="7448" xr:uid="{049CECA6-889F-4F9C-911B-39B23A236242}"/>
    <cellStyle name="Normal 9 2 3 2 2 2 3" xfId="5303" xr:uid="{A7EE0450-1DD5-4DCD-89E9-77E168024181}"/>
    <cellStyle name="Normal 9 2 3 2 2 3" xfId="1412" xr:uid="{0D9C8B74-4A69-49B0-B21A-BE79AA0F1D9A}"/>
    <cellStyle name="Normal 9 2 3 2 2 3 2" xfId="3646" xr:uid="{8538450F-3F3B-451D-81F0-1AF91C4C1689}"/>
    <cellStyle name="Normal 9 2 3 2 2 3 2 2" xfId="7861" xr:uid="{0794BB55-C2E3-49EF-8CA1-241050E88E15}"/>
    <cellStyle name="Normal 9 2 3 2 2 3 3" xfId="5716" xr:uid="{6B23B228-2479-4DA6-86EF-E3F4B68BF698}"/>
    <cellStyle name="Normal 9 2 3 2 2 4" xfId="2243" xr:uid="{DC0D0846-74A4-4479-86D1-7355C572F6D4}"/>
    <cellStyle name="Normal 9 2 3 2 2 4 2" xfId="4059" xr:uid="{30F5EF2B-5C93-4BB7-A499-88F45B739195}"/>
    <cellStyle name="Normal 9 2 3 2 2 4 2 2" xfId="8274" xr:uid="{ACAAD813-E1EF-4E98-8DBD-257E51D1336B}"/>
    <cellStyle name="Normal 9 2 3 2 2 4 3" xfId="6129" xr:uid="{C1DA449F-B297-4875-8779-DB4F0F37FC7C}"/>
    <cellStyle name="Normal 9 2 3 2 2 5" xfId="2656" xr:uid="{7E1A47B5-17F6-49BD-BD41-758EC319B09C}"/>
    <cellStyle name="Normal 9 2 3 2 2 5 2" xfId="4472" xr:uid="{CC12AB32-292F-4754-8F5A-BA13F578831B}"/>
    <cellStyle name="Normal 9 2 3 2 2 5 2 2" xfId="8687" xr:uid="{6980C298-7AD4-4FAC-9756-733498082A67}"/>
    <cellStyle name="Normal 9 2 3 2 2 5 3" xfId="6542" xr:uid="{3A80D100-38CA-485B-A651-B84BB01EA388}"/>
    <cellStyle name="Normal 9 2 3 2 2 6" xfId="3092" xr:uid="{DEE78311-87C3-4108-AC28-D1B474403DEC}"/>
    <cellStyle name="Normal 9 2 3 2 2 6 2" xfId="6955" xr:uid="{4130C544-DC79-4A35-A21E-D6BA440036E3}"/>
    <cellStyle name="Normal 9 2 3 2 2 7" xfId="4890" xr:uid="{A0E6DCD1-DE40-40C5-8403-41078AC5C17F}"/>
    <cellStyle name="Normal 9 2 3 2 3" xfId="996" xr:uid="{00000000-0005-0000-0000-0000B1030000}"/>
    <cellStyle name="Normal 9 2 3 2 3 2" xfId="1827" xr:uid="{06D310E8-06E9-46B3-A575-53F6402E4AD8}"/>
    <cellStyle name="Normal 9 2 3 2 3 2 2" xfId="7447" xr:uid="{11E1796A-3C2A-44AE-9163-4EB9376F3C48}"/>
    <cellStyle name="Normal 9 2 3 2 3 3" xfId="5302" xr:uid="{C01D7952-4153-46B7-B3A1-9A58D4DD23C6}"/>
    <cellStyle name="Normal 9 2 3 2 4" xfId="1411" xr:uid="{E5EE2205-3FD5-4DE2-AAEC-916F16A023E4}"/>
    <cellStyle name="Normal 9 2 3 2 4 2" xfId="3645" xr:uid="{9AFC208F-3A39-40BD-8652-54F21665689E}"/>
    <cellStyle name="Normal 9 2 3 2 4 2 2" xfId="7860" xr:uid="{F4B11560-FF89-4AC8-B15F-17CC378F7539}"/>
    <cellStyle name="Normal 9 2 3 2 4 3" xfId="5715" xr:uid="{9EB4DC62-810D-4CFC-AFE9-92C938795A04}"/>
    <cellStyle name="Normal 9 2 3 2 5" xfId="2242" xr:uid="{C438DA14-08AA-4FFA-88ED-5B2B3504627F}"/>
    <cellStyle name="Normal 9 2 3 2 5 2" xfId="4058" xr:uid="{C4FFBBCA-28D0-4242-8520-C14FC7FE44D3}"/>
    <cellStyle name="Normal 9 2 3 2 5 2 2" xfId="8273" xr:uid="{64A23327-5726-42BD-8859-87F272367536}"/>
    <cellStyle name="Normal 9 2 3 2 5 3" xfId="6128" xr:uid="{5C6C81F1-B014-4E73-AB76-08734A024A3A}"/>
    <cellStyle name="Normal 9 2 3 2 6" xfId="2655" xr:uid="{41BF15BD-FE08-4D33-A8B5-6B85CE928FA3}"/>
    <cellStyle name="Normal 9 2 3 2 6 2" xfId="4471" xr:uid="{ABD905CA-4A4E-4329-8933-CB6A81D39838}"/>
    <cellStyle name="Normal 9 2 3 2 6 2 2" xfId="8686" xr:uid="{EDBD82DB-91F4-4AF2-A5AB-348C00AEDE14}"/>
    <cellStyle name="Normal 9 2 3 2 6 3" xfId="6541" xr:uid="{FC8F7F63-3094-4CEB-BF0B-96E68B84025F}"/>
    <cellStyle name="Normal 9 2 3 2 7" xfId="3091" xr:uid="{5D748101-74BE-415A-8535-D04877CA60A2}"/>
    <cellStyle name="Normal 9 2 3 2 7 2" xfId="6954" xr:uid="{A1D09900-929E-4041-AC7C-BC23837182DF}"/>
    <cellStyle name="Normal 9 2 3 2 8" xfId="4889" xr:uid="{30957907-46B9-45F1-97D9-88F71A106FAA}"/>
    <cellStyle name="Normal 9 2 3 3" xfId="526" xr:uid="{00000000-0005-0000-0000-0000B2030000}"/>
    <cellStyle name="Normal 9 2 3 3 2" xfId="998" xr:uid="{00000000-0005-0000-0000-0000B3030000}"/>
    <cellStyle name="Normal 9 2 3 3 2 2" xfId="1829" xr:uid="{D57BCAEC-B3BD-415C-8A47-C1017A1F4BCE}"/>
    <cellStyle name="Normal 9 2 3 3 2 2 2" xfId="7449" xr:uid="{0F640E08-2F39-4E4B-B991-2AC7D714A9C4}"/>
    <cellStyle name="Normal 9 2 3 3 2 3" xfId="5304" xr:uid="{553C8DF5-1F85-4367-B181-BBEEB584DACD}"/>
    <cellStyle name="Normal 9 2 3 3 3" xfId="1413" xr:uid="{92BD47F9-8FB2-47DE-9841-4EF8E4E28534}"/>
    <cellStyle name="Normal 9 2 3 3 3 2" xfId="3647" xr:uid="{8B5DAB24-10BF-4C03-8CAC-47911EE2F39D}"/>
    <cellStyle name="Normal 9 2 3 3 3 2 2" xfId="7862" xr:uid="{ABD0B278-0644-4A37-8C40-437D6E18761A}"/>
    <cellStyle name="Normal 9 2 3 3 3 3" xfId="5717" xr:uid="{937AC775-E4AE-48FE-A045-F659C3CDE212}"/>
    <cellStyle name="Normal 9 2 3 3 4" xfId="2244" xr:uid="{D45D0D34-D7E7-49A4-A145-4D448129F0D4}"/>
    <cellStyle name="Normal 9 2 3 3 4 2" xfId="4060" xr:uid="{7FAAADF7-F70D-4D68-933D-65BF12980E10}"/>
    <cellStyle name="Normal 9 2 3 3 4 2 2" xfId="8275" xr:uid="{8E8FCAAA-A23D-4D67-B7AA-2135150DBEE2}"/>
    <cellStyle name="Normal 9 2 3 3 4 3" xfId="6130" xr:uid="{A74EFC02-91D7-48A2-9397-AB50F4EFFD7C}"/>
    <cellStyle name="Normal 9 2 3 3 5" xfId="2657" xr:uid="{CE004975-9EA4-4CD1-BA11-6B95446AEC4A}"/>
    <cellStyle name="Normal 9 2 3 3 5 2" xfId="4473" xr:uid="{DB0DD345-5860-4EDD-967C-2D5BB8B682E0}"/>
    <cellStyle name="Normal 9 2 3 3 5 2 2" xfId="8688" xr:uid="{761715F1-B07E-434C-8C47-5C36CD90CC6A}"/>
    <cellStyle name="Normal 9 2 3 3 5 3" xfId="6543" xr:uid="{49304441-CFE1-48DC-B29E-3935FA42702A}"/>
    <cellStyle name="Normal 9 2 3 3 6" xfId="3093" xr:uid="{BFBB6B38-C836-4434-A681-2FA6482D88C8}"/>
    <cellStyle name="Normal 9 2 3 3 6 2" xfId="6956" xr:uid="{8AD31FDE-492B-453A-A7D2-2800D802D176}"/>
    <cellStyle name="Normal 9 2 3 3 7" xfId="4891" xr:uid="{AD011DB4-58C8-47F1-95F1-0BA7502A57AA}"/>
    <cellStyle name="Normal 9 2 3 4" xfId="995" xr:uid="{00000000-0005-0000-0000-0000B4030000}"/>
    <cellStyle name="Normal 9 2 3 4 2" xfId="1826" xr:uid="{5D16939B-C3D0-476F-8856-6750E76ABF62}"/>
    <cellStyle name="Normal 9 2 3 4 2 2" xfId="7446" xr:uid="{D4E00E63-689A-44A7-AACD-261AEB97DEDA}"/>
    <cellStyle name="Normal 9 2 3 4 3" xfId="5301" xr:uid="{1C3297DC-8E34-4706-9023-6D6B2EEF79CD}"/>
    <cellStyle name="Normal 9 2 3 5" xfId="1410" xr:uid="{E4304274-989F-4E59-B187-502EA062B914}"/>
    <cellStyle name="Normal 9 2 3 5 2" xfId="3644" xr:uid="{07194E55-2DBD-4E2C-AFD2-2AA401B0CEA8}"/>
    <cellStyle name="Normal 9 2 3 5 2 2" xfId="7859" xr:uid="{92064C6B-57C8-4EA0-AC4A-136046CBA24D}"/>
    <cellStyle name="Normal 9 2 3 5 3" xfId="5714" xr:uid="{90C5FC9D-B23A-4DE4-8623-9CFB4409B661}"/>
    <cellStyle name="Normal 9 2 3 6" xfId="2241" xr:uid="{6A0D4E4E-6335-4B60-AB38-739FEFDAA78E}"/>
    <cellStyle name="Normal 9 2 3 6 2" xfId="4057" xr:uid="{388859CB-8CC1-40DB-AD75-F7F7A4E167E5}"/>
    <cellStyle name="Normal 9 2 3 6 2 2" xfId="8272" xr:uid="{878FD410-053C-4B58-A898-3DDAD6573B08}"/>
    <cellStyle name="Normal 9 2 3 6 3" xfId="6127" xr:uid="{3BAA92F4-E4E0-4E49-A0E6-FB3068CEF335}"/>
    <cellStyle name="Normal 9 2 3 7" xfId="2654" xr:uid="{BD038244-FCCC-4DE1-8E98-DA0DDA6AEA6B}"/>
    <cellStyle name="Normal 9 2 3 7 2" xfId="4470" xr:uid="{35BF879B-8527-4C59-8270-0A23F590E0A1}"/>
    <cellStyle name="Normal 9 2 3 7 2 2" xfId="8685" xr:uid="{C81B7545-FF11-4D3F-A30F-87986269FB92}"/>
    <cellStyle name="Normal 9 2 3 7 3" xfId="6540" xr:uid="{DF57839E-05BF-4AE5-A24D-F57E65FDC638}"/>
    <cellStyle name="Normal 9 2 3 8" xfId="3090" xr:uid="{FF03DF28-A852-4AF4-A269-98A7486907F1}"/>
    <cellStyle name="Normal 9 2 3 8 2" xfId="6953" xr:uid="{1EDB012A-AB62-4C75-AAB5-842A73E88FA7}"/>
    <cellStyle name="Normal 9 2 3 9" xfId="4888" xr:uid="{0CBD7E3E-5C94-4D95-87A8-BB117383FDD1}"/>
    <cellStyle name="Normal 9 2 4" xfId="527" xr:uid="{00000000-0005-0000-0000-0000B5030000}"/>
    <cellStyle name="Normal 9 2 4 2" xfId="528" xr:uid="{00000000-0005-0000-0000-0000B6030000}"/>
    <cellStyle name="Normal 9 2 4 2 2" xfId="1000" xr:uid="{00000000-0005-0000-0000-0000B7030000}"/>
    <cellStyle name="Normal 9 2 4 2 2 2" xfId="1831" xr:uid="{B339C697-D140-44D5-8CB5-B67A71E8EDDB}"/>
    <cellStyle name="Normal 9 2 4 2 2 2 2" xfId="7451" xr:uid="{15C483DD-E3D7-45F3-A3C4-369DB55CF269}"/>
    <cellStyle name="Normal 9 2 4 2 2 3" xfId="5306" xr:uid="{F20F61A9-188E-47E0-8831-287CD9378B1D}"/>
    <cellStyle name="Normal 9 2 4 2 3" xfId="1415" xr:uid="{88498C08-6624-45A9-9DF1-EC3E3168F968}"/>
    <cellStyle name="Normal 9 2 4 2 3 2" xfId="3649" xr:uid="{D0EBCFE6-DE48-48BD-89A6-BB1244B7BA0F}"/>
    <cellStyle name="Normal 9 2 4 2 3 2 2" xfId="7864" xr:uid="{B8C3877D-DE8F-44A9-8BE3-640C6A2CD116}"/>
    <cellStyle name="Normal 9 2 4 2 3 3" xfId="5719" xr:uid="{19007CC8-5FE1-4FAD-9AD2-FD994EF538FD}"/>
    <cellStyle name="Normal 9 2 4 2 4" xfId="2246" xr:uid="{3AA18756-5EB0-4E6A-9BE9-A396B6B17209}"/>
    <cellStyle name="Normal 9 2 4 2 4 2" xfId="4062" xr:uid="{25C6BFB3-490F-4BEB-B7DD-93CD83FA42CC}"/>
    <cellStyle name="Normal 9 2 4 2 4 2 2" xfId="8277" xr:uid="{C719069A-C4B9-4000-BBAC-650DE0C295B0}"/>
    <cellStyle name="Normal 9 2 4 2 4 3" xfId="6132" xr:uid="{27254F5B-AB24-4DCF-8BDA-CE38A724ED88}"/>
    <cellStyle name="Normal 9 2 4 2 5" xfId="2659" xr:uid="{6F0D2FC2-5679-4878-84EE-A61BE3AE9F91}"/>
    <cellStyle name="Normal 9 2 4 2 5 2" xfId="4475" xr:uid="{8A7FE2CD-2913-4921-ABE7-65CF4ED54E6D}"/>
    <cellStyle name="Normal 9 2 4 2 5 2 2" xfId="8690" xr:uid="{6589ABFD-3573-4DF7-ACD4-26F7953A95A9}"/>
    <cellStyle name="Normal 9 2 4 2 5 3" xfId="6545" xr:uid="{4CA14017-F27F-46C5-816D-44A961509A33}"/>
    <cellStyle name="Normal 9 2 4 2 6" xfId="3095" xr:uid="{582620A7-C061-4569-AB72-B016C270A0D4}"/>
    <cellStyle name="Normal 9 2 4 2 6 2" xfId="6958" xr:uid="{2AB96252-910D-4A18-809B-0032CD2BDE19}"/>
    <cellStyle name="Normal 9 2 4 2 7" xfId="4893" xr:uid="{10D08172-D590-402D-AA64-2B6E8F414151}"/>
    <cellStyle name="Normal 9 2 4 3" xfId="999" xr:uid="{00000000-0005-0000-0000-0000B8030000}"/>
    <cellStyle name="Normal 9 2 4 3 2" xfId="1830" xr:uid="{EC14AD38-D7F1-4AE3-8C98-C4D041E0D2C6}"/>
    <cellStyle name="Normal 9 2 4 3 2 2" xfId="7450" xr:uid="{BE5E7603-03DD-4C6B-A302-2BAD81B45310}"/>
    <cellStyle name="Normal 9 2 4 3 3" xfId="5305" xr:uid="{3EA7F6AF-D443-450D-AF14-D7EDA636634A}"/>
    <cellStyle name="Normal 9 2 4 4" xfId="1414" xr:uid="{E09B46BA-C4A1-4439-8562-4AA864D39784}"/>
    <cellStyle name="Normal 9 2 4 4 2" xfId="3648" xr:uid="{C75CE351-2EB0-4758-B3B4-537F3620A708}"/>
    <cellStyle name="Normal 9 2 4 4 2 2" xfId="7863" xr:uid="{00A9EBF7-5C10-44A5-BF50-C1C734227819}"/>
    <cellStyle name="Normal 9 2 4 4 3" xfId="5718" xr:uid="{849BBFC0-CA95-44C5-B616-8623F2792B39}"/>
    <cellStyle name="Normal 9 2 4 5" xfId="2245" xr:uid="{C057625B-A132-4822-A4B8-0A8DB1B0EBC2}"/>
    <cellStyle name="Normal 9 2 4 5 2" xfId="4061" xr:uid="{9DCDF7E8-5836-4BB1-8D0E-29293DD915E6}"/>
    <cellStyle name="Normal 9 2 4 5 2 2" xfId="8276" xr:uid="{BC2F0D13-3504-4BD9-A366-67F2C7607C9E}"/>
    <cellStyle name="Normal 9 2 4 5 3" xfId="6131" xr:uid="{03034BB7-1903-400D-9264-6BDA7C07AEA5}"/>
    <cellStyle name="Normal 9 2 4 6" xfId="2658" xr:uid="{DCF2732B-A21B-4C41-8F8F-77A327E22190}"/>
    <cellStyle name="Normal 9 2 4 6 2" xfId="4474" xr:uid="{4A19F438-52A7-4722-8B4B-B11AA2D6AFA5}"/>
    <cellStyle name="Normal 9 2 4 6 2 2" xfId="8689" xr:uid="{68A5A1FA-03AD-4F34-B8C4-BF775E9EF207}"/>
    <cellStyle name="Normal 9 2 4 6 3" xfId="6544" xr:uid="{DDEC4584-DC94-459C-AEA1-BD3C89440541}"/>
    <cellStyle name="Normal 9 2 4 7" xfId="3094" xr:uid="{2B7BB984-EE44-4A30-802B-31F7FEA45191}"/>
    <cellStyle name="Normal 9 2 4 7 2" xfId="6957" xr:uid="{3996DE60-A9C1-4406-8191-407E890CEE53}"/>
    <cellStyle name="Normal 9 2 4 8" xfId="4892" xr:uid="{1E9BF8F3-A2C6-4852-8B8C-76F1991B9D28}"/>
    <cellStyle name="Normal 9 2 5" xfId="529" xr:uid="{00000000-0005-0000-0000-0000B9030000}"/>
    <cellStyle name="Normal 9 2 5 2" xfId="1001" xr:uid="{00000000-0005-0000-0000-0000BA030000}"/>
    <cellStyle name="Normal 9 2 5 2 2" xfId="1832" xr:uid="{2A52410C-716E-4977-A160-02BF469C6C6E}"/>
    <cellStyle name="Normal 9 2 5 2 2 2" xfId="7452" xr:uid="{530B1EC6-A27C-4EDF-8570-1EA4ECB09A68}"/>
    <cellStyle name="Normal 9 2 5 2 3" xfId="5307" xr:uid="{7E47FEE3-FBD9-4946-8C53-2BD05AC95ACC}"/>
    <cellStyle name="Normal 9 2 5 3" xfId="1416" xr:uid="{ECC15448-2D32-4E42-83F7-7BDEB92825BD}"/>
    <cellStyle name="Normal 9 2 5 3 2" xfId="3650" xr:uid="{A999D74A-7703-47EA-A980-B258DC116BCD}"/>
    <cellStyle name="Normal 9 2 5 3 2 2" xfId="7865" xr:uid="{3BEBF6C2-C539-40E1-BE75-83046571C8B6}"/>
    <cellStyle name="Normal 9 2 5 3 3" xfId="5720" xr:uid="{26E98BA7-075D-4B01-B612-7F240D7E6E21}"/>
    <cellStyle name="Normal 9 2 5 4" xfId="2247" xr:uid="{C0A55807-7965-4331-82B4-893F1B13917F}"/>
    <cellStyle name="Normal 9 2 5 4 2" xfId="4063" xr:uid="{EB1D64DB-36AD-4777-9803-4C25BC08F9CF}"/>
    <cellStyle name="Normal 9 2 5 4 2 2" xfId="8278" xr:uid="{D7E444A5-3624-41FD-831F-D6DFBB6A05D1}"/>
    <cellStyle name="Normal 9 2 5 4 3" xfId="6133" xr:uid="{E85E8631-F0F9-4306-9B45-A3DC668ECFAB}"/>
    <cellStyle name="Normal 9 2 5 5" xfId="2660" xr:uid="{A4EF2F06-35AF-442F-BB10-240B03D7AD08}"/>
    <cellStyle name="Normal 9 2 5 5 2" xfId="4476" xr:uid="{E3249B8D-385F-4621-9EE2-20D571CD3D0F}"/>
    <cellStyle name="Normal 9 2 5 5 2 2" xfId="8691" xr:uid="{F7CB5337-2828-4A4B-980B-7FC7B64B864E}"/>
    <cellStyle name="Normal 9 2 5 5 3" xfId="6546" xr:uid="{50E3DB8B-0038-40D1-80A2-DAB01F1FDD83}"/>
    <cellStyle name="Normal 9 2 5 6" xfId="3096" xr:uid="{FED7BCE1-60E2-4123-9BAF-E705A68211C6}"/>
    <cellStyle name="Normal 9 2 5 6 2" xfId="6959" xr:uid="{6064030D-C467-48B9-9844-56A3D4189EC0}"/>
    <cellStyle name="Normal 9 2 5 7" xfId="4894" xr:uid="{22297167-3383-45C3-A51B-0E7FEFA1828F}"/>
    <cellStyle name="Normal 9 2 6" xfId="986" xr:uid="{00000000-0005-0000-0000-0000BB030000}"/>
    <cellStyle name="Normal 9 2 6 2" xfId="1817" xr:uid="{9F2868D5-21EE-40C9-8B22-CB79B7AF069F}"/>
    <cellStyle name="Normal 9 2 6 2 2" xfId="7437" xr:uid="{37912D65-B17D-438B-AEFE-846A73C44BA1}"/>
    <cellStyle name="Normal 9 2 6 3" xfId="5292" xr:uid="{323D0CAA-7F57-4CAF-BEE6-7781338A9EC7}"/>
    <cellStyle name="Normal 9 2 7" xfId="1401" xr:uid="{7AAB4C39-E9E1-4E0F-8367-34A0EFB8540B}"/>
    <cellStyle name="Normal 9 2 7 2" xfId="3635" xr:uid="{F0540A9E-D7C3-47AA-B305-55E2906B6C63}"/>
    <cellStyle name="Normal 9 2 7 2 2" xfId="7850" xr:uid="{D19640E7-2415-40B6-B0DD-046A086E5F34}"/>
    <cellStyle name="Normal 9 2 7 3" xfId="5705" xr:uid="{BACBF2B4-BE5E-4D10-AA8F-E55D09A8931B}"/>
    <cellStyle name="Normal 9 2 8" xfId="2232" xr:uid="{C4C1F8B7-176A-4EE9-88BB-7C55A47CD01B}"/>
    <cellStyle name="Normal 9 2 8 2" xfId="4048" xr:uid="{3A5AD7BC-35ED-445E-B70B-0B59821FCACD}"/>
    <cellStyle name="Normal 9 2 8 2 2" xfId="8263" xr:uid="{1C200F2C-1B7E-474F-A2D0-C5654324DCA3}"/>
    <cellStyle name="Normal 9 2 8 3" xfId="6118" xr:uid="{43AA0583-FC27-43CE-B965-0188B28432A2}"/>
    <cellStyle name="Normal 9 2 9" xfId="2645" xr:uid="{FD027C3D-46E4-4270-87B1-B2B3823A9356}"/>
    <cellStyle name="Normal 9 2 9 2" xfId="4461" xr:uid="{8070072E-CA9B-416A-BC2E-2507D16932E6}"/>
    <cellStyle name="Normal 9 2 9 2 2" xfId="8676" xr:uid="{E659AB0D-CA50-4F44-BDF4-38F791BB1E65}"/>
    <cellStyle name="Normal 9 2 9 3" xfId="6531" xr:uid="{E9AEBA27-576A-49C1-9729-E994B9AC3EEF}"/>
    <cellStyle name="Normal 9 3" xfId="530" xr:uid="{00000000-0005-0000-0000-0000BC030000}"/>
    <cellStyle name="Normal 9 3 10" xfId="4895" xr:uid="{5C04AEC9-9F66-415D-BF21-20D9FE668593}"/>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6" xr:uid="{0ADEB6AA-CBB1-4F0F-AC89-258428B7995F}"/>
    <cellStyle name="Normal 9 3 2 2 2 2 2 2" xfId="7456" xr:uid="{B40AF901-C351-40EB-B296-272C0FA2CD30}"/>
    <cellStyle name="Normal 9 3 2 2 2 2 3" xfId="5311" xr:uid="{C756B9ED-5B0D-4B14-82DE-4F8187BF7BD1}"/>
    <cellStyle name="Normal 9 3 2 2 2 3" xfId="1420" xr:uid="{4FFBB977-0C33-4D77-AD31-2C10F79CA7A5}"/>
    <cellStyle name="Normal 9 3 2 2 2 3 2" xfId="3654" xr:uid="{C47E8100-2997-4341-AD68-A6A1E5E63CA1}"/>
    <cellStyle name="Normal 9 3 2 2 2 3 2 2" xfId="7869" xr:uid="{9EAC1695-93B8-4058-BF9A-8A4326DBDB42}"/>
    <cellStyle name="Normal 9 3 2 2 2 3 3" xfId="5724" xr:uid="{D54EA2CF-9EB6-4ACF-88E2-551F88EB2F87}"/>
    <cellStyle name="Normal 9 3 2 2 2 4" xfId="2251" xr:uid="{3993197C-0A04-42BE-B4C1-701BABDDA6EE}"/>
    <cellStyle name="Normal 9 3 2 2 2 4 2" xfId="4067" xr:uid="{F34C8C77-4D9B-4730-B5DC-9CC64B025C76}"/>
    <cellStyle name="Normal 9 3 2 2 2 4 2 2" xfId="8282" xr:uid="{3E708CC7-56B0-4AEC-A9AD-0ED2C5EF5D33}"/>
    <cellStyle name="Normal 9 3 2 2 2 4 3" xfId="6137" xr:uid="{0C30A364-4272-4C7E-9CD3-AE9BFF64114E}"/>
    <cellStyle name="Normal 9 3 2 2 2 5" xfId="2664" xr:uid="{478D8860-4DAB-4E42-9F5F-7DBEF6C38F0B}"/>
    <cellStyle name="Normal 9 3 2 2 2 5 2" xfId="4480" xr:uid="{9CA4E85F-22FD-4344-9709-798E734C78C2}"/>
    <cellStyle name="Normal 9 3 2 2 2 5 2 2" xfId="8695" xr:uid="{ECBF4A1B-8B38-4CDF-AF96-0CC1E8B6A876}"/>
    <cellStyle name="Normal 9 3 2 2 2 5 3" xfId="6550" xr:uid="{69545BE7-C0FE-4F55-9C3D-4C5C6CCDF133}"/>
    <cellStyle name="Normal 9 3 2 2 2 6" xfId="3100" xr:uid="{3B205B61-CA2D-48FA-934E-D45D060CF08A}"/>
    <cellStyle name="Normal 9 3 2 2 2 6 2" xfId="6963" xr:uid="{DAB8B09A-0292-4614-97A7-3720AC6AFF4A}"/>
    <cellStyle name="Normal 9 3 2 2 2 7" xfId="4898" xr:uid="{0C1DAED2-22ED-43B1-9569-95166A3F449A}"/>
    <cellStyle name="Normal 9 3 2 2 3" xfId="1004" xr:uid="{00000000-0005-0000-0000-0000C1030000}"/>
    <cellStyle name="Normal 9 3 2 2 3 2" xfId="1835" xr:uid="{0300F344-CCEE-4965-96E5-23F5845C1814}"/>
    <cellStyle name="Normal 9 3 2 2 3 2 2" xfId="7455" xr:uid="{326E4C3C-8C55-42B3-8179-7C9B646FDCD4}"/>
    <cellStyle name="Normal 9 3 2 2 3 3" xfId="5310" xr:uid="{B138EC33-0B03-445E-836B-5AFCA49D2940}"/>
    <cellStyle name="Normal 9 3 2 2 4" xfId="1419" xr:uid="{2A00629B-C7CB-4595-80C8-575CB175DB4E}"/>
    <cellStyle name="Normal 9 3 2 2 4 2" xfId="3653" xr:uid="{80C462A6-4614-4D67-8B7F-A47BD1ECC247}"/>
    <cellStyle name="Normal 9 3 2 2 4 2 2" xfId="7868" xr:uid="{D6DB6F31-EC64-4678-B4B9-D8356FD8DAED}"/>
    <cellStyle name="Normal 9 3 2 2 4 3" xfId="5723" xr:uid="{38E07570-3FA2-4F70-B76A-9A154D5852A6}"/>
    <cellStyle name="Normal 9 3 2 2 5" xfId="2250" xr:uid="{5AA6911D-ED2C-4A8A-A199-E066C7D21977}"/>
    <cellStyle name="Normal 9 3 2 2 5 2" xfId="4066" xr:uid="{0811D11E-D825-4657-B40A-9C228DE459F1}"/>
    <cellStyle name="Normal 9 3 2 2 5 2 2" xfId="8281" xr:uid="{13BD6139-D737-4F23-805A-FFBED07C5DCF}"/>
    <cellStyle name="Normal 9 3 2 2 5 3" xfId="6136" xr:uid="{FFF925DF-7A27-4496-AD16-66916868D615}"/>
    <cellStyle name="Normal 9 3 2 2 6" xfId="2663" xr:uid="{83D78886-DDC4-4AB6-AC18-1DF3F81498D3}"/>
    <cellStyle name="Normal 9 3 2 2 6 2" xfId="4479" xr:uid="{1C4AD519-24CC-4231-A0D8-3251533D3F52}"/>
    <cellStyle name="Normal 9 3 2 2 6 2 2" xfId="8694" xr:uid="{0527034A-6344-4E60-94C9-1DA902F2B4D6}"/>
    <cellStyle name="Normal 9 3 2 2 6 3" xfId="6549" xr:uid="{CEEE4DB9-06D0-487F-9951-B9555C268EB9}"/>
    <cellStyle name="Normal 9 3 2 2 7" xfId="3099" xr:uid="{C8877864-755A-4FB2-9F34-CFDC95E344D9}"/>
    <cellStyle name="Normal 9 3 2 2 7 2" xfId="6962" xr:uid="{29028DF0-7E51-4B10-9377-631EF4A709E3}"/>
    <cellStyle name="Normal 9 3 2 2 8" xfId="4897" xr:uid="{E202C870-145A-4CD5-9018-6B8D98DA4197}"/>
    <cellStyle name="Normal 9 3 2 3" xfId="534" xr:uid="{00000000-0005-0000-0000-0000C2030000}"/>
    <cellStyle name="Normal 9 3 2 3 2" xfId="1006" xr:uid="{00000000-0005-0000-0000-0000C3030000}"/>
    <cellStyle name="Normal 9 3 2 3 2 2" xfId="1837" xr:uid="{B5BBD7A1-DFEC-48BF-A2C1-B30882A43588}"/>
    <cellStyle name="Normal 9 3 2 3 2 2 2" xfId="7457" xr:uid="{EF43FA36-0F97-414F-8989-BB72A6CBA0DA}"/>
    <cellStyle name="Normal 9 3 2 3 2 3" xfId="5312" xr:uid="{5A1ABF17-A28D-43BD-A034-215D0A3CC327}"/>
    <cellStyle name="Normal 9 3 2 3 3" xfId="1421" xr:uid="{A0BB7D79-503E-4FB1-93D4-88B8FD9B37FB}"/>
    <cellStyle name="Normal 9 3 2 3 3 2" xfId="3655" xr:uid="{979EA285-444B-45A3-857D-9673736E458F}"/>
    <cellStyle name="Normal 9 3 2 3 3 2 2" xfId="7870" xr:uid="{74B603D5-76FF-4EC1-AF2F-E0F841670485}"/>
    <cellStyle name="Normal 9 3 2 3 3 3" xfId="5725" xr:uid="{9CC62CD2-9398-4BE9-BAAE-B4C5EB4445AE}"/>
    <cellStyle name="Normal 9 3 2 3 4" xfId="2252" xr:uid="{19DEC49F-A491-4138-995F-C2DD0343AD80}"/>
    <cellStyle name="Normal 9 3 2 3 4 2" xfId="4068" xr:uid="{88D88DEE-BFAD-4EE7-B58F-82276F7B2477}"/>
    <cellStyle name="Normal 9 3 2 3 4 2 2" xfId="8283" xr:uid="{F57C11BA-402D-4237-B5D7-4732873F44C2}"/>
    <cellStyle name="Normal 9 3 2 3 4 3" xfId="6138" xr:uid="{BEDAB2B8-6593-4C84-8195-5EA12EC905FA}"/>
    <cellStyle name="Normal 9 3 2 3 5" xfId="2665" xr:uid="{72DBB2C7-3F14-4F7B-B34C-7C8844CED75F}"/>
    <cellStyle name="Normal 9 3 2 3 5 2" xfId="4481" xr:uid="{BDF77831-5B51-4D52-B415-84681CA60448}"/>
    <cellStyle name="Normal 9 3 2 3 5 2 2" xfId="8696" xr:uid="{7222311D-2462-46EB-988D-4F56350AA144}"/>
    <cellStyle name="Normal 9 3 2 3 5 3" xfId="6551" xr:uid="{E48E4B7E-3DA0-446D-8BC1-35CE5F405C1D}"/>
    <cellStyle name="Normal 9 3 2 3 6" xfId="3101" xr:uid="{275C1985-058D-478F-B307-E5C117B428BF}"/>
    <cellStyle name="Normal 9 3 2 3 6 2" xfId="6964" xr:uid="{80F40FF4-9B2C-4CA9-918E-947F37E9F72E}"/>
    <cellStyle name="Normal 9 3 2 3 7" xfId="4899" xr:uid="{DBC41979-6DBD-4E07-936B-15BEE3482771}"/>
    <cellStyle name="Normal 9 3 2 4" xfId="1003" xr:uid="{00000000-0005-0000-0000-0000C4030000}"/>
    <cellStyle name="Normal 9 3 2 4 2" xfId="1834" xr:uid="{3EC11239-F8AD-4E35-AC75-41428595AA0F}"/>
    <cellStyle name="Normal 9 3 2 4 2 2" xfId="7454" xr:uid="{45D4832A-F61C-4F2A-8B43-96E4572DBE79}"/>
    <cellStyle name="Normal 9 3 2 4 3" xfId="5309" xr:uid="{A4A7890C-10F7-44BC-8DF5-7401E4E4233F}"/>
    <cellStyle name="Normal 9 3 2 5" xfId="1418" xr:uid="{4687B476-07A8-4DD0-9870-938B9B2DD6C8}"/>
    <cellStyle name="Normal 9 3 2 5 2" xfId="3652" xr:uid="{A6B803AD-C6F0-40E0-A6C6-E2CD2D6CFCC9}"/>
    <cellStyle name="Normal 9 3 2 5 2 2" xfId="7867" xr:uid="{5F5900AE-4507-40C7-A0E5-C5B1AD714ACA}"/>
    <cellStyle name="Normal 9 3 2 5 3" xfId="5722" xr:uid="{A4142E05-6C3D-4F58-8598-EFC5C8978AAA}"/>
    <cellStyle name="Normal 9 3 2 6" xfId="2249" xr:uid="{8CEF176F-83C9-4AD1-866E-2C5748647707}"/>
    <cellStyle name="Normal 9 3 2 6 2" xfId="4065" xr:uid="{448F69AB-437B-402A-84E5-21C2CBBACDD3}"/>
    <cellStyle name="Normal 9 3 2 6 2 2" xfId="8280" xr:uid="{3985B865-B4E6-48DC-8A6C-8BF1E7A37C40}"/>
    <cellStyle name="Normal 9 3 2 6 3" xfId="6135" xr:uid="{E2D41961-AFB1-41B8-94A9-BB26951506D0}"/>
    <cellStyle name="Normal 9 3 2 7" xfId="2662" xr:uid="{1D85A7BD-5A60-4661-9ED1-4FD023504C23}"/>
    <cellStyle name="Normal 9 3 2 7 2" xfId="4478" xr:uid="{EDDAB1FF-1932-4AD1-ACEC-105833F674B1}"/>
    <cellStyle name="Normal 9 3 2 7 2 2" xfId="8693" xr:uid="{5DB13BB4-81BC-4CEC-8563-A79FF8361162}"/>
    <cellStyle name="Normal 9 3 2 7 3" xfId="6548" xr:uid="{5B7C02D3-541D-4EC0-8C1D-D1A76AD30E35}"/>
    <cellStyle name="Normal 9 3 2 8" xfId="3098" xr:uid="{68BB7574-183D-4E33-B06A-7789CC917A65}"/>
    <cellStyle name="Normal 9 3 2 8 2" xfId="6961" xr:uid="{3484168B-A953-4A34-8A11-5D3FA32F3219}"/>
    <cellStyle name="Normal 9 3 2 9" xfId="4896" xr:uid="{1FAEE575-CCE3-4318-9734-42131C5DD2CB}"/>
    <cellStyle name="Normal 9 3 3" xfId="535" xr:uid="{00000000-0005-0000-0000-0000C5030000}"/>
    <cellStyle name="Normal 9 3 3 2" xfId="536" xr:uid="{00000000-0005-0000-0000-0000C6030000}"/>
    <cellStyle name="Normal 9 3 3 2 2" xfId="1008" xr:uid="{00000000-0005-0000-0000-0000C7030000}"/>
    <cellStyle name="Normal 9 3 3 2 2 2" xfId="1839" xr:uid="{3EE1EA40-8CAF-467E-AF54-587B23F74839}"/>
    <cellStyle name="Normal 9 3 3 2 2 2 2" xfId="7459" xr:uid="{AF949DF5-574B-4B19-8871-4412C8315676}"/>
    <cellStyle name="Normal 9 3 3 2 2 3" xfId="5314" xr:uid="{3681E22A-CB91-4807-8C14-CEFEA33A81F5}"/>
    <cellStyle name="Normal 9 3 3 2 3" xfId="1423" xr:uid="{6C3CEB9D-AB96-4F92-9918-8B12200DCE5E}"/>
    <cellStyle name="Normal 9 3 3 2 3 2" xfId="3657" xr:uid="{BEE7B1A5-F829-4600-837C-8DE8631FC856}"/>
    <cellStyle name="Normal 9 3 3 2 3 2 2" xfId="7872" xr:uid="{03BD325B-8408-4D07-8CFA-7F9D88EEC246}"/>
    <cellStyle name="Normal 9 3 3 2 3 3" xfId="5727" xr:uid="{6669CB5D-E625-475E-BDA9-630A203E3EA2}"/>
    <cellStyle name="Normal 9 3 3 2 4" xfId="2254" xr:uid="{F861B0D7-A96A-436C-B972-40833C21749D}"/>
    <cellStyle name="Normal 9 3 3 2 4 2" xfId="4070" xr:uid="{1E6AA342-35A5-481F-A0C9-58425F4E51FA}"/>
    <cellStyle name="Normal 9 3 3 2 4 2 2" xfId="8285" xr:uid="{1BA2E40C-1D8C-4AFC-B5C7-8F9737C78ABD}"/>
    <cellStyle name="Normal 9 3 3 2 4 3" xfId="6140" xr:uid="{7B9E1ED6-BDFB-4881-84E0-74C0FC56E77B}"/>
    <cellStyle name="Normal 9 3 3 2 5" xfId="2667" xr:uid="{CEA7A45B-81A7-4B51-8203-1AF65F66C2AB}"/>
    <cellStyle name="Normal 9 3 3 2 5 2" xfId="4483" xr:uid="{3583A6FB-59D5-405A-82CE-6B776620555A}"/>
    <cellStyle name="Normal 9 3 3 2 5 2 2" xfId="8698" xr:uid="{DA0F7097-8C87-4F9F-874C-8014E939E881}"/>
    <cellStyle name="Normal 9 3 3 2 5 3" xfId="6553" xr:uid="{08C989AF-2ACE-48CB-9AC0-5C6B6BDFAD74}"/>
    <cellStyle name="Normal 9 3 3 2 6" xfId="3103" xr:uid="{D65B998A-67E0-4C86-A50E-E566595B9CCA}"/>
    <cellStyle name="Normal 9 3 3 2 6 2" xfId="6966" xr:uid="{5F328B94-B306-4E53-8B6C-70F4FB2440BE}"/>
    <cellStyle name="Normal 9 3 3 2 7" xfId="4901" xr:uid="{AC2FEC73-7B98-447F-AB67-721F06321010}"/>
    <cellStyle name="Normal 9 3 3 3" xfId="1007" xr:uid="{00000000-0005-0000-0000-0000C8030000}"/>
    <cellStyle name="Normal 9 3 3 3 2" xfId="1838" xr:uid="{5F079503-4CFE-447B-BACC-5E9AFF2E4186}"/>
    <cellStyle name="Normal 9 3 3 3 2 2" xfId="7458" xr:uid="{151D7C6A-DA96-45F9-BF62-81B9F490C95E}"/>
    <cellStyle name="Normal 9 3 3 3 3" xfId="5313" xr:uid="{E169ACF0-0004-41EB-A0D0-C00007777408}"/>
    <cellStyle name="Normal 9 3 3 4" xfId="1422" xr:uid="{A0C205EB-4D1E-4317-8546-B9C6FE147931}"/>
    <cellStyle name="Normal 9 3 3 4 2" xfId="3656" xr:uid="{312D1715-F066-413B-BB6B-A8FF6C5F00D3}"/>
    <cellStyle name="Normal 9 3 3 4 2 2" xfId="7871" xr:uid="{516480CD-1D0A-451E-899B-2730DC7BD2A4}"/>
    <cellStyle name="Normal 9 3 3 4 3" xfId="5726" xr:uid="{BE3ABCCC-44D7-4CDE-B59F-4DAEA106B233}"/>
    <cellStyle name="Normal 9 3 3 5" xfId="2253" xr:uid="{AF0B74F0-CBE4-44F6-A0AB-1AC885762594}"/>
    <cellStyle name="Normal 9 3 3 5 2" xfId="4069" xr:uid="{344EAB71-DDF2-4396-A257-FAA88FF3F04E}"/>
    <cellStyle name="Normal 9 3 3 5 2 2" xfId="8284" xr:uid="{B1DB8CA0-2F72-443F-B80E-A90C9E2928E3}"/>
    <cellStyle name="Normal 9 3 3 5 3" xfId="6139" xr:uid="{5AC6BFBD-6640-41B2-A968-0898EBC001E1}"/>
    <cellStyle name="Normal 9 3 3 6" xfId="2666" xr:uid="{A0A3B885-A716-48D5-89FB-C88A2A15B73E}"/>
    <cellStyle name="Normal 9 3 3 6 2" xfId="4482" xr:uid="{A1AB01F5-F384-4105-99A5-C1EA35487267}"/>
    <cellStyle name="Normal 9 3 3 6 2 2" xfId="8697" xr:uid="{5B283DC6-F379-49B1-921F-9D182A85254A}"/>
    <cellStyle name="Normal 9 3 3 6 3" xfId="6552" xr:uid="{2F569C67-7225-408A-A98F-DB1BAFAE2107}"/>
    <cellStyle name="Normal 9 3 3 7" xfId="3102" xr:uid="{FF07F20E-8406-4FA6-AE40-AD62465AE4E6}"/>
    <cellStyle name="Normal 9 3 3 7 2" xfId="6965" xr:uid="{02637715-ECAC-4AE3-8109-84D63FFB6DB2}"/>
    <cellStyle name="Normal 9 3 3 8" xfId="4900" xr:uid="{DEBA8D7A-0A30-4ABB-986C-5E4CCAD8692E}"/>
    <cellStyle name="Normal 9 3 4" xfId="537" xr:uid="{00000000-0005-0000-0000-0000C9030000}"/>
    <cellStyle name="Normal 9 3 4 2" xfId="1009" xr:uid="{00000000-0005-0000-0000-0000CA030000}"/>
    <cellStyle name="Normal 9 3 4 2 2" xfId="1840" xr:uid="{476C2E55-0C52-4E0E-BF0A-D3199B7E2B82}"/>
    <cellStyle name="Normal 9 3 4 2 2 2" xfId="7460" xr:uid="{605780D9-2363-498D-BA51-196A75E49613}"/>
    <cellStyle name="Normal 9 3 4 2 3" xfId="5315" xr:uid="{02123B81-A51F-472C-9CDF-51F09753E0D3}"/>
    <cellStyle name="Normal 9 3 4 3" xfId="1424" xr:uid="{AFB7D8C9-F884-4E39-9921-736DCF0700D4}"/>
    <cellStyle name="Normal 9 3 4 3 2" xfId="3658" xr:uid="{966E1066-DAF6-407D-90A8-842AC75CB585}"/>
    <cellStyle name="Normal 9 3 4 3 2 2" xfId="7873" xr:uid="{422ED117-BBE3-4E9F-A8B1-411A92FEB04D}"/>
    <cellStyle name="Normal 9 3 4 3 3" xfId="5728" xr:uid="{DFD0E067-45E2-4FB7-9DC0-A3C97F306554}"/>
    <cellStyle name="Normal 9 3 4 4" xfId="2255" xr:uid="{2F24B655-DA75-4BFC-9CBB-D1E38C6505DB}"/>
    <cellStyle name="Normal 9 3 4 4 2" xfId="4071" xr:uid="{74CB2E9D-9750-4D20-9159-5BAB9AFBD011}"/>
    <cellStyle name="Normal 9 3 4 4 2 2" xfId="8286" xr:uid="{1744D958-1718-4018-8044-0C96A7694ECE}"/>
    <cellStyle name="Normal 9 3 4 4 3" xfId="6141" xr:uid="{BD295D1E-ADE4-4D32-911B-95DB87832863}"/>
    <cellStyle name="Normal 9 3 4 5" xfId="2668" xr:uid="{B9A66CF1-1420-44EF-8CAB-3FE515DB5717}"/>
    <cellStyle name="Normal 9 3 4 5 2" xfId="4484" xr:uid="{7FDDA3F5-8825-4172-8228-CCC3B6B0F877}"/>
    <cellStyle name="Normal 9 3 4 5 2 2" xfId="8699" xr:uid="{358FFC3A-C58F-4C54-9177-472EB0FDF2F8}"/>
    <cellStyle name="Normal 9 3 4 5 3" xfId="6554" xr:uid="{85461A01-7FAF-4676-BB9E-998E39575410}"/>
    <cellStyle name="Normal 9 3 4 6" xfId="3104" xr:uid="{DC43A2C6-E378-4491-B0BC-1FAD2F75FB97}"/>
    <cellStyle name="Normal 9 3 4 6 2" xfId="6967" xr:uid="{950A901C-2247-43BF-A1CE-EA0B683D2298}"/>
    <cellStyle name="Normal 9 3 4 7" xfId="4902" xr:uid="{0EE1CF4F-ECB0-4F09-BED8-52A82DB53147}"/>
    <cellStyle name="Normal 9 3 5" xfId="1002" xr:uid="{00000000-0005-0000-0000-0000CB030000}"/>
    <cellStyle name="Normal 9 3 5 2" xfId="1833" xr:uid="{FA91E5DD-2CC6-4FC8-B029-3838DAB0C15F}"/>
    <cellStyle name="Normal 9 3 5 2 2" xfId="7453" xr:uid="{2A49ACF1-1572-4D2C-9978-0B23B6A565A7}"/>
    <cellStyle name="Normal 9 3 5 3" xfId="5308" xr:uid="{4481CCC3-797C-4ECC-905F-D1F7A72FB711}"/>
    <cellStyle name="Normal 9 3 6" xfId="1417" xr:uid="{AF9A1C0C-4625-4912-B8A9-4059B03F64DB}"/>
    <cellStyle name="Normal 9 3 6 2" xfId="3651" xr:uid="{E948EA25-4F48-4FFB-8D09-ADF35CCDA1D6}"/>
    <cellStyle name="Normal 9 3 6 2 2" xfId="7866" xr:uid="{E3B80AA4-9D1A-47CB-AAAF-589B7C07CA08}"/>
    <cellStyle name="Normal 9 3 6 3" xfId="5721" xr:uid="{F3164D8D-F1B3-4D6B-ABB2-9AD4F473001F}"/>
    <cellStyle name="Normal 9 3 7" xfId="2248" xr:uid="{CFD25484-E431-4DB9-A59C-776F2F96F906}"/>
    <cellStyle name="Normal 9 3 7 2" xfId="4064" xr:uid="{0CE110AC-C927-478A-A2DB-8CE142732EAF}"/>
    <cellStyle name="Normal 9 3 7 2 2" xfId="8279" xr:uid="{B3758B72-213D-49EE-8D52-8152D5B6E897}"/>
    <cellStyle name="Normal 9 3 7 3" xfId="6134" xr:uid="{8A3BB746-AE14-4BAC-810E-3AA22A7FD1B3}"/>
    <cellStyle name="Normal 9 3 8" xfId="2661" xr:uid="{BF9EBB5B-7634-4A06-882B-C778FDA08254}"/>
    <cellStyle name="Normal 9 3 8 2" xfId="4477" xr:uid="{8FD87149-9932-45CA-AB52-F0EE282ED64C}"/>
    <cellStyle name="Normal 9 3 8 2 2" xfId="8692" xr:uid="{B1A3DEE8-5966-4BD1-8079-66323FC87244}"/>
    <cellStyle name="Normal 9 3 8 3" xfId="6547" xr:uid="{79FDDAAE-246F-4A85-AB42-8A954416ABE7}"/>
    <cellStyle name="Normal 9 3 9" xfId="3097" xr:uid="{7BF09754-30E4-409E-880C-BB5D0AA4C284}"/>
    <cellStyle name="Normal 9 3 9 2" xfId="6960" xr:uid="{2BC345F1-2E94-453D-B285-F61BCE899A8E}"/>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2" xr:uid="{3B296DBA-5EBD-4A0D-9C48-79062DC86F56}"/>
    <cellStyle name="Normal 9 5 2 2 2 2" xfId="7462" xr:uid="{C3ACFD79-E25B-41ED-AE58-2661EB8BD1F1}"/>
    <cellStyle name="Normal 9 5 2 2 3" xfId="5317" xr:uid="{1F7F1925-9855-4F96-B4D9-D7B4EFDDDB48}"/>
    <cellStyle name="Normal 9 5 2 3" xfId="1426" xr:uid="{3252D9B5-C1D2-432E-A810-B36B15D4A965}"/>
    <cellStyle name="Normal 9 5 2 3 2" xfId="3660" xr:uid="{9C6B3A5A-FC15-4512-809C-74F75E1A3113}"/>
    <cellStyle name="Normal 9 5 2 3 2 2" xfId="7875" xr:uid="{898CB555-3902-4529-8072-B2242EC675AB}"/>
    <cellStyle name="Normal 9 5 2 3 3" xfId="5730" xr:uid="{4F6C13DF-155A-4F87-9CA9-A69BA971D4F3}"/>
    <cellStyle name="Normal 9 5 2 4" xfId="2257" xr:uid="{F44DB90C-E262-41F5-B55E-0C87CB47A9B6}"/>
    <cellStyle name="Normal 9 5 2 4 2" xfId="4073" xr:uid="{5D4ED457-EC02-40FA-9843-5865A9BC6E3C}"/>
    <cellStyle name="Normal 9 5 2 4 2 2" xfId="8288" xr:uid="{F81E66A4-6212-48C8-8E63-882FF74FED93}"/>
    <cellStyle name="Normal 9 5 2 4 3" xfId="6143" xr:uid="{8127B320-DE5D-4C99-B965-D1D03806C2A4}"/>
    <cellStyle name="Normal 9 5 2 5" xfId="2670" xr:uid="{E7AB1F8A-D9DD-47B8-A473-45560D19193C}"/>
    <cellStyle name="Normal 9 5 2 5 2" xfId="4486" xr:uid="{59056913-2102-4154-A550-D9D10A79FF69}"/>
    <cellStyle name="Normal 9 5 2 5 2 2" xfId="8701" xr:uid="{AE00BBD3-2B89-4F4F-B66F-335DD7D26C1E}"/>
    <cellStyle name="Normal 9 5 2 5 3" xfId="6556" xr:uid="{31894F85-17DD-4866-A50E-5564128CE7AF}"/>
    <cellStyle name="Normal 9 5 2 6" xfId="3106" xr:uid="{A0398678-86B4-429B-ACEC-C0298A568043}"/>
    <cellStyle name="Normal 9 5 2 6 2" xfId="6969" xr:uid="{728B60AB-6052-478A-BD10-43652747B8FD}"/>
    <cellStyle name="Normal 9 5 2 7" xfId="4904" xr:uid="{574B6B5F-24F3-4A3D-A4CB-F2ECBC927B55}"/>
    <cellStyle name="Normal 9 5 3" xfId="1011" xr:uid="{00000000-0005-0000-0000-0000D1030000}"/>
    <cellStyle name="Normal 9 5 3 2" xfId="1841" xr:uid="{3DC23744-6D85-4339-908A-610F064C33F5}"/>
    <cellStyle name="Normal 9 5 3 2 2" xfId="7461" xr:uid="{BBAEF37C-ADDF-4EFB-A737-5D4C12FF67EB}"/>
    <cellStyle name="Normal 9 5 3 3" xfId="5316" xr:uid="{270BDD81-37B6-48E8-AD8C-61ADDEC0C161}"/>
    <cellStyle name="Normal 9 5 4" xfId="1425" xr:uid="{D92A6234-010B-4526-8CD3-1FE46B87CCE1}"/>
    <cellStyle name="Normal 9 5 4 2" xfId="3659" xr:uid="{28811F53-4476-427C-9026-556645F8638C}"/>
    <cellStyle name="Normal 9 5 4 2 2" xfId="7874" xr:uid="{042934E9-CA8F-4F36-B828-B2FB60473123}"/>
    <cellStyle name="Normal 9 5 4 3" xfId="5729" xr:uid="{3E04E431-7374-470A-8414-1D2440D13F78}"/>
    <cellStyle name="Normal 9 5 5" xfId="2256" xr:uid="{682EBACA-EC31-4857-862D-06957BAFF750}"/>
    <cellStyle name="Normal 9 5 5 2" xfId="4072" xr:uid="{D6CACBCD-D78F-4462-89A9-A059B329627F}"/>
    <cellStyle name="Normal 9 5 5 2 2" xfId="8287" xr:uid="{0AB838E3-D631-48DF-88A9-C333AD8CED50}"/>
    <cellStyle name="Normal 9 5 5 3" xfId="6142" xr:uid="{79940BBC-B70D-476C-9BA4-34838AB9C52B}"/>
    <cellStyle name="Normal 9 5 6" xfId="2669" xr:uid="{74C27622-E98E-4163-82A8-5B872C916C33}"/>
    <cellStyle name="Normal 9 5 6 2" xfId="4485" xr:uid="{776CCEE6-B39C-4486-B047-4D23B1103A14}"/>
    <cellStyle name="Normal 9 5 6 2 2" xfId="8700" xr:uid="{F2396C31-FCD3-450C-B88F-A20197B895E8}"/>
    <cellStyle name="Normal 9 5 6 3" xfId="6555" xr:uid="{F2AF267D-331A-445F-9930-7D68A59163DA}"/>
    <cellStyle name="Normal 9 5 7" xfId="3105" xr:uid="{E140E7E1-3D25-4C0A-8677-0B507EEBAB9B}"/>
    <cellStyle name="Normal 9 5 7 2" xfId="6968" xr:uid="{B0886E24-4C95-4C04-BBD0-11B098497479}"/>
    <cellStyle name="Normal 9 5 8" xfId="4903" xr:uid="{AA8AA593-5261-4968-B126-EC742F687814}"/>
    <cellStyle name="Normal 9 6" xfId="541" xr:uid="{00000000-0005-0000-0000-0000D2030000}"/>
    <cellStyle name="Normal 9 6 2" xfId="1013" xr:uid="{00000000-0005-0000-0000-0000D3030000}"/>
    <cellStyle name="Normal 9 6 2 2" xfId="1843" xr:uid="{BC5429E5-43C3-47C0-9B56-94054CDF83F5}"/>
    <cellStyle name="Normal 9 6 2 2 2" xfId="7463" xr:uid="{381943B6-F916-4915-8B74-BF2A709D05AD}"/>
    <cellStyle name="Normal 9 6 2 3" xfId="5318" xr:uid="{69A73522-9A34-48DF-91DA-6C9250F06826}"/>
    <cellStyle name="Normal 9 6 3" xfId="1427" xr:uid="{A35DA6AD-6E29-4214-8159-443F8D96966C}"/>
    <cellStyle name="Normal 9 6 3 2" xfId="3661" xr:uid="{B4CAC8ED-AD53-4E4B-B5F5-9A4FBF148FEC}"/>
    <cellStyle name="Normal 9 6 3 2 2" xfId="7876" xr:uid="{2CB76203-6E40-4244-9652-FB2719741864}"/>
    <cellStyle name="Normal 9 6 3 3" xfId="5731" xr:uid="{42F7DD55-262C-4D53-9BDC-C1E8BCD8E723}"/>
    <cellStyle name="Normal 9 6 4" xfId="2258" xr:uid="{044457C2-797B-43AD-8F64-EB66DC391930}"/>
    <cellStyle name="Normal 9 6 4 2" xfId="4074" xr:uid="{2DC32F9B-B188-4F54-AA59-CCE579C651E6}"/>
    <cellStyle name="Normal 9 6 4 2 2" xfId="8289" xr:uid="{C2DDA334-735A-4561-9637-014121FC4535}"/>
    <cellStyle name="Normal 9 6 4 3" xfId="6144" xr:uid="{440B7950-5162-440C-9F90-364EA6844B2A}"/>
    <cellStyle name="Normal 9 6 5" xfId="2671" xr:uid="{E9E7CAF7-858E-492A-846C-9E905A51EB4A}"/>
    <cellStyle name="Normal 9 6 5 2" xfId="4487" xr:uid="{09A5877B-BC18-4DCC-857D-CC1F03725D04}"/>
    <cellStyle name="Normal 9 6 5 2 2" xfId="8702" xr:uid="{FAFD5EE8-1871-4099-9256-94225CCD3B5E}"/>
    <cellStyle name="Normal 9 6 5 3" xfId="6557" xr:uid="{12DDA4AE-A44C-47A8-84E7-6F6BD23BECE9}"/>
    <cellStyle name="Normal 9 6 6" xfId="3107" xr:uid="{EA7A006C-85AD-4FB6-9F5C-F7002D6AA282}"/>
    <cellStyle name="Normal 9 6 6 2" xfId="6970" xr:uid="{F2B3363E-FFEF-4B2E-9FC5-A1FE9615EEBB}"/>
    <cellStyle name="Normal 9 6 7" xfId="4905" xr:uid="{92D29398-82A6-4776-9FEA-694E4E126A22}"/>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3248" xr:uid="{97F70A24-A6EF-466E-8B90-F2244645987B}"/>
    <cellStyle name="Note 2 2 10 2" xfId="7051" xr:uid="{04182428-548B-40AA-A971-DDA82529A6E8}"/>
    <cellStyle name="Note 2 2 11" xfId="4906" xr:uid="{391952A6-1F38-4A20-865F-BDB65E60FC0E}"/>
    <cellStyle name="Note 2 2 2" xfId="550" xr:uid="{00000000-0005-0000-0000-0000DD030000}"/>
    <cellStyle name="Note 2 2 2 10" xfId="4907" xr:uid="{BA1E6875-81A6-4422-80B1-696EA259E239}"/>
    <cellStyle name="Note 2 2 2 2" xfId="551" xr:uid="{00000000-0005-0000-0000-0000DE030000}"/>
    <cellStyle name="Note 2 2 2 2 2" xfId="1016" xr:uid="{00000000-0005-0000-0000-0000DF030000}"/>
    <cellStyle name="Note 2 2 2 2 2 2" xfId="1846" xr:uid="{B31E5699-35BD-4721-8A4C-5DA98A15B46D}"/>
    <cellStyle name="Note 2 2 2 2 2 2 2" xfId="7466" xr:uid="{C363F202-004A-4106-BA9F-A131B0E42CB3}"/>
    <cellStyle name="Note 2 2 2 2 2 3" xfId="5321" xr:uid="{BED136E9-FBE2-4BB4-9437-0ECE132EAC20}"/>
    <cellStyle name="Note 2 2 2 2 3" xfId="1430" xr:uid="{2DE87707-8A75-4C14-AB71-E3ABA051FA74}"/>
    <cellStyle name="Note 2 2 2 2 3 2" xfId="3664" xr:uid="{EE710B4F-84F0-4379-B35A-A638464AEB0B}"/>
    <cellStyle name="Note 2 2 2 2 3 2 2" xfId="7879" xr:uid="{EF56D7A9-7F71-4990-A5DC-72583400B4DD}"/>
    <cellStyle name="Note 2 2 2 2 3 3" xfId="5734" xr:uid="{60A6FD62-DD56-43F5-930E-5A983DEB08F9}"/>
    <cellStyle name="Note 2 2 2 2 4" xfId="2261" xr:uid="{773B8D6A-E6C7-49E3-B8E8-E52CA1C69104}"/>
    <cellStyle name="Note 2 2 2 2 4 2" xfId="4077" xr:uid="{D39B1F78-CE76-4C53-A7ED-F5A7B62ABE9D}"/>
    <cellStyle name="Note 2 2 2 2 4 2 2" xfId="8292" xr:uid="{C1E870F9-2814-4C3A-89AB-E1D4D09A7556}"/>
    <cellStyle name="Note 2 2 2 2 4 3" xfId="6147" xr:uid="{C7104BC5-3DFC-4DD9-AC94-D69038E864A4}"/>
    <cellStyle name="Note 2 2 2 2 5" xfId="2674" xr:uid="{CAA6F93C-3681-4B9C-9338-0B3A61094986}"/>
    <cellStyle name="Note 2 2 2 2 5 2" xfId="4490" xr:uid="{B1C37E20-27EB-4AF1-882B-68BA69F78302}"/>
    <cellStyle name="Note 2 2 2 2 5 2 2" xfId="8705" xr:uid="{BF72DA29-7306-4A75-93CD-CEEBE45F84F3}"/>
    <cellStyle name="Note 2 2 2 2 5 3" xfId="6560" xr:uid="{31194C01-4C56-4198-B8F6-D0E6A8E7647C}"/>
    <cellStyle name="Note 2 2 2 2 6" xfId="3110" xr:uid="{FC7DC0A5-CB76-4442-87BA-EF898C333328}"/>
    <cellStyle name="Note 2 2 2 2 6 2" xfId="6973" xr:uid="{B3D0FD5B-8921-4E07-A641-8676F608E821}"/>
    <cellStyle name="Note 2 2 2 2 7" xfId="3169" xr:uid="{7C5BABDF-5C97-4EB4-9C20-BC7051596F17}"/>
    <cellStyle name="Note 2 2 2 2 8" xfId="3250" xr:uid="{F0B4B469-FD10-45DF-9923-3A199D809C12}"/>
    <cellStyle name="Note 2 2 2 2 8 2" xfId="7053" xr:uid="{75077526-ACCC-4C86-94AF-2CF47A5488F3}"/>
    <cellStyle name="Note 2 2 2 2 9" xfId="4908" xr:uid="{BADE6F1E-43FE-4547-9AE7-E0463F3B7CEA}"/>
    <cellStyle name="Note 2 2 2 3" xfId="1015" xr:uid="{00000000-0005-0000-0000-0000E0030000}"/>
    <cellStyle name="Note 2 2 2 3 2" xfId="1845" xr:uid="{448956C1-4091-4737-833B-81A52CB7607A}"/>
    <cellStyle name="Note 2 2 2 3 2 2" xfId="7465" xr:uid="{C02A2184-74D0-43C6-A32E-ACF021AAE609}"/>
    <cellStyle name="Note 2 2 2 3 3" xfId="5320" xr:uid="{85AD8976-E207-4C02-A6E1-C85E4D09F529}"/>
    <cellStyle name="Note 2 2 2 4" xfId="1429" xr:uid="{D224E4DA-630F-496C-ABDA-9D2EBA93888A}"/>
    <cellStyle name="Note 2 2 2 4 2" xfId="3663" xr:uid="{DDBFD4B7-B06A-4BAD-A6A3-8FB8F2EE4497}"/>
    <cellStyle name="Note 2 2 2 4 2 2" xfId="7878" xr:uid="{5A9680DB-52AE-4554-B579-0E03565B5FF8}"/>
    <cellStyle name="Note 2 2 2 4 3" xfId="5733" xr:uid="{01007113-5C73-40E2-BB54-2262B4D35ACB}"/>
    <cellStyle name="Note 2 2 2 5" xfId="2260" xr:uid="{BED8755A-EB9F-444E-9FB9-B2F3019311D3}"/>
    <cellStyle name="Note 2 2 2 5 2" xfId="4076" xr:uid="{56AAFCA8-2E2B-4AF3-85DB-A8C75F2E8B11}"/>
    <cellStyle name="Note 2 2 2 5 2 2" xfId="8291" xr:uid="{DBC99153-789A-418D-BA95-05F467F03242}"/>
    <cellStyle name="Note 2 2 2 5 3" xfId="6146" xr:uid="{B5689EDD-081C-4EF6-ACCA-AF7C7CE568BB}"/>
    <cellStyle name="Note 2 2 2 6" xfId="2673" xr:uid="{AB4F5964-A8CC-485B-972B-E0C65189DFE8}"/>
    <cellStyle name="Note 2 2 2 6 2" xfId="4489" xr:uid="{048FA65A-4AF3-4153-A9BA-818059A4F18C}"/>
    <cellStyle name="Note 2 2 2 6 2 2" xfId="8704" xr:uid="{A335A9E9-3A88-436F-86D2-57C2BE8F3C65}"/>
    <cellStyle name="Note 2 2 2 6 3" xfId="6559" xr:uid="{B45CA286-5D6B-46EF-BA1E-A490DAAA861D}"/>
    <cellStyle name="Note 2 2 2 7" xfId="3109" xr:uid="{9A97895A-743B-480A-B0A4-831BA8FCA263}"/>
    <cellStyle name="Note 2 2 2 7 2" xfId="6972" xr:uid="{27B7D724-6889-4D3A-9625-8BAE896CDA9E}"/>
    <cellStyle name="Note 2 2 2 8" xfId="3168" xr:uid="{A90E444E-0D84-4D64-A2BF-2B3EAF44F4BD}"/>
    <cellStyle name="Note 2 2 2 9" xfId="3249" xr:uid="{4360AA8D-1199-4D46-BCF8-41E028DC8036}"/>
    <cellStyle name="Note 2 2 2 9 2" xfId="7052" xr:uid="{BDE73215-7B89-4064-9D8F-DB5E5F0518E4}"/>
    <cellStyle name="Note 2 2 3" xfId="552" xr:uid="{00000000-0005-0000-0000-0000E1030000}"/>
    <cellStyle name="Note 2 2 3 2" xfId="1017" xr:uid="{00000000-0005-0000-0000-0000E2030000}"/>
    <cellStyle name="Note 2 2 3 2 2" xfId="1847" xr:uid="{856E0DAB-5E47-4C3A-9045-9C48B43C1531}"/>
    <cellStyle name="Note 2 2 3 2 2 2" xfId="7467" xr:uid="{B4D6D5CA-3D88-41F6-91A8-6A80CA29B377}"/>
    <cellStyle name="Note 2 2 3 2 3" xfId="5322" xr:uid="{9C4DD4A2-8B56-4AEF-9D8A-05690F2A4C4C}"/>
    <cellStyle name="Note 2 2 3 3" xfId="1431" xr:uid="{6FD9AB51-DE31-4085-A02B-513B9928622C}"/>
    <cellStyle name="Note 2 2 3 3 2" xfId="3665" xr:uid="{3E450953-508C-401C-8088-D8B69D10AC1F}"/>
    <cellStyle name="Note 2 2 3 3 2 2" xfId="7880" xr:uid="{19281A9B-DF94-4C21-A71D-90AA63D1FE0F}"/>
    <cellStyle name="Note 2 2 3 3 3" xfId="5735" xr:uid="{C0CC17C7-DCBA-4E7C-9329-8EB9E91FED4F}"/>
    <cellStyle name="Note 2 2 3 4" xfId="2262" xr:uid="{1C12E10C-CB10-4F87-9B11-29153D17E4C2}"/>
    <cellStyle name="Note 2 2 3 4 2" xfId="4078" xr:uid="{73029F50-E6C7-4A70-A7EC-50D11E582BCA}"/>
    <cellStyle name="Note 2 2 3 4 2 2" xfId="8293" xr:uid="{F6522CCD-C18A-471F-A78E-FEA430A4DBA4}"/>
    <cellStyle name="Note 2 2 3 4 3" xfId="6148" xr:uid="{F9D35412-1C2E-44DE-B2D2-6643FDE0204B}"/>
    <cellStyle name="Note 2 2 3 5" xfId="2675" xr:uid="{6C577C38-EC93-4947-B43D-4A62C14BAD5A}"/>
    <cellStyle name="Note 2 2 3 5 2" xfId="4491" xr:uid="{C764B7C8-C13F-431B-B5D6-0EF8FEBF2DD1}"/>
    <cellStyle name="Note 2 2 3 5 2 2" xfId="8706" xr:uid="{D976F937-E894-45D2-B7D2-A680DA7B087B}"/>
    <cellStyle name="Note 2 2 3 5 3" xfId="6561" xr:uid="{0A35E5A4-ADEB-42CF-AD00-A5D3E1920B8E}"/>
    <cellStyle name="Note 2 2 3 6" xfId="3111" xr:uid="{58A62039-85D4-4214-AF20-169D469275A5}"/>
    <cellStyle name="Note 2 2 3 6 2" xfId="6974" xr:uid="{EBEB7C93-4906-4539-B327-63272D155D4C}"/>
    <cellStyle name="Note 2 2 3 7" xfId="3170" xr:uid="{EA77AB3D-15DF-4D13-B7B4-837FEB584986}"/>
    <cellStyle name="Note 2 2 3 8" xfId="3251" xr:uid="{0C4002B9-CA32-4AC5-A786-92390C688DA3}"/>
    <cellStyle name="Note 2 2 3 8 2" xfId="7054" xr:uid="{5C312646-B55C-463F-9E4D-5BF7C54CD436}"/>
    <cellStyle name="Note 2 2 3 9" xfId="4909" xr:uid="{A9A60AF6-31E6-48A4-9888-603B1DC4D671}"/>
    <cellStyle name="Note 2 2 4" xfId="1014" xr:uid="{00000000-0005-0000-0000-0000E3030000}"/>
    <cellStyle name="Note 2 2 4 2" xfId="1844" xr:uid="{6A0FFFD7-0238-4BED-A685-A53AB20A1369}"/>
    <cellStyle name="Note 2 2 4 2 2" xfId="7464" xr:uid="{31B414ED-A5ED-4CCD-A3E9-49D2100C7469}"/>
    <cellStyle name="Note 2 2 4 3" xfId="5319" xr:uid="{10EBBD03-235D-44EF-AF17-98E8E0942479}"/>
    <cellStyle name="Note 2 2 5" xfId="1428" xr:uid="{E65BAD8A-0C91-49EB-A78C-93980184B6F8}"/>
    <cellStyle name="Note 2 2 5 2" xfId="3662" xr:uid="{3FE77321-8764-4F78-A493-50E983F49E97}"/>
    <cellStyle name="Note 2 2 5 2 2" xfId="7877" xr:uid="{98F2CD1D-33D4-4936-A847-C7CA4A7493FD}"/>
    <cellStyle name="Note 2 2 5 3" xfId="5732" xr:uid="{40F0C5B5-D151-4789-AE9D-641D3EF8C6EA}"/>
    <cellStyle name="Note 2 2 6" xfId="2259" xr:uid="{6E2CDD18-FC64-4276-871B-9EA399FE8937}"/>
    <cellStyle name="Note 2 2 6 2" xfId="4075" xr:uid="{D25A3A24-1F14-4EE8-AE5F-441AF52E483B}"/>
    <cellStyle name="Note 2 2 6 2 2" xfId="8290" xr:uid="{7655285A-53DF-4831-904A-388470B63AA7}"/>
    <cellStyle name="Note 2 2 6 3" xfId="6145" xr:uid="{AF798299-54A5-417A-BDD4-48D73DA449DA}"/>
    <cellStyle name="Note 2 2 7" xfId="2672" xr:uid="{750F0332-E646-4507-844E-8A7A4E8E045C}"/>
    <cellStyle name="Note 2 2 7 2" xfId="4488" xr:uid="{7E216C33-B5D4-427C-9CE0-9C53B7141CCD}"/>
    <cellStyle name="Note 2 2 7 2 2" xfId="8703" xr:uid="{E4857DF1-EEEC-4AC0-B8C4-D9F93682E9E3}"/>
    <cellStyle name="Note 2 2 7 3" xfId="6558" xr:uid="{2F782CC4-995D-476D-B3DA-570AA7C85551}"/>
    <cellStyle name="Note 2 2 8" xfId="3108" xr:uid="{A7B12940-EB6E-4AC1-8333-0C1E2137D9FF}"/>
    <cellStyle name="Note 2 2 8 2" xfId="6971" xr:uid="{DF7D38C9-CA23-4F28-BD9C-BE507C81CFDD}"/>
    <cellStyle name="Note 2 2 9" xfId="3167" xr:uid="{5AC6DB74-3BB5-4C54-AFF8-8CA896A7503F}"/>
    <cellStyle name="Note 2 3" xfId="553" xr:uid="{00000000-0005-0000-0000-0000E4030000}"/>
    <cellStyle name="Note 2 3 10" xfId="4910" xr:uid="{2657BAF1-5A67-4424-B7E3-E77AF245EAF3}"/>
    <cellStyle name="Note 2 3 2" xfId="554" xr:uid="{00000000-0005-0000-0000-0000E5030000}"/>
    <cellStyle name="Note 2 3 2 2" xfId="1019" xr:uid="{00000000-0005-0000-0000-0000E6030000}"/>
    <cellStyle name="Note 2 3 2 2 2" xfId="1849" xr:uid="{516FC9B7-B9D6-4673-9376-C605F4FD5F28}"/>
    <cellStyle name="Note 2 3 2 2 2 2" xfId="7469" xr:uid="{CE6E9EEB-DC35-447D-821B-A225953C6B7D}"/>
    <cellStyle name="Note 2 3 2 2 3" xfId="5324" xr:uid="{170E1C23-D750-42E4-9B2D-F8FC9AA5FE58}"/>
    <cellStyle name="Note 2 3 2 3" xfId="1433" xr:uid="{19C9DE8E-0F11-4A78-AD74-89813B9ECEFA}"/>
    <cellStyle name="Note 2 3 2 3 2" xfId="3667" xr:uid="{40096EE7-AC0E-4F98-8D71-9659CD58EA6F}"/>
    <cellStyle name="Note 2 3 2 3 2 2" xfId="7882" xr:uid="{FDF9205E-2E1C-448F-A0BA-564B87752BBE}"/>
    <cellStyle name="Note 2 3 2 3 3" xfId="5737" xr:uid="{7CA89645-178E-41DA-A70D-E0CCE82B4977}"/>
    <cellStyle name="Note 2 3 2 4" xfId="2264" xr:uid="{5C0E7EE3-C39E-4216-86CE-4883A2B0DAAB}"/>
    <cellStyle name="Note 2 3 2 4 2" xfId="4080" xr:uid="{CEBE8F43-F9B1-433D-BA40-BE08CC34B001}"/>
    <cellStyle name="Note 2 3 2 4 2 2" xfId="8295" xr:uid="{B869E2A7-011E-4A78-9F6B-D1FE9790036E}"/>
    <cellStyle name="Note 2 3 2 4 3" xfId="6150" xr:uid="{51FF9A42-7689-46A8-AE32-4D58A2B65B79}"/>
    <cellStyle name="Note 2 3 2 5" xfId="2677" xr:uid="{182A84AC-F040-4E8D-8378-787AA14EDDFB}"/>
    <cellStyle name="Note 2 3 2 5 2" xfId="4493" xr:uid="{0D888D36-2EE3-4B0C-A163-8A2190C616BC}"/>
    <cellStyle name="Note 2 3 2 5 2 2" xfId="8708" xr:uid="{1EBCE9DE-4F00-44B9-8663-8A380DE6EB23}"/>
    <cellStyle name="Note 2 3 2 5 3" xfId="6563" xr:uid="{02D22792-1883-4317-B096-92CBEFD959AA}"/>
    <cellStyle name="Note 2 3 2 6" xfId="3113" xr:uid="{44ABFC0D-0EFA-46C3-A2B2-E64690778C7B}"/>
    <cellStyle name="Note 2 3 2 6 2" xfId="6976" xr:uid="{E4FBDDB1-D031-420C-82BB-40518AD5EF85}"/>
    <cellStyle name="Note 2 3 2 7" xfId="3172" xr:uid="{B5C9130F-1972-415C-B0BB-75187628C471}"/>
    <cellStyle name="Note 2 3 2 8" xfId="3253" xr:uid="{F5098E0C-7EAF-413F-A157-2498218E431D}"/>
    <cellStyle name="Note 2 3 2 8 2" xfId="7056" xr:uid="{A813BB23-2A07-438B-A7BA-060FB432B2D0}"/>
    <cellStyle name="Note 2 3 2 9" xfId="4911" xr:uid="{53A2F5DD-CD3B-4D07-9F7F-EAFF4160DEA4}"/>
    <cellStyle name="Note 2 3 3" xfId="1018" xr:uid="{00000000-0005-0000-0000-0000E7030000}"/>
    <cellStyle name="Note 2 3 3 2" xfId="1848" xr:uid="{BE77BC71-8939-4174-B773-47E2C19D2A62}"/>
    <cellStyle name="Note 2 3 3 2 2" xfId="7468" xr:uid="{981C163C-DAFF-4624-86CC-264223EC1C82}"/>
    <cellStyle name="Note 2 3 3 3" xfId="5323" xr:uid="{F0C3A239-FCFE-478F-80F0-D7F39A3D0D7F}"/>
    <cellStyle name="Note 2 3 4" xfId="1432" xr:uid="{8093334A-160C-4418-AD10-BE155A257344}"/>
    <cellStyle name="Note 2 3 4 2" xfId="3666" xr:uid="{3BB3EC70-00CD-4785-B63A-20825BD63A84}"/>
    <cellStyle name="Note 2 3 4 2 2" xfId="7881" xr:uid="{05F0D9B5-57E9-4872-A585-C9409E0293B0}"/>
    <cellStyle name="Note 2 3 4 3" xfId="5736" xr:uid="{864C3AD5-B9D7-4005-9AC5-2ACCD3651564}"/>
    <cellStyle name="Note 2 3 5" xfId="2263" xr:uid="{46735E7F-2F20-4891-84BB-6C3EC6009E9C}"/>
    <cellStyle name="Note 2 3 5 2" xfId="4079" xr:uid="{D4D2CF6B-0D2C-4564-B6AA-0A109A235D14}"/>
    <cellStyle name="Note 2 3 5 2 2" xfId="8294" xr:uid="{96C10AF7-4144-48DD-AA95-F7BA1069C87A}"/>
    <cellStyle name="Note 2 3 5 3" xfId="6149" xr:uid="{62744A77-712B-4799-BAAC-CA46D42D61CB}"/>
    <cellStyle name="Note 2 3 6" xfId="2676" xr:uid="{CC2DBB2E-DF09-4758-8DA9-19141116BA0A}"/>
    <cellStyle name="Note 2 3 6 2" xfId="4492" xr:uid="{F88762A0-6773-4418-9447-D9BFC2E26FC1}"/>
    <cellStyle name="Note 2 3 6 2 2" xfId="8707" xr:uid="{95FB4A8D-A435-4081-B74F-B60297C00A71}"/>
    <cellStyle name="Note 2 3 6 3" xfId="6562" xr:uid="{4C003706-F6EC-46AF-BD74-833DBDB62D09}"/>
    <cellStyle name="Note 2 3 7" xfId="3112" xr:uid="{402E6C4F-EC4A-4AC1-AACC-ABA8C1CB19B5}"/>
    <cellStyle name="Note 2 3 7 2" xfId="6975" xr:uid="{8E4E92D9-7DD5-4D12-BDFA-973F2A9FF89C}"/>
    <cellStyle name="Note 2 3 8" xfId="3171" xr:uid="{66E87912-BE12-4B22-B998-51D59E2B586A}"/>
    <cellStyle name="Note 2 3 9" xfId="3252" xr:uid="{59DF7583-60FE-412C-A5C7-C6046184C9E1}"/>
    <cellStyle name="Note 2 3 9 2" xfId="7055" xr:uid="{63F20CC6-B888-49D3-8CAF-63B34CFB3355}"/>
    <cellStyle name="Note 2 4" xfId="555" xr:uid="{00000000-0005-0000-0000-0000E8030000}"/>
    <cellStyle name="Note 2 4 2" xfId="1020" xr:uid="{00000000-0005-0000-0000-0000E9030000}"/>
    <cellStyle name="Note 2 4 2 2" xfId="1850" xr:uid="{EB8D9EAC-6403-4ABD-ACBD-E595E2EEA016}"/>
    <cellStyle name="Note 2 4 2 2 2" xfId="7470" xr:uid="{022DBAD3-3BE0-4C0D-B81A-0147D39A4026}"/>
    <cellStyle name="Note 2 4 2 3" xfId="5325" xr:uid="{C9D6BCC5-78B1-456C-B664-ADA18FFBDB0E}"/>
    <cellStyle name="Note 2 4 3" xfId="1434" xr:uid="{3FB23471-593D-4565-8B0E-3491D17A1D26}"/>
    <cellStyle name="Note 2 4 3 2" xfId="3668" xr:uid="{B38DD585-7895-423B-B679-B80003057DDC}"/>
    <cellStyle name="Note 2 4 3 2 2" xfId="7883" xr:uid="{ED06C10F-5387-4D38-8EDD-B6C1CCF77E58}"/>
    <cellStyle name="Note 2 4 3 3" xfId="5738" xr:uid="{80A3BB3D-B07D-4550-B246-B80EAAA75430}"/>
    <cellStyle name="Note 2 4 4" xfId="2265" xr:uid="{9FE04A68-95C3-4583-A0A7-C741FF3F61D5}"/>
    <cellStyle name="Note 2 4 4 2" xfId="4081" xr:uid="{6A716397-E416-4A38-8522-BFECD85F35D6}"/>
    <cellStyle name="Note 2 4 4 2 2" xfId="8296" xr:uid="{0EDE75D3-826E-47E9-A90C-9513E3C5530C}"/>
    <cellStyle name="Note 2 4 4 3" xfId="6151" xr:uid="{CFE0160A-FE92-4A4E-B1E8-55A1770A0053}"/>
    <cellStyle name="Note 2 4 5" xfId="2678" xr:uid="{8F991EC8-5F35-44E3-B6DE-9947EDFB28F4}"/>
    <cellStyle name="Note 2 4 5 2" xfId="4494" xr:uid="{A64ED8BE-EFCB-4321-9E8A-B13EB75C1617}"/>
    <cellStyle name="Note 2 4 5 2 2" xfId="8709" xr:uid="{E75AEBC8-43A6-4340-94F0-6130F41F16C3}"/>
    <cellStyle name="Note 2 4 5 3" xfId="6564" xr:uid="{4140FF2A-5639-4A0C-AE2C-35EEC95398D7}"/>
    <cellStyle name="Note 2 4 6" xfId="3114" xr:uid="{C65D85F2-FEC3-4055-B578-005B2AE2FCD8}"/>
    <cellStyle name="Note 2 4 6 2" xfId="6977" xr:uid="{CDCE887F-EC76-43D7-8315-D406D99296D2}"/>
    <cellStyle name="Note 2 4 7" xfId="3173" xr:uid="{278EBA38-FE86-4366-B8E7-59C47F345A7D}"/>
    <cellStyle name="Note 2 4 8" xfId="3254" xr:uid="{BA6C361D-9A4B-440C-93F9-246A5381DADB}"/>
    <cellStyle name="Note 2 4 8 2" xfId="7057" xr:uid="{5FE27561-D692-4C97-B9FD-CF2E76043E94}"/>
    <cellStyle name="Note 2 4 9" xfId="4912" xr:uid="{98D0673F-E751-4433-8505-248F776C3256}"/>
    <cellStyle name="Note 2 5" xfId="556" xr:uid="{00000000-0005-0000-0000-0000EA030000}"/>
    <cellStyle name="Note 2 5 2" xfId="1021" xr:uid="{00000000-0005-0000-0000-0000EB030000}"/>
    <cellStyle name="Note 2 5 2 2" xfId="1851" xr:uid="{28998EF1-6A34-4ADF-A267-9AF401B838A5}"/>
    <cellStyle name="Note 2 5 2 2 2" xfId="7471" xr:uid="{1E328ECE-A911-42B6-93DE-0DDAB9459F04}"/>
    <cellStyle name="Note 2 5 2 3" xfId="5326" xr:uid="{C063529F-088B-4893-B5F9-5EA24677DE7E}"/>
    <cellStyle name="Note 2 5 3" xfId="1435" xr:uid="{D83EAA02-0A21-42BC-9250-6FE56AF90048}"/>
    <cellStyle name="Note 2 5 3 2" xfId="3669" xr:uid="{B611FEA1-6E22-4DD5-9637-6636EECECA7A}"/>
    <cellStyle name="Note 2 5 3 2 2" xfId="7884" xr:uid="{019DE59F-2791-4C2A-81F7-F1DE720D987F}"/>
    <cellStyle name="Note 2 5 3 3" xfId="5739" xr:uid="{F4967F57-36F2-4EF0-B0B4-B53FD349ABAA}"/>
    <cellStyle name="Note 2 5 4" xfId="2266" xr:uid="{E57CFD7C-8CE5-4437-BDC3-64BA8CD8B28C}"/>
    <cellStyle name="Note 2 5 4 2" xfId="4082" xr:uid="{D1FCE780-F73E-476E-BAEB-7541B44C4122}"/>
    <cellStyle name="Note 2 5 4 2 2" xfId="8297" xr:uid="{628E2F27-37D6-48FC-B31F-1805CB90DF93}"/>
    <cellStyle name="Note 2 5 4 3" xfId="6152" xr:uid="{B15B32AD-D720-4D1B-9110-EE27F01A5512}"/>
    <cellStyle name="Note 2 5 5" xfId="2679" xr:uid="{C358297F-5F2C-43DD-969E-B0044B4F5E11}"/>
    <cellStyle name="Note 2 5 5 2" xfId="4495" xr:uid="{106A7C64-67B6-4276-88F2-B29B15EC5538}"/>
    <cellStyle name="Note 2 5 5 2 2" xfId="8710" xr:uid="{FE834514-7355-4C0C-84F9-AE057E832D54}"/>
    <cellStyle name="Note 2 5 5 3" xfId="6565" xr:uid="{D8ADC709-CA10-4034-B769-631FE8C5C9D9}"/>
    <cellStyle name="Note 2 5 6" xfId="3115" xr:uid="{34B52BC1-FA0F-4CCE-AF3F-B43D64EFDA83}"/>
    <cellStyle name="Note 2 5 6 2" xfId="6978" xr:uid="{B55CF04D-CD76-478E-ADB5-A699341DCF97}"/>
    <cellStyle name="Note 2 5 7" xfId="3174" xr:uid="{AF3359D1-29EA-4E92-A687-24CF855DF960}"/>
    <cellStyle name="Note 2 5 8" xfId="3255" xr:uid="{5ADC8221-8A93-4560-A6C2-96816D801EBA}"/>
    <cellStyle name="Note 2 5 8 2" xfId="7058" xr:uid="{398D5D3F-10BE-4751-9889-62406A134EBC}"/>
    <cellStyle name="Note 2 5 9" xfId="4913" xr:uid="{C15C3083-AD6C-4D12-B458-7CC7C3EE9603}"/>
    <cellStyle name="Note 3" xfId="557" xr:uid="{00000000-0005-0000-0000-0000EC030000}"/>
    <cellStyle name="Note 3 2" xfId="558" xr:uid="{00000000-0005-0000-0000-0000ED030000}"/>
    <cellStyle name="Note 3 2 10" xfId="3256" xr:uid="{1241A023-EE82-44EF-9169-8E699ADA91C6}"/>
    <cellStyle name="Note 3 2 10 2" xfId="7059" xr:uid="{A58F310C-3964-4ADD-B409-E95504EF4E25}"/>
    <cellStyle name="Note 3 2 11" xfId="4914" xr:uid="{41C7F2E3-8B85-4095-B6A0-533C50C2E5CF}"/>
    <cellStyle name="Note 3 2 2" xfId="559" xr:uid="{00000000-0005-0000-0000-0000EE030000}"/>
    <cellStyle name="Note 3 2 2 10" xfId="4915" xr:uid="{0D5F6312-DBFE-4DB7-9BD8-B2884D241F3E}"/>
    <cellStyle name="Note 3 2 2 2" xfId="560" xr:uid="{00000000-0005-0000-0000-0000EF030000}"/>
    <cellStyle name="Note 3 2 2 2 2" xfId="1024" xr:uid="{00000000-0005-0000-0000-0000F0030000}"/>
    <cellStyle name="Note 3 2 2 2 2 2" xfId="1854" xr:uid="{B7DF1AC0-B73C-4CAA-AEA5-AA458E350C83}"/>
    <cellStyle name="Note 3 2 2 2 2 2 2" xfId="7474" xr:uid="{70E13658-A98D-4A3F-AB2E-7A138F64D5B0}"/>
    <cellStyle name="Note 3 2 2 2 2 3" xfId="5329" xr:uid="{2F39AF6D-F7F6-4107-A63D-BA43B35D8E9D}"/>
    <cellStyle name="Note 3 2 2 2 3" xfId="1438" xr:uid="{23A21B16-51D7-4EDE-AFFC-F65BAC69E68C}"/>
    <cellStyle name="Note 3 2 2 2 3 2" xfId="3672" xr:uid="{3A2254FD-9AC2-4532-827A-C9B7038919C3}"/>
    <cellStyle name="Note 3 2 2 2 3 2 2" xfId="7887" xr:uid="{6F5BF42E-C214-4025-A4C1-38046DB62EBA}"/>
    <cellStyle name="Note 3 2 2 2 3 3" xfId="5742" xr:uid="{B5FEDF2C-90B4-43A0-AB3A-4ACAE66EFC65}"/>
    <cellStyle name="Note 3 2 2 2 4" xfId="2269" xr:uid="{DB7F119F-3DAF-4953-8F24-29FB3FF97A73}"/>
    <cellStyle name="Note 3 2 2 2 4 2" xfId="4085" xr:uid="{19316D84-F362-4584-B9F0-FFCF12CD12AD}"/>
    <cellStyle name="Note 3 2 2 2 4 2 2" xfId="8300" xr:uid="{E2098DBF-2655-4662-A4F2-5BDA415D6CBD}"/>
    <cellStyle name="Note 3 2 2 2 4 3" xfId="6155" xr:uid="{10EE535A-141B-46CE-AC88-2C635706DCCB}"/>
    <cellStyle name="Note 3 2 2 2 5" xfId="2682" xr:uid="{F236E991-F210-4A46-A883-D3641A3C4817}"/>
    <cellStyle name="Note 3 2 2 2 5 2" xfId="4498" xr:uid="{894C1AE2-9126-40FE-B0B8-5B73FC56B76F}"/>
    <cellStyle name="Note 3 2 2 2 5 2 2" xfId="8713" xr:uid="{63281192-7431-4F99-9E78-CD261567F241}"/>
    <cellStyle name="Note 3 2 2 2 5 3" xfId="6568" xr:uid="{08B16259-F43E-4D2B-A8CC-74AD717597AE}"/>
    <cellStyle name="Note 3 2 2 2 6" xfId="3118" xr:uid="{FB79D2B3-5378-4E85-A72C-E96F5486B1F6}"/>
    <cellStyle name="Note 3 2 2 2 6 2" xfId="6981" xr:uid="{C4B45ECD-2BD9-4DD6-8144-49F2A01B7A3A}"/>
    <cellStyle name="Note 3 2 2 2 7" xfId="3177" xr:uid="{88B858A7-5668-4EA9-A520-13D03ACF8C20}"/>
    <cellStyle name="Note 3 2 2 2 8" xfId="3258" xr:uid="{12E838E8-C70F-4D48-A76C-40CB437BE734}"/>
    <cellStyle name="Note 3 2 2 2 8 2" xfId="7061" xr:uid="{1799ABC5-ECA2-4058-98F1-CB78029D2A0A}"/>
    <cellStyle name="Note 3 2 2 2 9" xfId="4916" xr:uid="{864AD817-6CF7-4B4D-AD57-AC331BBDA9B8}"/>
    <cellStyle name="Note 3 2 2 3" xfId="1023" xr:uid="{00000000-0005-0000-0000-0000F1030000}"/>
    <cellStyle name="Note 3 2 2 3 2" xfId="1853" xr:uid="{389A528B-2D3A-4687-BCED-E74EF9FE7B6A}"/>
    <cellStyle name="Note 3 2 2 3 2 2" xfId="7473" xr:uid="{3AE49462-C196-4473-B9DA-5155A99ECB2D}"/>
    <cellStyle name="Note 3 2 2 3 3" xfId="5328" xr:uid="{90968E1A-6CF3-4A7C-9024-FF2CFA5D0C6D}"/>
    <cellStyle name="Note 3 2 2 4" xfId="1437" xr:uid="{B2A6BB98-6C3F-4083-BBF5-6CDF7B17C01A}"/>
    <cellStyle name="Note 3 2 2 4 2" xfId="3671" xr:uid="{92F43A03-81BC-4242-ACDF-E4693799041C}"/>
    <cellStyle name="Note 3 2 2 4 2 2" xfId="7886" xr:uid="{452925F0-E9B5-4A6C-A36D-2F8C9FC9EE52}"/>
    <cellStyle name="Note 3 2 2 4 3" xfId="5741" xr:uid="{50D9552C-FA95-4582-B54C-6DB21265E636}"/>
    <cellStyle name="Note 3 2 2 5" xfId="2268" xr:uid="{AB9DE884-7DD1-4077-9B9B-AD9A624721E1}"/>
    <cellStyle name="Note 3 2 2 5 2" xfId="4084" xr:uid="{D6589C34-CEA6-4A55-BA41-E511AAF15B3A}"/>
    <cellStyle name="Note 3 2 2 5 2 2" xfId="8299" xr:uid="{8CEA4A1C-BAD8-4830-B4A1-58A66BDB089A}"/>
    <cellStyle name="Note 3 2 2 5 3" xfId="6154" xr:uid="{69243F83-FB92-4DA8-B77B-1C73751A217C}"/>
    <cellStyle name="Note 3 2 2 6" xfId="2681" xr:uid="{9BACC959-0FFD-4D12-896E-E47B5D2A9818}"/>
    <cellStyle name="Note 3 2 2 6 2" xfId="4497" xr:uid="{B514E21B-2325-43F6-804F-FAC59E315140}"/>
    <cellStyle name="Note 3 2 2 6 2 2" xfId="8712" xr:uid="{2C3441AB-FE1C-4B76-8F03-4E44C1C7B0FC}"/>
    <cellStyle name="Note 3 2 2 6 3" xfId="6567" xr:uid="{DF5BD2A5-EBC8-4611-ACD9-F2F01072D3C2}"/>
    <cellStyle name="Note 3 2 2 7" xfId="3117" xr:uid="{75665CD2-F7FC-4612-A654-B78115017EB9}"/>
    <cellStyle name="Note 3 2 2 7 2" xfId="6980" xr:uid="{7AEC831C-6A1A-489F-8EB6-760A10AD6CF5}"/>
    <cellStyle name="Note 3 2 2 8" xfId="3176" xr:uid="{F0A701EF-812C-43D2-B3AA-E8A2D746D9C5}"/>
    <cellStyle name="Note 3 2 2 9" xfId="3257" xr:uid="{CC8E891A-56DD-4179-B865-BCB61879EE9E}"/>
    <cellStyle name="Note 3 2 2 9 2" xfId="7060" xr:uid="{D1C5E5A8-90BB-4D1C-8F65-F210E11C0146}"/>
    <cellStyle name="Note 3 2 3" xfId="561" xr:uid="{00000000-0005-0000-0000-0000F2030000}"/>
    <cellStyle name="Note 3 2 3 2" xfId="1025" xr:uid="{00000000-0005-0000-0000-0000F3030000}"/>
    <cellStyle name="Note 3 2 3 2 2" xfId="1855" xr:uid="{C1A1EC8E-958C-470A-8830-F15483B8EB15}"/>
    <cellStyle name="Note 3 2 3 2 2 2" xfId="7475" xr:uid="{C126C216-7FF3-4833-997A-C4D0D0607364}"/>
    <cellStyle name="Note 3 2 3 2 3" xfId="5330" xr:uid="{EFFA6C38-1D13-4615-A26B-53B56B554341}"/>
    <cellStyle name="Note 3 2 3 3" xfId="1439" xr:uid="{81093D0F-F646-40CF-9B1A-569D46C14D7C}"/>
    <cellStyle name="Note 3 2 3 3 2" xfId="3673" xr:uid="{6B1C2AF4-44F7-4F99-970D-2F3E51DD87B9}"/>
    <cellStyle name="Note 3 2 3 3 2 2" xfId="7888" xr:uid="{1F473EE8-616C-4758-9301-4CF3E3070E3A}"/>
    <cellStyle name="Note 3 2 3 3 3" xfId="5743" xr:uid="{3306FBE3-22E5-4E66-8885-F3B34BEADEFC}"/>
    <cellStyle name="Note 3 2 3 4" xfId="2270" xr:uid="{91ACF55E-DD12-478D-9F7F-8326491F89A1}"/>
    <cellStyle name="Note 3 2 3 4 2" xfId="4086" xr:uid="{9D1324C1-42A7-4B7F-8276-B773DA7B072A}"/>
    <cellStyle name="Note 3 2 3 4 2 2" xfId="8301" xr:uid="{D20A600A-15B0-44E1-98E4-44F5F1A1F563}"/>
    <cellStyle name="Note 3 2 3 4 3" xfId="6156" xr:uid="{054957E1-544B-40D1-B53E-170BE2CA98AA}"/>
    <cellStyle name="Note 3 2 3 5" xfId="2683" xr:uid="{05CD181D-4AF8-4861-AD99-6688970D0A18}"/>
    <cellStyle name="Note 3 2 3 5 2" xfId="4499" xr:uid="{12D55B31-A0A6-4CF9-BA93-C1423851BAA5}"/>
    <cellStyle name="Note 3 2 3 5 2 2" xfId="8714" xr:uid="{BE834827-C949-456D-958D-F610D913B613}"/>
    <cellStyle name="Note 3 2 3 5 3" xfId="6569" xr:uid="{DFB22443-6854-4E1E-B56E-6A51E0003C2C}"/>
    <cellStyle name="Note 3 2 3 6" xfId="3119" xr:uid="{2DBFBA9A-CBE8-4CCA-90E7-27DC9F71F857}"/>
    <cellStyle name="Note 3 2 3 6 2" xfId="6982" xr:uid="{A5D48391-B2A1-4876-97CC-3CF3B0A52206}"/>
    <cellStyle name="Note 3 2 3 7" xfId="3178" xr:uid="{20C25B37-89B9-48C0-9F48-375B4ABC79DF}"/>
    <cellStyle name="Note 3 2 3 8" xfId="3259" xr:uid="{E0A253E1-1736-4889-9751-E26798747F30}"/>
    <cellStyle name="Note 3 2 3 8 2" xfId="7062" xr:uid="{DCEF5CA7-B20D-4AAF-A35F-0243F67C1EF4}"/>
    <cellStyle name="Note 3 2 3 9" xfId="4917" xr:uid="{A1EE4420-097E-49C9-BD4C-F743CE0657CB}"/>
    <cellStyle name="Note 3 2 4" xfId="1022" xr:uid="{00000000-0005-0000-0000-0000F4030000}"/>
    <cellStyle name="Note 3 2 4 2" xfId="1852" xr:uid="{93ECC1E6-4B3B-4455-BE5A-6369839DC148}"/>
    <cellStyle name="Note 3 2 4 2 2" xfId="7472" xr:uid="{016EC5DB-12D7-4C13-B095-F8F64D21A686}"/>
    <cellStyle name="Note 3 2 4 3" xfId="5327" xr:uid="{220CB5ED-8C4A-47ED-9A60-42693D32147C}"/>
    <cellStyle name="Note 3 2 5" xfId="1436" xr:uid="{1E5196AD-A9AB-4891-92C0-4F8A8A5CA537}"/>
    <cellStyle name="Note 3 2 5 2" xfId="3670" xr:uid="{8469C296-A18B-466B-952C-AFDBED2CB998}"/>
    <cellStyle name="Note 3 2 5 2 2" xfId="7885" xr:uid="{1101D3E5-349D-4D59-9D55-6DAFD0213E90}"/>
    <cellStyle name="Note 3 2 5 3" xfId="5740" xr:uid="{9F32BEA0-D3A6-4C89-A868-7DA2B7E9719F}"/>
    <cellStyle name="Note 3 2 6" xfId="2267" xr:uid="{E653D7C8-6018-45C5-ACA1-FE23AA4E22B1}"/>
    <cellStyle name="Note 3 2 6 2" xfId="4083" xr:uid="{F20894F5-152C-4E5B-AF01-DF892026C120}"/>
    <cellStyle name="Note 3 2 6 2 2" xfId="8298" xr:uid="{06C7C0AC-26E4-4FB1-81E9-E8D8AE9B1F55}"/>
    <cellStyle name="Note 3 2 6 3" xfId="6153" xr:uid="{3D656F84-1A57-4558-B2DA-0E343F751454}"/>
    <cellStyle name="Note 3 2 7" xfId="2680" xr:uid="{43E8D6F7-D3F8-46F3-9C1C-FECACDE0B6B3}"/>
    <cellStyle name="Note 3 2 7 2" xfId="4496" xr:uid="{8D05BBCE-D37E-404B-B1D6-4696A09A499A}"/>
    <cellStyle name="Note 3 2 7 2 2" xfId="8711" xr:uid="{12D4D022-2BCD-43F9-88CF-9CF997CA7A64}"/>
    <cellStyle name="Note 3 2 7 3" xfId="6566" xr:uid="{436EFDF3-3DC5-4934-9979-6C1939C7BBCF}"/>
    <cellStyle name="Note 3 2 8" xfId="3116" xr:uid="{173DF5DA-268A-4AEA-B792-A7A181C3A85A}"/>
    <cellStyle name="Note 3 2 8 2" xfId="6979" xr:uid="{90041E14-0EA9-42CE-81F2-103F76703D25}"/>
    <cellStyle name="Note 3 2 9" xfId="3175" xr:uid="{145A5E09-8B65-4FAE-A97E-E7DDE907E253}"/>
    <cellStyle name="Note 3 3" xfId="562" xr:uid="{00000000-0005-0000-0000-0000F5030000}"/>
    <cellStyle name="Note 3 3 10" xfId="4918" xr:uid="{3DC50BA4-D7D4-4AA1-B719-4D66E51B6807}"/>
    <cellStyle name="Note 3 3 2" xfId="563" xr:uid="{00000000-0005-0000-0000-0000F6030000}"/>
    <cellStyle name="Note 3 3 2 2" xfId="1027" xr:uid="{00000000-0005-0000-0000-0000F7030000}"/>
    <cellStyle name="Note 3 3 2 2 2" xfId="1857" xr:uid="{A7D96AF5-9D96-4741-A6BB-86441AC9CF8E}"/>
    <cellStyle name="Note 3 3 2 2 2 2" xfId="7477" xr:uid="{06D32413-312F-4935-845D-CABB7E3F269C}"/>
    <cellStyle name="Note 3 3 2 2 3" xfId="5332" xr:uid="{6FDD7D25-A933-4437-AACF-8098B9670BA0}"/>
    <cellStyle name="Note 3 3 2 3" xfId="1441" xr:uid="{E51CB1A1-5FB1-420B-ADE6-02300A1F2E8E}"/>
    <cellStyle name="Note 3 3 2 3 2" xfId="3675" xr:uid="{727D16ED-4797-4621-AFC4-BF5C7D957FF2}"/>
    <cellStyle name="Note 3 3 2 3 2 2" xfId="7890" xr:uid="{BB6386C0-F5E4-4102-9379-8B5F41E43DB7}"/>
    <cellStyle name="Note 3 3 2 3 3" xfId="5745" xr:uid="{C4EB5AB1-75B5-46F5-A48D-7246C81280D9}"/>
    <cellStyle name="Note 3 3 2 4" xfId="2272" xr:uid="{4F3BDCDB-6AFC-4CC6-A646-2C811EE12BB8}"/>
    <cellStyle name="Note 3 3 2 4 2" xfId="4088" xr:uid="{52D24A98-2DCD-4395-B19B-BFC85A365E53}"/>
    <cellStyle name="Note 3 3 2 4 2 2" xfId="8303" xr:uid="{E1300CF9-F2DE-415A-9215-A8917A355E12}"/>
    <cellStyle name="Note 3 3 2 4 3" xfId="6158" xr:uid="{9AD57C66-136D-488D-BE87-C39CF82AC811}"/>
    <cellStyle name="Note 3 3 2 5" xfId="2685" xr:uid="{54589422-CD08-4D48-B6BA-4C2679736711}"/>
    <cellStyle name="Note 3 3 2 5 2" xfId="4501" xr:uid="{E583052D-EB06-484C-8B30-A987E896A74E}"/>
    <cellStyle name="Note 3 3 2 5 2 2" xfId="8716" xr:uid="{A6D41510-EB37-430F-812D-8192F24CED26}"/>
    <cellStyle name="Note 3 3 2 5 3" xfId="6571" xr:uid="{20E73059-FE35-4C2B-9A9E-DF6D6F156564}"/>
    <cellStyle name="Note 3 3 2 6" xfId="3121" xr:uid="{029F4C81-8FB5-49D4-A5BA-C662C0EF7AE0}"/>
    <cellStyle name="Note 3 3 2 6 2" xfId="6984" xr:uid="{450C0C82-019A-4187-BD3F-280C4776F70C}"/>
    <cellStyle name="Note 3 3 2 7" xfId="3180" xr:uid="{FCC5EE4B-773C-4470-8EBD-C59139A152FC}"/>
    <cellStyle name="Note 3 3 2 8" xfId="3261" xr:uid="{7B39A52C-BC8A-4BAF-8B58-997C1C7376C1}"/>
    <cellStyle name="Note 3 3 2 8 2" xfId="7064" xr:uid="{23579F2F-5A5F-43D4-8E52-E689514F0E83}"/>
    <cellStyle name="Note 3 3 2 9" xfId="4919" xr:uid="{3CFFC265-A9D4-4711-809E-BF4C3C524330}"/>
    <cellStyle name="Note 3 3 3" xfId="1026" xr:uid="{00000000-0005-0000-0000-0000F8030000}"/>
    <cellStyle name="Note 3 3 3 2" xfId="1856" xr:uid="{F9B3D5F4-4F99-49C0-B48C-7078FB26945F}"/>
    <cellStyle name="Note 3 3 3 2 2" xfId="7476" xr:uid="{5992DF75-1988-4B6D-BF2F-8CC632D4C457}"/>
    <cellStyle name="Note 3 3 3 3" xfId="5331" xr:uid="{868F1B4F-5A2D-47F4-A4E3-75D18C943C32}"/>
    <cellStyle name="Note 3 3 4" xfId="1440" xr:uid="{7E065ABF-1117-4A3D-82E0-1315F96C0DA5}"/>
    <cellStyle name="Note 3 3 4 2" xfId="3674" xr:uid="{61875D2D-E47A-472A-A25E-9EC24EC3AC40}"/>
    <cellStyle name="Note 3 3 4 2 2" xfId="7889" xr:uid="{4A6EA650-9446-4C8A-B4BD-50F0962C1F89}"/>
    <cellStyle name="Note 3 3 4 3" xfId="5744" xr:uid="{97A9FA71-533C-41E5-80D3-E1F4CD1129FA}"/>
    <cellStyle name="Note 3 3 5" xfId="2271" xr:uid="{79D3988B-53E9-441B-8997-11C8D6859E96}"/>
    <cellStyle name="Note 3 3 5 2" xfId="4087" xr:uid="{765CAC11-7296-405B-9020-148136911E63}"/>
    <cellStyle name="Note 3 3 5 2 2" xfId="8302" xr:uid="{94049B04-A2E8-4313-A7D1-28985600212F}"/>
    <cellStyle name="Note 3 3 5 3" xfId="6157" xr:uid="{23ACE834-AA5A-4D91-95F9-BD097ACC3942}"/>
    <cellStyle name="Note 3 3 6" xfId="2684" xr:uid="{A0D5A21A-BCAB-4488-8774-759BA2D0F8E7}"/>
    <cellStyle name="Note 3 3 6 2" xfId="4500" xr:uid="{4AF03A7F-39C3-460B-B812-A9601D46035C}"/>
    <cellStyle name="Note 3 3 6 2 2" xfId="8715" xr:uid="{BE69CFC3-3AE4-4EDB-87C4-90989D5D35E1}"/>
    <cellStyle name="Note 3 3 6 3" xfId="6570" xr:uid="{B742C286-86BE-45EC-B8E5-1A6AB76D587E}"/>
    <cellStyle name="Note 3 3 7" xfId="3120" xr:uid="{F50F0023-052F-4946-ACB6-C58BFD30B415}"/>
    <cellStyle name="Note 3 3 7 2" xfId="6983" xr:uid="{F5901CBA-B9EB-4EED-8F5C-BE56A81AA978}"/>
    <cellStyle name="Note 3 3 8" xfId="3179" xr:uid="{84905C71-BBCF-422F-A0CD-8F56ED60CBA3}"/>
    <cellStyle name="Note 3 3 9" xfId="3260" xr:uid="{4DF46150-2E31-4B20-8B3A-577172A686D6}"/>
    <cellStyle name="Note 3 3 9 2" xfId="7063" xr:uid="{5DC1CF59-1BFF-42EB-9EB5-B9B0DD5852A1}"/>
    <cellStyle name="Note 3 4" xfId="564" xr:uid="{00000000-0005-0000-0000-0000F9030000}"/>
    <cellStyle name="Note 3 4 2" xfId="1028" xr:uid="{00000000-0005-0000-0000-0000FA030000}"/>
    <cellStyle name="Note 3 4 2 2" xfId="1858" xr:uid="{ECDDE954-B5C7-4FBB-8869-7C323DB20416}"/>
    <cellStyle name="Note 3 4 2 2 2" xfId="7478" xr:uid="{1F8309F0-DBD0-480E-820D-100B901D9687}"/>
    <cellStyle name="Note 3 4 2 3" xfId="5333" xr:uid="{A3BD492B-1966-46FB-B6B7-06EB02B9DEF0}"/>
    <cellStyle name="Note 3 4 3" xfId="1442" xr:uid="{32487AD4-E10E-46B4-B823-E42FDE48D95A}"/>
    <cellStyle name="Note 3 4 3 2" xfId="3676" xr:uid="{80B65E16-A90D-4F6D-807D-492432B9C9DC}"/>
    <cellStyle name="Note 3 4 3 2 2" xfId="7891" xr:uid="{534739CC-5DB6-41C9-B602-C546563A1BE9}"/>
    <cellStyle name="Note 3 4 3 3" xfId="5746" xr:uid="{33CFB954-5AB2-4F25-B317-3DFCCB820A19}"/>
    <cellStyle name="Note 3 4 4" xfId="2273" xr:uid="{058A0A73-F2E6-4732-B107-B926FE5A6901}"/>
    <cellStyle name="Note 3 4 4 2" xfId="4089" xr:uid="{E523EE98-34E0-4E4E-830D-52D0FF22ADB8}"/>
    <cellStyle name="Note 3 4 4 2 2" xfId="8304" xr:uid="{B16A9220-6CE7-4803-9230-46B288CF2AFB}"/>
    <cellStyle name="Note 3 4 4 3" xfId="6159" xr:uid="{9A437FA3-77C3-4044-AD01-F0FDC0EC5A2C}"/>
    <cellStyle name="Note 3 4 5" xfId="2686" xr:uid="{A0E25759-4E17-48E1-92DF-540191794393}"/>
    <cellStyle name="Note 3 4 5 2" xfId="4502" xr:uid="{F815727D-0528-4288-A7C1-2D7A597B4C69}"/>
    <cellStyle name="Note 3 4 5 2 2" xfId="8717" xr:uid="{AA92C0A9-C3BF-4A58-A8CF-573395AABBDE}"/>
    <cellStyle name="Note 3 4 5 3" xfId="6572" xr:uid="{1B8DDD0F-4D6C-467D-9316-DA9C597CBB2B}"/>
    <cellStyle name="Note 3 4 6" xfId="3122" xr:uid="{24072F8E-79E1-4A76-9C4A-2BF13B80A728}"/>
    <cellStyle name="Note 3 4 6 2" xfId="6985" xr:uid="{BF62C348-2AE3-4F11-849F-AD80572E3692}"/>
    <cellStyle name="Note 3 4 7" xfId="3181" xr:uid="{0E459340-AD27-4AF0-9A41-7D39D92369C7}"/>
    <cellStyle name="Note 3 4 8" xfId="3262" xr:uid="{8056C434-1DDC-4A57-AA60-1947A52FCE4E}"/>
    <cellStyle name="Note 3 4 8 2" xfId="7065" xr:uid="{0BD2D7BD-274B-4657-9F5E-2223FF635E33}"/>
    <cellStyle name="Note 3 4 9" xfId="4920" xr:uid="{2CCDB496-B894-4AFD-A188-746C64DE721C}"/>
    <cellStyle name="Note 3 5" xfId="565" xr:uid="{00000000-0005-0000-0000-0000FB030000}"/>
    <cellStyle name="Note 3 5 2" xfId="1029" xr:uid="{00000000-0005-0000-0000-0000FC030000}"/>
    <cellStyle name="Note 3 5 2 2" xfId="1859" xr:uid="{17B563EC-A70D-49CF-867B-99E8A157BAFF}"/>
    <cellStyle name="Note 3 5 2 2 2" xfId="7479" xr:uid="{D7A13BCE-25A3-470C-A6C0-62FDC3D60B3E}"/>
    <cellStyle name="Note 3 5 2 3" xfId="5334" xr:uid="{7402BE1E-2C56-4E58-ADF1-3E38D083545A}"/>
    <cellStyle name="Note 3 5 3" xfId="1443" xr:uid="{575558FB-85F8-4525-96F1-2BC0EEC83C20}"/>
    <cellStyle name="Note 3 5 3 2" xfId="3677" xr:uid="{6A3630D5-EBCB-4C16-A808-8C3206F5BE8F}"/>
    <cellStyle name="Note 3 5 3 2 2" xfId="7892" xr:uid="{2AB47648-BFE1-4A54-B977-1639CD1AB7E1}"/>
    <cellStyle name="Note 3 5 3 3" xfId="5747" xr:uid="{05B6FA47-FF0D-43D7-8880-12B14FD51EF3}"/>
    <cellStyle name="Note 3 5 4" xfId="2274" xr:uid="{E5B649E4-6728-446F-BACF-ACBF0AAC774A}"/>
    <cellStyle name="Note 3 5 4 2" xfId="4090" xr:uid="{3DF69AC8-24DF-4BD2-815A-2E1411E10D5F}"/>
    <cellStyle name="Note 3 5 4 2 2" xfId="8305" xr:uid="{6F0C65DF-193F-4951-9E70-4719BACA9AB5}"/>
    <cellStyle name="Note 3 5 4 3" xfId="6160" xr:uid="{22CA1970-D6A3-4289-8845-35DC5B8304A4}"/>
    <cellStyle name="Note 3 5 5" xfId="2687" xr:uid="{D0A233F2-1D92-4836-A361-0D2D7DC8698C}"/>
    <cellStyle name="Note 3 5 5 2" xfId="4503" xr:uid="{9261293A-1D83-4B98-9A72-2C32F0D90208}"/>
    <cellStyle name="Note 3 5 5 2 2" xfId="8718" xr:uid="{08D270E0-A9BE-4590-A213-CF879AD78249}"/>
    <cellStyle name="Note 3 5 5 3" xfId="6573" xr:uid="{2A8D9D90-9F03-4B31-A02D-735B9EC849B9}"/>
    <cellStyle name="Note 3 5 6" xfId="3123" xr:uid="{FD0B31B3-8B89-4483-B94A-F544A036FD95}"/>
    <cellStyle name="Note 3 5 6 2" xfId="6986" xr:uid="{3E743935-3598-4218-8B04-60509577B562}"/>
    <cellStyle name="Note 3 5 7" xfId="3182" xr:uid="{56FBFA68-6CF2-4CF4-ADF6-50EAFB5E3F6F}"/>
    <cellStyle name="Note 3 5 8" xfId="3263" xr:uid="{305E9DDB-4E8D-4016-83A3-72A073B558D6}"/>
    <cellStyle name="Note 3 5 8 2" xfId="7066" xr:uid="{5119D4A6-CEE0-479F-82D9-111BB1AC05EF}"/>
    <cellStyle name="Note 3 5 9" xfId="4921" xr:uid="{6F75034A-5329-4CB0-8A10-E1A7BF0E3F12}"/>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6" xr:uid="{08CC395C-1756-47FE-B783-596FC426E375}"/>
    <cellStyle name="Percent 4" xfId="4507" xr:uid="{789E85FA-30EA-4F99-9346-C0C1D01242CC}"/>
    <cellStyle name="Percent 4 2" xfId="8721" xr:uid="{279B6074-ABBF-4CBA-BE8F-E220064D9BAD}"/>
    <cellStyle name="Percent 4 3" xfId="8724" xr:uid="{F5E12A67-E78D-4947-AA15-8DE925BEB2E1}"/>
    <cellStyle name="Text Entry" xfId="568" xr:uid="{00000000-0005-0000-0000-000002040000}"/>
    <cellStyle name="Title 2" xfId="569" xr:uid="{00000000-0005-0000-0000-000003040000}"/>
    <cellStyle name="Title 2 2" xfId="3183" xr:uid="{BA402CE2-BF07-4A43-98D5-8C7E702852B4}"/>
    <cellStyle name="Title 2 3" xfId="3264" xr:uid="{3F5AF99F-7D1E-4068-9786-73E59E71111B}"/>
    <cellStyle name="Total" xfId="570" builtinId="25" customBuiltin="1"/>
    <cellStyle name="Total 2" xfId="571" xr:uid="{00000000-0005-0000-0000-000005040000}"/>
    <cellStyle name="Warning Text" xfId="572" builtinId="11" customBuiltin="1"/>
  </cellStyles>
  <dxfs count="12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18" t="s">
        <v>2063</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2067</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2238</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2290</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2291</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2235</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1391</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1235</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2" t="s">
        <v>1847</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2" t="s">
        <v>2062</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4" t="s">
        <v>2064</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213</v>
      </c>
      <c r="G51" s="1525" t="s">
        <v>1848</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2" t="s">
        <v>1851</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213</v>
      </c>
      <c r="G61" s="1522" t="s">
        <v>1850</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2" t="s">
        <v>1852</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213</v>
      </c>
      <c r="G67" s="1522" t="s">
        <v>1853</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1868</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1869</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1854</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1855</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1861</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1862</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1863</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1864</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1865</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1866</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1867</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1870</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1871</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2" t="s">
        <v>1872</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2" t="s">
        <v>1873</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2" t="s">
        <v>1874</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1993</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983</v>
      </c>
      <c r="F348" s="1522" t="s">
        <v>1994</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984</v>
      </c>
      <c r="F352" s="1522" t="s">
        <v>1995</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1990</v>
      </c>
    </row>
    <row r="366" spans="1:38" s="1528" customFormat="1">
      <c r="A366" s="1"/>
      <c r="B366" s="358"/>
      <c r="C366" s="1"/>
      <c r="D366" s="1"/>
    </row>
    <row r="367" spans="1:38">
      <c r="A367" s="1"/>
      <c r="B367" s="358"/>
      <c r="C367" s="1"/>
      <c r="D367" s="1"/>
      <c r="E367" s="1"/>
      <c r="F367" s="1526" t="s">
        <v>1991</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8" workbookViewId="0">
      <selection activeCell="E43" sqref="E43"/>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54" t="s">
        <v>2054</v>
      </c>
      <c r="B1" s="2654"/>
      <c r="C1" s="2654"/>
      <c r="D1" s="2654"/>
      <c r="E1" s="2654"/>
      <c r="F1" s="2654"/>
      <c r="G1" s="2654"/>
      <c r="H1" s="2654"/>
      <c r="I1" s="2654"/>
      <c r="J1" s="2654"/>
      <c r="K1" s="2654"/>
      <c r="L1" s="2654"/>
      <c r="M1" s="2654"/>
      <c r="N1" s="2654"/>
      <c r="O1" s="2654"/>
      <c r="P1" s="2654"/>
      <c r="Q1" s="2654"/>
      <c r="R1" s="2654"/>
      <c r="S1" s="2654"/>
    </row>
    <row r="2" spans="1:19" ht="15" customHeight="1">
      <c r="A2" s="2654"/>
      <c r="B2" s="2654"/>
      <c r="C2" s="2654"/>
      <c r="D2" s="2654"/>
      <c r="E2" s="2654"/>
      <c r="F2" s="2654"/>
      <c r="G2" s="2654"/>
      <c r="H2" s="2654"/>
      <c r="I2" s="2654"/>
      <c r="J2" s="2654"/>
      <c r="K2" s="2654"/>
      <c r="L2" s="2654"/>
      <c r="M2" s="2654"/>
      <c r="N2" s="2654"/>
      <c r="O2" s="2654"/>
      <c r="P2" s="2654"/>
      <c r="Q2" s="2654"/>
      <c r="R2" s="2654"/>
      <c r="S2" s="2654"/>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55" t="s">
        <v>1782</v>
      </c>
      <c r="C4" s="2655"/>
      <c r="D4" s="2655"/>
      <c r="E4" s="2655"/>
      <c r="F4" s="2655"/>
      <c r="G4" s="2655"/>
      <c r="H4" s="2655"/>
      <c r="I4" s="2655"/>
      <c r="J4" s="2655"/>
      <c r="K4" s="2655"/>
      <c r="L4" s="2655"/>
      <c r="M4" s="2655"/>
      <c r="N4" s="2655"/>
      <c r="O4" s="2655"/>
      <c r="P4" s="2655"/>
      <c r="Q4" s="2655"/>
      <c r="R4" s="2655"/>
      <c r="S4" s="792"/>
    </row>
    <row r="5" spans="1:19" ht="15" customHeight="1">
      <c r="A5" s="791"/>
      <c r="B5" s="2655"/>
      <c r="C5" s="2655"/>
      <c r="D5" s="2655"/>
      <c r="E5" s="2655"/>
      <c r="F5" s="2655"/>
      <c r="G5" s="2655"/>
      <c r="H5" s="2655"/>
      <c r="I5" s="2655"/>
      <c r="J5" s="2655"/>
      <c r="K5" s="2655"/>
      <c r="L5" s="2655"/>
      <c r="M5" s="2655"/>
      <c r="N5" s="2655"/>
      <c r="O5" s="2655"/>
      <c r="P5" s="2655"/>
      <c r="Q5" s="2655"/>
      <c r="R5" s="2655"/>
      <c r="S5" s="792"/>
    </row>
    <row r="6" spans="1:19" ht="15" customHeight="1">
      <c r="A6" s="791"/>
      <c r="B6" s="2655"/>
      <c r="C6" s="2655"/>
      <c r="D6" s="2655"/>
      <c r="E6" s="2655"/>
      <c r="F6" s="2655"/>
      <c r="G6" s="2655"/>
      <c r="H6" s="2655"/>
      <c r="I6" s="2655"/>
      <c r="J6" s="2655"/>
      <c r="K6" s="2655"/>
      <c r="L6" s="2655"/>
      <c r="M6" s="2655"/>
      <c r="N6" s="2655"/>
      <c r="O6" s="2655"/>
      <c r="P6" s="2655"/>
      <c r="Q6" s="2655"/>
      <c r="R6" s="2655"/>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55" t="s">
        <v>1857</v>
      </c>
      <c r="C8" s="2655"/>
      <c r="D8" s="2655"/>
      <c r="E8" s="2655"/>
      <c r="F8" s="2655"/>
      <c r="G8" s="2655"/>
      <c r="H8" s="2655"/>
      <c r="I8" s="2655"/>
      <c r="J8" s="2655"/>
      <c r="K8" s="2655"/>
      <c r="L8" s="2655"/>
      <c r="M8" s="2655"/>
      <c r="N8" s="2655"/>
      <c r="O8" s="2655"/>
      <c r="P8" s="2655"/>
      <c r="Q8" s="2655"/>
      <c r="R8" s="2655"/>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56" t="s">
        <v>1858</v>
      </c>
      <c r="C10" s="2656"/>
      <c r="D10" s="2656"/>
      <c r="E10" s="2656"/>
      <c r="F10" s="2656"/>
      <c r="G10" s="2656"/>
      <c r="H10" s="2656"/>
      <c r="I10" s="2656"/>
      <c r="J10" s="2656"/>
      <c r="K10" s="2656"/>
      <c r="L10" s="2656"/>
      <c r="M10" s="2656"/>
      <c r="N10" s="2656"/>
      <c r="O10" s="2656"/>
      <c r="P10" s="2656"/>
      <c r="Q10" s="2656"/>
      <c r="R10" s="2656"/>
      <c r="S10" s="792"/>
    </row>
    <row r="11" spans="1:19" ht="15" customHeight="1">
      <c r="A11" s="791"/>
      <c r="B11" s="2656"/>
      <c r="C11" s="2656"/>
      <c r="D11" s="2656"/>
      <c r="E11" s="2656"/>
      <c r="F11" s="2656"/>
      <c r="G11" s="2656"/>
      <c r="H11" s="2656"/>
      <c r="I11" s="2656"/>
      <c r="J11" s="2656"/>
      <c r="K11" s="2656"/>
      <c r="L11" s="2656"/>
      <c r="M11" s="2656"/>
      <c r="N11" s="2656"/>
      <c r="O11" s="2656"/>
      <c r="P11" s="2656"/>
      <c r="Q11" s="2656"/>
      <c r="R11" s="2656"/>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56" t="s">
        <v>2148</v>
      </c>
      <c r="C13" s="2656"/>
      <c r="D13" s="2656"/>
      <c r="E13" s="2656"/>
      <c r="F13" s="2656"/>
      <c r="G13" s="2656"/>
      <c r="H13" s="2656"/>
      <c r="I13" s="2656"/>
      <c r="J13" s="2656"/>
      <c r="K13" s="2656"/>
      <c r="L13" s="2656"/>
      <c r="M13" s="2656"/>
      <c r="N13" s="2656"/>
      <c r="O13" s="2656"/>
      <c r="P13" s="2656"/>
      <c r="Q13" s="2656"/>
      <c r="R13" s="2656"/>
      <c r="S13" s="792"/>
    </row>
    <row r="14" spans="1:19" ht="15" customHeight="1">
      <c r="A14" s="791"/>
      <c r="B14" s="2656"/>
      <c r="C14" s="2656"/>
      <c r="D14" s="2656"/>
      <c r="E14" s="2656"/>
      <c r="F14" s="2656"/>
      <c r="G14" s="2656"/>
      <c r="H14" s="2656"/>
      <c r="I14" s="2656"/>
      <c r="J14" s="2656"/>
      <c r="K14" s="2656"/>
      <c r="L14" s="2656"/>
      <c r="M14" s="2656"/>
      <c r="N14" s="2656"/>
      <c r="O14" s="2656"/>
      <c r="P14" s="2656"/>
      <c r="Q14" s="2656"/>
      <c r="R14" s="2656"/>
      <c r="S14" s="792"/>
    </row>
    <row r="15" spans="1:19" ht="15" customHeight="1">
      <c r="A15" s="791"/>
      <c r="B15" s="2656"/>
      <c r="C15" s="2656"/>
      <c r="D15" s="2656"/>
      <c r="E15" s="2656"/>
      <c r="F15" s="2656"/>
      <c r="G15" s="2656"/>
      <c r="H15" s="2656"/>
      <c r="I15" s="2656"/>
      <c r="J15" s="2656"/>
      <c r="K15" s="2656"/>
      <c r="L15" s="2656"/>
      <c r="M15" s="2656"/>
      <c r="N15" s="2656"/>
      <c r="O15" s="2656"/>
      <c r="P15" s="2656"/>
      <c r="Q15" s="2656"/>
      <c r="R15" s="2656"/>
      <c r="S15" s="792"/>
    </row>
    <row r="16" spans="1:19" ht="15" customHeight="1">
      <c r="A16" s="791"/>
      <c r="B16" s="2656"/>
      <c r="C16" s="2656"/>
      <c r="D16" s="2656"/>
      <c r="E16" s="2656"/>
      <c r="F16" s="2656"/>
      <c r="G16" s="2656"/>
      <c r="H16" s="2656"/>
      <c r="I16" s="2656"/>
      <c r="J16" s="2656"/>
      <c r="K16" s="2656"/>
      <c r="L16" s="2656"/>
      <c r="M16" s="2656"/>
      <c r="N16" s="2656"/>
      <c r="O16" s="2656"/>
      <c r="P16" s="2656"/>
      <c r="Q16" s="2656"/>
      <c r="R16" s="2656"/>
      <c r="S16" s="792"/>
    </row>
    <row r="17" spans="1:19" ht="15" customHeight="1">
      <c r="A17" s="791"/>
      <c r="B17" s="2656"/>
      <c r="C17" s="2656"/>
      <c r="D17" s="2656"/>
      <c r="E17" s="2656"/>
      <c r="F17" s="2656"/>
      <c r="G17" s="2656"/>
      <c r="H17" s="2656"/>
      <c r="I17" s="2656"/>
      <c r="J17" s="2656"/>
      <c r="K17" s="2656"/>
      <c r="L17" s="2656"/>
      <c r="M17" s="2656"/>
      <c r="N17" s="2656"/>
      <c r="O17" s="2656"/>
      <c r="P17" s="2656"/>
      <c r="Q17" s="2656"/>
      <c r="R17" s="2656"/>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57" t="s">
        <v>1972</v>
      </c>
      <c r="C19" s="2657"/>
      <c r="D19" s="2657"/>
      <c r="E19" s="2657"/>
      <c r="F19" s="2657"/>
      <c r="G19" s="2657"/>
      <c r="H19" s="2657"/>
      <c r="I19" s="2657"/>
      <c r="J19" s="2657"/>
      <c r="K19" s="2657"/>
      <c r="L19" s="2657"/>
      <c r="M19" s="2657"/>
      <c r="N19" s="2657"/>
      <c r="O19" s="2657"/>
      <c r="P19" s="2657"/>
      <c r="Q19" s="2657"/>
      <c r="R19" s="2657"/>
      <c r="S19" s="792"/>
    </row>
    <row r="20" spans="1:19" ht="15" customHeight="1">
      <c r="A20" s="791"/>
      <c r="B20" s="2657"/>
      <c r="C20" s="2657"/>
      <c r="D20" s="2657"/>
      <c r="E20" s="2657"/>
      <c r="F20" s="2657"/>
      <c r="G20" s="2657"/>
      <c r="H20" s="2657"/>
      <c r="I20" s="2657"/>
      <c r="J20" s="2657"/>
      <c r="K20" s="2657"/>
      <c r="L20" s="2657"/>
      <c r="M20" s="2657"/>
      <c r="N20" s="2657"/>
      <c r="O20" s="2657"/>
      <c r="P20" s="2657"/>
      <c r="Q20" s="2657"/>
      <c r="R20" s="2657"/>
      <c r="S20" s="792"/>
    </row>
    <row r="21" spans="1:19" ht="15" customHeight="1">
      <c r="A21" s="791"/>
      <c r="B21" s="2657"/>
      <c r="C21" s="2657"/>
      <c r="D21" s="2657"/>
      <c r="E21" s="2657"/>
      <c r="F21" s="2657"/>
      <c r="G21" s="2657"/>
      <c r="H21" s="2657"/>
      <c r="I21" s="2657"/>
      <c r="J21" s="2657"/>
      <c r="K21" s="2657"/>
      <c r="L21" s="2657"/>
      <c r="M21" s="2657"/>
      <c r="N21" s="2657"/>
      <c r="O21" s="2657"/>
      <c r="P21" s="2657"/>
      <c r="Q21" s="2657"/>
      <c r="R21" s="2657"/>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57" t="s">
        <v>1973</v>
      </c>
      <c r="C23" s="2657"/>
      <c r="D23" s="2657"/>
      <c r="E23" s="2657"/>
      <c r="F23" s="2657"/>
      <c r="G23" s="2657"/>
      <c r="H23" s="2657"/>
      <c r="I23" s="2657"/>
      <c r="J23" s="2657"/>
      <c r="K23" s="2657"/>
      <c r="L23" s="2657"/>
      <c r="M23" s="2657"/>
      <c r="N23" s="2657"/>
      <c r="O23" s="2657"/>
      <c r="P23" s="2657"/>
      <c r="Q23" s="2657"/>
      <c r="R23" s="2657"/>
      <c r="S23" s="792"/>
    </row>
    <row r="24" spans="1:19" ht="15" customHeight="1">
      <c r="A24" s="793"/>
      <c r="B24" s="2657"/>
      <c r="C24" s="2657"/>
      <c r="D24" s="2657"/>
      <c r="E24" s="2657"/>
      <c r="F24" s="2657"/>
      <c r="G24" s="2657"/>
      <c r="H24" s="2657"/>
      <c r="I24" s="2657"/>
      <c r="J24" s="2657"/>
      <c r="K24" s="2657"/>
      <c r="L24" s="2657"/>
      <c r="M24" s="2657"/>
      <c r="N24" s="2657"/>
      <c r="O24" s="2657"/>
      <c r="P24" s="2657"/>
      <c r="Q24" s="2657"/>
      <c r="R24" s="2657"/>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55" t="s">
        <v>1856</v>
      </c>
      <c r="C26" s="2655"/>
      <c r="D26" s="2655"/>
      <c r="E26" s="2655"/>
      <c r="F26" s="2655"/>
      <c r="G26" s="2655"/>
      <c r="H26" s="2655"/>
      <c r="I26" s="2655"/>
      <c r="J26" s="2655"/>
      <c r="K26" s="2655"/>
      <c r="L26" s="2655"/>
      <c r="M26" s="2655"/>
      <c r="N26" s="2655"/>
      <c r="O26" s="2655"/>
      <c r="P26" s="2655"/>
      <c r="Q26" s="2655"/>
      <c r="R26" s="2655"/>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62" t="s">
        <v>1761</v>
      </c>
      <c r="C29" s="2662"/>
      <c r="D29" s="2662"/>
      <c r="E29" s="2662"/>
      <c r="F29" s="2662"/>
      <c r="G29" s="2662"/>
      <c r="H29" s="795"/>
      <c r="I29" s="795"/>
      <c r="J29" s="795"/>
      <c r="K29" s="795"/>
      <c r="L29" s="795"/>
      <c r="M29" s="795"/>
      <c r="N29" s="795"/>
      <c r="O29" s="2660" t="s">
        <v>1770</v>
      </c>
      <c r="P29" s="793"/>
      <c r="Q29" s="793"/>
      <c r="R29" s="793"/>
      <c r="S29" s="793"/>
    </row>
    <row r="30" spans="1:19" ht="15" customHeight="1">
      <c r="A30" s="793"/>
      <c r="B30" s="2662"/>
      <c r="C30" s="2662"/>
      <c r="D30" s="2662"/>
      <c r="E30" s="2662"/>
      <c r="F30" s="2662"/>
      <c r="G30" s="2662"/>
      <c r="H30" s="795"/>
      <c r="I30" s="795"/>
      <c r="J30" s="795"/>
      <c r="K30" s="795"/>
      <c r="L30" s="795"/>
      <c r="M30" s="795"/>
      <c r="N30" s="795"/>
      <c r="O30" s="2660"/>
      <c r="P30" s="793"/>
      <c r="Q30" s="793"/>
      <c r="R30" s="793"/>
      <c r="S30" s="793"/>
    </row>
    <row r="31" spans="1:19" ht="15" customHeight="1">
      <c r="A31" s="793"/>
      <c r="B31" s="2662"/>
      <c r="C31" s="2662"/>
      <c r="D31" s="2662"/>
      <c r="E31" s="2662"/>
      <c r="F31" s="2662"/>
      <c r="G31" s="2662"/>
      <c r="H31" s="795"/>
      <c r="I31" s="795"/>
      <c r="J31" s="795"/>
      <c r="K31" s="795"/>
      <c r="L31" s="795"/>
      <c r="M31" s="795"/>
      <c r="N31" s="795"/>
      <c r="O31" s="2660"/>
      <c r="P31" s="793"/>
      <c r="Q31" s="793"/>
      <c r="R31" s="793"/>
      <c r="S31" s="793"/>
    </row>
    <row r="32" spans="1:19" ht="15" customHeight="1">
      <c r="A32" s="793"/>
      <c r="B32" s="2663"/>
      <c r="C32" s="2663"/>
      <c r="D32" s="2663"/>
      <c r="E32" s="2663"/>
      <c r="F32" s="2663"/>
      <c r="G32" s="2663"/>
      <c r="H32" s="793"/>
      <c r="I32" s="2629" t="s">
        <v>154</v>
      </c>
      <c r="J32" s="2621" t="s">
        <v>1075</v>
      </c>
      <c r="K32" s="2664">
        <v>1</v>
      </c>
      <c r="L32" s="793"/>
      <c r="M32" s="796"/>
      <c r="N32" s="793"/>
      <c r="O32" s="2661"/>
      <c r="P32" s="2621" t="s">
        <v>2146</v>
      </c>
      <c r="Q32" s="793"/>
      <c r="R32" s="793"/>
      <c r="S32" s="793"/>
    </row>
    <row r="33" spans="1:19" ht="15" customHeight="1">
      <c r="A33" s="793"/>
      <c r="B33" s="2619" t="s">
        <v>1765</v>
      </c>
      <c r="C33" s="2619"/>
      <c r="D33" s="2619"/>
      <c r="E33" s="2619"/>
      <c r="F33" s="2619"/>
      <c r="G33" s="2619"/>
      <c r="H33" s="793"/>
      <c r="I33" s="2629"/>
      <c r="J33" s="2621"/>
      <c r="K33" s="2664"/>
      <c r="L33" s="793"/>
      <c r="M33" s="797"/>
      <c r="N33" s="793"/>
      <c r="O33" s="2619" t="s">
        <v>1765</v>
      </c>
      <c r="P33" s="2621"/>
      <c r="Q33" s="793"/>
      <c r="R33" s="793"/>
      <c r="S33" s="793"/>
    </row>
    <row r="34" spans="1:19" ht="15" customHeight="1">
      <c r="A34" s="793"/>
      <c r="B34" s="2620"/>
      <c r="C34" s="2620"/>
      <c r="D34" s="2620"/>
      <c r="E34" s="2620"/>
      <c r="F34" s="2620"/>
      <c r="G34" s="2620"/>
      <c r="H34" s="793"/>
      <c r="I34" s="1025"/>
      <c r="J34" s="1024"/>
      <c r="K34" s="1026"/>
      <c r="L34" s="793"/>
      <c r="M34" s="797"/>
      <c r="N34" s="793"/>
      <c r="O34" s="2620"/>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43" t="s">
        <v>1753</v>
      </c>
      <c r="C37" s="2643"/>
      <c r="D37" s="2643"/>
      <c r="E37" s="2643"/>
      <c r="F37" s="804"/>
      <c r="G37" s="804"/>
      <c r="H37" s="805"/>
      <c r="I37" s="806"/>
      <c r="J37" s="806"/>
      <c r="P37" s="793"/>
      <c r="Q37" s="807"/>
      <c r="R37" s="807"/>
      <c r="S37" s="793"/>
    </row>
    <row r="38" spans="1:19" ht="15" customHeight="1">
      <c r="A38" s="793"/>
      <c r="B38" s="2648" t="s">
        <v>1771</v>
      </c>
      <c r="C38" s="2648"/>
      <c r="D38" s="2648"/>
      <c r="E38" s="2648"/>
      <c r="F38" s="1020"/>
      <c r="G38" s="808">
        <f>D110</f>
        <v>0</v>
      </c>
      <c r="H38" s="809"/>
      <c r="I38" s="810"/>
      <c r="J38" s="809"/>
      <c r="L38" s="1275"/>
      <c r="M38" s="1275"/>
      <c r="N38" s="1275"/>
      <c r="O38" s="1275"/>
      <c r="P38" s="759"/>
      <c r="Q38" s="2618"/>
      <c r="R38" s="2618"/>
      <c r="S38" s="759"/>
    </row>
    <row r="39" spans="1:19" ht="15" customHeight="1">
      <c r="A39" s="579"/>
      <c r="B39" s="2649" t="s">
        <v>1387</v>
      </c>
      <c r="C39" s="2649"/>
      <c r="D39" s="2649"/>
      <c r="E39" s="2649"/>
      <c r="F39" s="1020"/>
      <c r="G39" s="977"/>
      <c r="H39" s="809"/>
      <c r="I39" s="810"/>
      <c r="J39" s="809"/>
      <c r="L39" s="809"/>
      <c r="M39" s="807"/>
      <c r="N39" s="807"/>
      <c r="O39" s="807"/>
      <c r="P39" s="759"/>
      <c r="Q39" s="1132"/>
      <c r="R39" s="1132"/>
      <c r="S39" s="759"/>
    </row>
    <row r="40" spans="1:19" ht="15" customHeight="1">
      <c r="A40" s="579"/>
      <c r="B40" s="2649" t="s">
        <v>1388</v>
      </c>
      <c r="C40" s="2649"/>
      <c r="D40" s="2649"/>
      <c r="E40" s="2649"/>
      <c r="F40" s="1020"/>
      <c r="G40" s="977"/>
      <c r="H40" s="809"/>
      <c r="I40" s="810"/>
      <c r="J40" s="809"/>
      <c r="K40" s="2653"/>
      <c r="L40" s="2653"/>
      <c r="M40" s="2653"/>
      <c r="N40" s="2653"/>
      <c r="O40" s="2653"/>
      <c r="P40" s="1049"/>
      <c r="Q40" s="2618"/>
      <c r="R40" s="2618"/>
      <c r="S40" s="793"/>
    </row>
    <row r="41" spans="1:19" ht="15" customHeight="1">
      <c r="A41" s="579"/>
      <c r="B41" s="2650" t="s">
        <v>1766</v>
      </c>
      <c r="C41" s="2650"/>
      <c r="D41" s="2650"/>
      <c r="E41" s="2650"/>
      <c r="F41" s="1020"/>
      <c r="G41" s="809"/>
      <c r="H41" s="809"/>
      <c r="I41" s="810"/>
      <c r="J41" s="809"/>
      <c r="K41" s="809"/>
      <c r="L41" s="809"/>
      <c r="M41" s="807"/>
      <c r="N41" s="807"/>
      <c r="O41" s="807"/>
      <c r="P41" s="759"/>
      <c r="Q41" s="811"/>
      <c r="R41" s="811"/>
      <c r="S41" s="793"/>
    </row>
    <row r="42" spans="1:19" ht="15" customHeight="1">
      <c r="A42" s="579"/>
      <c r="B42" s="979" t="s">
        <v>2473</v>
      </c>
      <c r="C42" s="979"/>
      <c r="D42" s="972"/>
      <c r="E42" s="1023">
        <v>2000000</v>
      </c>
      <c r="F42" s="1020"/>
      <c r="G42" s="809"/>
      <c r="H42" s="809"/>
      <c r="I42" s="810"/>
      <c r="J42" s="809"/>
      <c r="K42" s="2653"/>
      <c r="L42" s="2653"/>
      <c r="M42" s="2653"/>
      <c r="N42" s="2653"/>
      <c r="O42" s="2653"/>
      <c r="P42" s="1049"/>
      <c r="Q42" s="2618"/>
      <c r="R42" s="2618"/>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18"/>
      <c r="R44" s="2618"/>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24" t="s">
        <v>2032</v>
      </c>
      <c r="L46" s="2624"/>
      <c r="M46" s="2624"/>
      <c r="N46" s="2624"/>
      <c r="O46" s="2624"/>
      <c r="P46" s="793"/>
      <c r="Q46" s="2622"/>
      <c r="R46" s="2622"/>
      <c r="S46" s="793"/>
    </row>
    <row r="47" spans="1:19" ht="15" customHeight="1">
      <c r="A47" s="579"/>
      <c r="B47" s="979"/>
      <c r="C47" s="979"/>
      <c r="D47" s="788"/>
      <c r="E47" s="1023"/>
      <c r="F47" s="1020"/>
      <c r="G47" s="809"/>
      <c r="H47" s="809"/>
      <c r="I47" s="810"/>
      <c r="J47" s="809"/>
      <c r="K47" s="2623" t="s">
        <v>2033</v>
      </c>
      <c r="L47" s="2623"/>
      <c r="M47" s="2623"/>
      <c r="N47" s="2623"/>
      <c r="O47" s="2623"/>
      <c r="P47" s="793"/>
      <c r="Q47" s="2659"/>
      <c r="R47" s="2659"/>
      <c r="S47" s="793"/>
    </row>
    <row r="48" spans="1:19" ht="15" customHeight="1">
      <c r="A48" s="579"/>
      <c r="B48" s="979"/>
      <c r="C48" s="979"/>
      <c r="D48" s="788"/>
      <c r="E48" s="1023"/>
      <c r="F48" s="1020"/>
      <c r="G48" s="809"/>
      <c r="H48" s="809"/>
      <c r="I48" s="810"/>
      <c r="J48" s="809"/>
      <c r="K48" s="2658" t="s">
        <v>2034</v>
      </c>
      <c r="L48" s="2658"/>
      <c r="M48" s="2658"/>
      <c r="N48" s="2658"/>
      <c r="O48" s="2658"/>
      <c r="P48" s="793"/>
      <c r="Q48" s="2624">
        <f>Q46+Q47</f>
        <v>0</v>
      </c>
      <c r="R48" s="2624"/>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48" t="s">
        <v>1762</v>
      </c>
      <c r="C52" s="2648"/>
      <c r="D52" s="2648"/>
      <c r="E52" s="2648"/>
      <c r="F52" s="1020"/>
      <c r="G52" s="808">
        <f>SUM(E42:E49)-ABS(E50)-ABS(E51)</f>
        <v>2000000</v>
      </c>
      <c r="H52" s="809"/>
      <c r="I52" s="810"/>
      <c r="J52" s="809"/>
    </row>
    <row r="53" spans="1:29" ht="15" customHeight="1">
      <c r="A53" s="579"/>
      <c r="B53" s="793"/>
      <c r="C53" s="814"/>
      <c r="D53" s="814" t="s">
        <v>953</v>
      </c>
      <c r="E53" s="815"/>
      <c r="F53" s="815"/>
      <c r="G53" s="816">
        <f>SUM(G38:G40)+G52</f>
        <v>2000000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51" t="s">
        <v>1366</v>
      </c>
      <c r="C56" s="2651"/>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52" t="s">
        <v>1756</v>
      </c>
      <c r="C57" s="2652"/>
      <c r="D57" s="2652"/>
      <c r="E57" s="2652"/>
      <c r="F57" s="2652"/>
      <c r="G57" s="2652"/>
      <c r="H57" s="2652"/>
      <c r="I57" s="2652"/>
      <c r="J57" s="2652"/>
      <c r="K57" s="2652"/>
      <c r="L57" s="2652"/>
      <c r="M57" s="2652"/>
      <c r="N57" s="2652"/>
      <c r="O57" s="2652"/>
      <c r="P57" s="1020"/>
      <c r="Q57" s="793"/>
      <c r="R57" s="793"/>
      <c r="S57" s="793"/>
      <c r="U57" s="1209" t="s">
        <v>1967</v>
      </c>
      <c r="AC57" s="1263">
        <v>0.1</v>
      </c>
    </row>
    <row r="58" spans="1:29" ht="15" customHeight="1">
      <c r="A58" s="793"/>
      <c r="B58" s="2643" t="s">
        <v>1755</v>
      </c>
      <c r="C58" s="2644"/>
      <c r="D58" s="2644"/>
      <c r="E58" s="2644"/>
      <c r="F58" s="819"/>
      <c r="G58" s="819"/>
      <c r="H58" s="820"/>
      <c r="I58" s="820"/>
      <c r="J58" s="2645">
        <f>('Sources and Uses Budget'!D104+Q47)/('Sources and Uses Budget'!B104+Q48)</f>
        <v>0</v>
      </c>
      <c r="K58" s="2646"/>
      <c r="L58" s="2646"/>
      <c r="M58" s="2646"/>
      <c r="N58" s="2647"/>
      <c r="O58" s="820"/>
      <c r="P58" s="820"/>
      <c r="Q58" s="793"/>
      <c r="R58" s="793"/>
      <c r="S58" s="793"/>
      <c r="U58" s="1209" t="s">
        <v>1968</v>
      </c>
      <c r="AC58" s="1263">
        <v>0.1</v>
      </c>
    </row>
    <row r="59" spans="1:29" ht="15" customHeight="1">
      <c r="A59" s="793"/>
      <c r="B59" s="2633" t="s">
        <v>1971</v>
      </c>
      <c r="C59" s="2633"/>
      <c r="D59" s="2633"/>
      <c r="E59" s="2633"/>
      <c r="F59" s="2633"/>
      <c r="G59" s="2633"/>
      <c r="H59" s="2633"/>
      <c r="I59" s="2633"/>
      <c r="J59" s="2633"/>
      <c r="K59" s="2633"/>
      <c r="L59" s="2633"/>
      <c r="M59" s="2633"/>
      <c r="N59" s="2633"/>
      <c r="O59" s="2633"/>
      <c r="P59" s="820"/>
      <c r="Q59" s="793"/>
      <c r="R59" s="793"/>
      <c r="S59" s="793"/>
      <c r="U59" s="1209" t="s">
        <v>1969</v>
      </c>
      <c r="AC59" s="1263">
        <v>0.05</v>
      </c>
    </row>
    <row r="60" spans="1:29" ht="15" customHeight="1" thickBot="1">
      <c r="A60" s="793"/>
      <c r="B60" s="2633"/>
      <c r="C60" s="2633"/>
      <c r="D60" s="2633"/>
      <c r="E60" s="2633"/>
      <c r="F60" s="2633"/>
      <c r="G60" s="2633"/>
      <c r="H60" s="2633"/>
      <c r="I60" s="2633"/>
      <c r="J60" s="2633"/>
      <c r="K60" s="2633"/>
      <c r="L60" s="2633"/>
      <c r="M60" s="2633"/>
      <c r="N60" s="2633"/>
      <c r="O60" s="2633"/>
      <c r="P60" s="820"/>
      <c r="Q60" s="793"/>
      <c r="R60" s="793"/>
      <c r="S60" s="793"/>
      <c r="U60" s="1210"/>
      <c r="AC60" s="1211"/>
    </row>
    <row r="61" spans="1:29" ht="15" customHeight="1">
      <c r="A61" s="793"/>
      <c r="B61" s="2634" t="s">
        <v>1757</v>
      </c>
      <c r="C61" s="2634"/>
      <c r="D61" s="2634"/>
      <c r="E61" s="2634"/>
      <c r="F61" s="2634"/>
      <c r="G61" s="2634"/>
      <c r="H61" s="2634"/>
      <c r="I61" s="2634"/>
      <c r="J61" s="2634"/>
      <c r="K61" s="2634"/>
      <c r="L61" s="2634"/>
      <c r="M61" s="2634"/>
      <c r="N61" s="2634"/>
      <c r="O61" s="2634"/>
      <c r="P61" s="820"/>
      <c r="Q61" s="793"/>
      <c r="R61" s="793"/>
      <c r="S61" s="793"/>
      <c r="U61" s="2665">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66"/>
    </row>
    <row r="63" spans="1:29" ht="15" customHeight="1">
      <c r="A63" s="793"/>
      <c r="B63" s="807"/>
      <c r="C63" s="807"/>
      <c r="D63" s="807"/>
      <c r="E63" s="1281"/>
      <c r="F63" s="807"/>
      <c r="G63" s="807"/>
      <c r="H63" s="807"/>
      <c r="I63" s="1219"/>
      <c r="J63" s="2639" t="s">
        <v>2147</v>
      </c>
      <c r="K63" s="2640"/>
      <c r="L63" s="2640"/>
      <c r="M63" s="2640"/>
      <c r="N63" s="2640"/>
      <c r="O63" s="2640"/>
      <c r="P63" s="2640"/>
      <c r="Q63" s="2640"/>
      <c r="R63" s="2640"/>
      <c r="S63" s="793"/>
      <c r="U63" s="2665">
        <f>IF(J67="Non-rural project, Census Tract is High Resource (10 percentage points)",AC57,0)</f>
        <v>0</v>
      </c>
    </row>
    <row r="64" spans="1:29" ht="15" customHeight="1" thickBot="1">
      <c r="A64" s="793"/>
      <c r="B64" s="2635" t="s">
        <v>1767</v>
      </c>
      <c r="C64" s="2635"/>
      <c r="D64" s="807"/>
      <c r="F64" s="807"/>
      <c r="G64" s="1283" t="s">
        <v>2035</v>
      </c>
      <c r="H64" s="807"/>
      <c r="I64" s="1220"/>
      <c r="J64" s="2641"/>
      <c r="K64" s="2642"/>
      <c r="L64" s="2642"/>
      <c r="M64" s="2642"/>
      <c r="N64" s="2642"/>
      <c r="O64" s="2642"/>
      <c r="P64" s="2642"/>
      <c r="Q64" s="2642"/>
      <c r="R64" s="2642"/>
      <c r="S64" s="793"/>
      <c r="U64" s="2666"/>
    </row>
    <row r="65" spans="1:22" ht="15" customHeight="1">
      <c r="A65" s="793"/>
      <c r="B65" s="822" t="s">
        <v>1760</v>
      </c>
      <c r="C65" s="985" t="str">
        <f>IF(Application!M349="Yes","Yes","No")</f>
        <v>Yes</v>
      </c>
      <c r="E65" s="1284"/>
      <c r="F65" s="1284"/>
      <c r="G65" s="1285" t="s">
        <v>2037</v>
      </c>
      <c r="H65" s="807"/>
      <c r="I65" s="1220"/>
      <c r="J65" s="2641"/>
      <c r="K65" s="2642"/>
      <c r="L65" s="2642"/>
      <c r="M65" s="2642"/>
      <c r="N65" s="2642"/>
      <c r="O65" s="2642"/>
      <c r="P65" s="2642"/>
      <c r="Q65" s="2642"/>
      <c r="R65" s="2642"/>
      <c r="S65" s="793"/>
      <c r="U65" s="2665">
        <f>IF(J67="Rural project, Census Tract is Highest Resource (10 percentage points)",AC58,0)</f>
        <v>0</v>
      </c>
    </row>
    <row r="66" spans="1:22" ht="15" customHeight="1" thickBot="1">
      <c r="A66" s="793"/>
      <c r="B66" s="823" t="s">
        <v>1843</v>
      </c>
      <c r="C66" s="986">
        <f>Application!AG430-Application!AG431</f>
        <v>1</v>
      </c>
      <c r="D66" s="1284"/>
      <c r="E66" s="823" t="s">
        <v>2038</v>
      </c>
      <c r="F66" s="1284"/>
      <c r="G66" s="1033"/>
      <c r="H66" s="824"/>
      <c r="I66" s="1221"/>
      <c r="J66" s="2641"/>
      <c r="K66" s="2642"/>
      <c r="L66" s="2642"/>
      <c r="M66" s="2642"/>
      <c r="N66" s="2642"/>
      <c r="O66" s="2642"/>
      <c r="P66" s="2642"/>
      <c r="Q66" s="2642"/>
      <c r="R66" s="2642"/>
      <c r="S66" s="793"/>
      <c r="U66" s="2666"/>
    </row>
    <row r="67" spans="1:22" ht="15" customHeight="1">
      <c r="A67" s="793"/>
      <c r="B67" s="823" t="s">
        <v>1754</v>
      </c>
      <c r="C67" s="987">
        <f>MIN(IF(AND(C65="Yes",G67&gt;=50),(0.75+(G67/200)),1),1.5)</f>
        <v>1</v>
      </c>
      <c r="D67" s="824"/>
      <c r="E67" s="823" t="s">
        <v>1844</v>
      </c>
      <c r="G67" s="986">
        <f>C66+G66</f>
        <v>1</v>
      </c>
      <c r="H67" s="824"/>
      <c r="I67" s="1221"/>
      <c r="J67" s="2638" t="s">
        <v>135</v>
      </c>
      <c r="K67" s="2638"/>
      <c r="L67" s="2638"/>
      <c r="M67" s="2638"/>
      <c r="N67" s="2638"/>
      <c r="O67" s="2638"/>
      <c r="P67" s="2638"/>
      <c r="Q67" s="2638"/>
      <c r="R67" s="2638"/>
      <c r="S67" s="793"/>
      <c r="U67" s="2665">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66"/>
    </row>
    <row r="69" spans="1:22" ht="15" customHeight="1">
      <c r="A69" s="793"/>
      <c r="B69" s="793"/>
      <c r="C69" s="793"/>
      <c r="D69" s="793"/>
      <c r="E69" s="793"/>
      <c r="F69" s="793"/>
      <c r="G69" s="793"/>
      <c r="H69" s="793"/>
      <c r="I69" s="793"/>
      <c r="J69" s="793"/>
      <c r="K69" s="793"/>
      <c r="L69" s="793"/>
      <c r="M69" s="793"/>
      <c r="N69" s="793"/>
      <c r="O69" s="793"/>
      <c r="P69" s="793"/>
      <c r="Q69" s="793"/>
      <c r="R69" s="793"/>
      <c r="S69" s="793"/>
      <c r="U69" s="2669">
        <f>SUM(U61:U68)</f>
        <v>0</v>
      </c>
    </row>
    <row r="70" spans="1:22" ht="15" customHeight="1" thickBot="1">
      <c r="A70" s="793"/>
      <c r="B70" s="2636" t="s">
        <v>1764</v>
      </c>
      <c r="C70" s="2636"/>
      <c r="D70" s="794"/>
      <c r="E70" s="794"/>
      <c r="F70" s="794"/>
      <c r="G70" s="794"/>
      <c r="H70" s="793"/>
      <c r="I70" s="793"/>
      <c r="J70" s="793"/>
      <c r="K70" s="793"/>
      <c r="L70" s="793"/>
      <c r="M70" s="793"/>
      <c r="N70" s="793"/>
      <c r="O70" s="793"/>
      <c r="P70" s="793"/>
      <c r="Q70" s="793"/>
      <c r="R70" s="793"/>
      <c r="S70" s="793"/>
      <c r="U70" s="2670"/>
      <c r="V70" s="620" t="s">
        <v>1970</v>
      </c>
    </row>
    <row r="71" spans="1:22" ht="15" customHeight="1">
      <c r="A71" s="793"/>
      <c r="B71" s="2637" t="s">
        <v>1768</v>
      </c>
      <c r="C71" s="2637"/>
      <c r="D71" s="2637"/>
      <c r="E71" s="794"/>
      <c r="F71" s="794"/>
      <c r="G71" s="808">
        <f>G53*(1-J58)</f>
        <v>2000000</v>
      </c>
      <c r="H71" s="793"/>
      <c r="I71" s="793"/>
      <c r="J71" s="826"/>
      <c r="K71" s="1117" t="s">
        <v>1770</v>
      </c>
      <c r="L71" s="1117"/>
      <c r="M71" s="1117"/>
      <c r="N71" s="1117"/>
      <c r="O71" s="1117"/>
      <c r="P71" s="793"/>
      <c r="Q71" s="2624">
        <f>'Basis &amp; Credits'!T23+'Basis &amp; Credits'!Y23+'Basis &amp; Credits'!AD23+'Basis &amp; Credits'!AI23</f>
        <v>21200050</v>
      </c>
      <c r="R71" s="2624"/>
      <c r="S71" s="793"/>
    </row>
    <row r="72" spans="1:22" ht="15" customHeight="1">
      <c r="A72" s="793"/>
      <c r="B72" s="2626" t="s">
        <v>1769</v>
      </c>
      <c r="C72" s="2626"/>
      <c r="D72" s="2626"/>
      <c r="E72" s="794"/>
      <c r="F72" s="794"/>
      <c r="G72" s="808">
        <f>G71*C67</f>
        <v>2000000</v>
      </c>
      <c r="H72" s="793"/>
      <c r="I72" s="793"/>
      <c r="J72" s="826"/>
      <c r="K72" s="1223"/>
      <c r="L72" s="1223"/>
      <c r="M72" s="1223"/>
      <c r="N72" s="1223"/>
      <c r="O72" s="1223"/>
      <c r="P72" s="793"/>
      <c r="Q72" s="2618"/>
      <c r="R72" s="2618"/>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27">
        <f>$G$72</f>
        <v>2000000</v>
      </c>
      <c r="C75" s="2628"/>
      <c r="D75" s="2628"/>
      <c r="E75" s="2628"/>
      <c r="F75" s="2628"/>
      <c r="G75" s="2628"/>
      <c r="H75" s="827"/>
      <c r="I75" s="2629" t="s">
        <v>154</v>
      </c>
      <c r="J75" s="2621" t="s">
        <v>1075</v>
      </c>
      <c r="K75" s="2629">
        <v>1</v>
      </c>
      <c r="L75" s="793"/>
      <c r="M75" s="799"/>
      <c r="N75" s="825"/>
      <c r="O75" s="1035">
        <f>$Q$71</f>
        <v>21200050</v>
      </c>
      <c r="P75" s="2621" t="s">
        <v>2146</v>
      </c>
      <c r="Q75" s="2630" t="s">
        <v>153</v>
      </c>
      <c r="R75" s="2667">
        <f>((B75/B76)+((1-(O75/O76))/2))+U69</f>
        <v>0.25944726849111582</v>
      </c>
    </row>
    <row r="76" spans="1:22" ht="15" customHeight="1" thickBot="1">
      <c r="A76" s="793"/>
      <c r="B76" s="2631">
        <f>'Sources and Uses Budget'!$C$104+$Q$46-($E$50+$E$51)*(1-$J$58)</f>
        <v>35751101</v>
      </c>
      <c r="C76" s="2632"/>
      <c r="D76" s="2632"/>
      <c r="E76" s="2632"/>
      <c r="F76" s="2632"/>
      <c r="G76" s="2631"/>
      <c r="H76" s="793"/>
      <c r="I76" s="2629"/>
      <c r="J76" s="2621"/>
      <c r="K76" s="2629"/>
      <c r="L76" s="793"/>
      <c r="M76" s="1016"/>
      <c r="N76" s="793"/>
      <c r="O76" s="1034">
        <f>B76</f>
        <v>35751101</v>
      </c>
      <c r="P76" s="2621"/>
      <c r="Q76" s="2630"/>
      <c r="R76" s="2668"/>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22"/>
      <c r="R84" s="2622"/>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22"/>
      <c r="R89" s="2622"/>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25"/>
      <c r="R90" s="2625"/>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23">
        <f>IFERROR(Q89/Q90,0)</f>
        <v>0</v>
      </c>
      <c r="R91" s="2623"/>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24">
        <f>MAX(Q84,Q91)</f>
        <v>0</v>
      </c>
      <c r="R93" s="2624"/>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E27" sqref="E2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732036</v>
      </c>
      <c r="F4" s="592"/>
      <c r="G4" s="592">
        <f>E4*$C$4</f>
        <v>750336.89999999991</v>
      </c>
      <c r="H4" s="592"/>
      <c r="I4" s="592">
        <f>G4*$C$4</f>
        <v>769095.32249999989</v>
      </c>
      <c r="J4" s="592"/>
      <c r="K4" s="592">
        <f>I4*$C$4</f>
        <v>788322.70556249982</v>
      </c>
      <c r="L4" s="592"/>
      <c r="M4" s="592">
        <f>K4*$C$4</f>
        <v>808030.77320156223</v>
      </c>
      <c r="N4" s="592"/>
      <c r="O4" s="592">
        <f>M4*$C$4</f>
        <v>828231.54253160127</v>
      </c>
      <c r="P4" s="592"/>
      <c r="Q4" s="592">
        <f>O4*$C$4</f>
        <v>848937.33109489118</v>
      </c>
      <c r="R4" s="592"/>
      <c r="S4" s="592">
        <f>Q4*$C$4</f>
        <v>870160.76437226334</v>
      </c>
      <c r="T4" s="592"/>
      <c r="U4" s="592">
        <f>S4*$C$4</f>
        <v>891914.78348156984</v>
      </c>
      <c r="V4" s="592"/>
      <c r="W4" s="592">
        <f>U4*$C$4</f>
        <v>914212.65306860895</v>
      </c>
      <c r="X4" s="592"/>
      <c r="Y4" s="592">
        <f>W4*$C$4</f>
        <v>937067.96939532412</v>
      </c>
      <c r="Z4" s="592"/>
      <c r="AA4" s="592">
        <f>Y4*$C$4</f>
        <v>960494.66863020719</v>
      </c>
      <c r="AB4" s="592"/>
      <c r="AC4" s="592">
        <f>AA4*$C$4</f>
        <v>984507.03534596227</v>
      </c>
      <c r="AD4" s="592"/>
      <c r="AE4" s="592">
        <f>AC4*$C$4</f>
        <v>1009119.7112296112</v>
      </c>
      <c r="AF4" s="592"/>
      <c r="AG4" s="592">
        <f>AE4*$C$4</f>
        <v>1034347.7040103513</v>
      </c>
      <c r="AH4" s="592"/>
    </row>
    <row r="5" spans="1:34" ht="14.25">
      <c r="A5" s="582"/>
      <c r="B5" s="582" t="s">
        <v>1071</v>
      </c>
      <c r="C5" s="617">
        <f>IF(Application!$D$214="Special Needs",0.1,0.05)</f>
        <v>0.05</v>
      </c>
      <c r="D5" s="582"/>
      <c r="E5" s="594">
        <f>-E4*$C$5</f>
        <v>-36601.800000000003</v>
      </c>
      <c r="F5" s="594"/>
      <c r="G5" s="594">
        <f>-G4*$C$5</f>
        <v>-37516.844999999994</v>
      </c>
      <c r="H5" s="594"/>
      <c r="I5" s="594">
        <f>-I4*$C$5</f>
        <v>-38454.766124999995</v>
      </c>
      <c r="J5" s="594"/>
      <c r="K5" s="594">
        <f>-K4*$C$5</f>
        <v>-39416.135278124995</v>
      </c>
      <c r="L5" s="594"/>
      <c r="M5" s="594">
        <f>-M4*$C$5</f>
        <v>-40401.538660078113</v>
      </c>
      <c r="N5" s="594"/>
      <c r="O5" s="594">
        <f>-O4*$C$5</f>
        <v>-41411.577126580065</v>
      </c>
      <c r="P5" s="594"/>
      <c r="Q5" s="594">
        <f>-Q4*$C$5</f>
        <v>-42446.866554744563</v>
      </c>
      <c r="R5" s="594"/>
      <c r="S5" s="594">
        <f>-S4*$C$5</f>
        <v>-43508.038218613168</v>
      </c>
      <c r="T5" s="594"/>
      <c r="U5" s="594">
        <f>-U4*$C$5</f>
        <v>-44595.739174078495</v>
      </c>
      <c r="V5" s="594"/>
      <c r="W5" s="594">
        <f>-W4*$C$5</f>
        <v>-45710.632653430454</v>
      </c>
      <c r="X5" s="594"/>
      <c r="Y5" s="594">
        <f>-Y4*$C$5</f>
        <v>-46853.398469766209</v>
      </c>
      <c r="Z5" s="594"/>
      <c r="AA5" s="594">
        <f>-AA4*$C$5</f>
        <v>-48024.733431510365</v>
      </c>
      <c r="AB5" s="594"/>
      <c r="AC5" s="594">
        <f>-AC4*$C$5</f>
        <v>-49225.351767298118</v>
      </c>
      <c r="AD5" s="594"/>
      <c r="AE5" s="594">
        <f>-AE4*$C$5</f>
        <v>-50455.985561480564</v>
      </c>
      <c r="AF5" s="594"/>
      <c r="AG5" s="594">
        <f>-AG4*$C$5</f>
        <v>-51717.385200517572</v>
      </c>
      <c r="AH5" s="582"/>
    </row>
    <row r="6" spans="1:34" ht="14.25">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12740</v>
      </c>
      <c r="F8" s="595"/>
      <c r="G8" s="595">
        <f>E8*$C$8</f>
        <v>13058.499999999998</v>
      </c>
      <c r="H8" s="595"/>
      <c r="I8" s="595">
        <f>G8*$C$8</f>
        <v>13384.962499999998</v>
      </c>
      <c r="J8" s="595"/>
      <c r="K8" s="595">
        <f>I8*$C$8</f>
        <v>13719.586562499997</v>
      </c>
      <c r="L8" s="595"/>
      <c r="M8" s="595">
        <f>K8*$C$8</f>
        <v>14062.576226562496</v>
      </c>
      <c r="N8" s="595"/>
      <c r="O8" s="595">
        <f>M8*$C$8</f>
        <v>14414.140632226557</v>
      </c>
      <c r="P8" s="595"/>
      <c r="Q8" s="595">
        <f>O8*$C$8</f>
        <v>14774.49414803222</v>
      </c>
      <c r="R8" s="595"/>
      <c r="S8" s="595">
        <f>Q8*$C$8</f>
        <v>15143.856501733024</v>
      </c>
      <c r="T8" s="595"/>
      <c r="U8" s="595">
        <f>S8*$C$8</f>
        <v>15522.452914276348</v>
      </c>
      <c r="V8" s="595"/>
      <c r="W8" s="595">
        <f>U8*$C$8</f>
        <v>15910.514237133255</v>
      </c>
      <c r="X8" s="595"/>
      <c r="Y8" s="595">
        <f>W8*$C$8</f>
        <v>16308.277093061584</v>
      </c>
      <c r="Z8" s="595"/>
      <c r="AA8" s="595">
        <f>Y8*$C$8</f>
        <v>16715.984020388121</v>
      </c>
      <c r="AB8" s="595"/>
      <c r="AC8" s="595">
        <f>AA8*$C$8</f>
        <v>17133.883620897825</v>
      </c>
      <c r="AD8" s="595"/>
      <c r="AE8" s="595">
        <f>AC8*$C$8</f>
        <v>17562.23071142027</v>
      </c>
      <c r="AF8" s="595"/>
      <c r="AG8" s="595">
        <f>AE8*$C$8</f>
        <v>18001.286479205777</v>
      </c>
      <c r="AH8" s="582"/>
    </row>
    <row r="9" spans="1:34" ht="14.25">
      <c r="A9" s="582"/>
      <c r="B9" s="582" t="s">
        <v>1071</v>
      </c>
      <c r="C9" s="617">
        <f>IF(Application!$D$214="Special Needs",0.1,0.05)</f>
        <v>0.05</v>
      </c>
      <c r="D9" s="582"/>
      <c r="E9" s="614">
        <f>-E8*$C$9</f>
        <v>-637</v>
      </c>
      <c r="F9" s="594"/>
      <c r="G9" s="614">
        <f>-G8*$C$9</f>
        <v>-652.92499999999995</v>
      </c>
      <c r="H9" s="594"/>
      <c r="I9" s="614">
        <f>-I8*$C$9</f>
        <v>-669.24812499999996</v>
      </c>
      <c r="J9" s="594"/>
      <c r="K9" s="614">
        <f>-K8*$C$9</f>
        <v>-685.97932812499994</v>
      </c>
      <c r="L9" s="594"/>
      <c r="M9" s="614">
        <f>-M8*$C$9</f>
        <v>-703.12881132812481</v>
      </c>
      <c r="N9" s="594"/>
      <c r="O9" s="614">
        <f>-O8*$C$9</f>
        <v>-720.70703161132792</v>
      </c>
      <c r="P9" s="594"/>
      <c r="Q9" s="614">
        <f>-Q8*$C$9</f>
        <v>-738.724707401611</v>
      </c>
      <c r="R9" s="594"/>
      <c r="S9" s="614">
        <f>-S8*$C$9</f>
        <v>-757.19282508665128</v>
      </c>
      <c r="T9" s="594"/>
      <c r="U9" s="614">
        <f>-U8*$C$9</f>
        <v>-776.12264571381741</v>
      </c>
      <c r="V9" s="594"/>
      <c r="W9" s="614">
        <f>-W8*$C$9</f>
        <v>-795.52571185666284</v>
      </c>
      <c r="X9" s="594"/>
      <c r="Y9" s="614">
        <f>-Y8*$C$9</f>
        <v>-815.41385465307928</v>
      </c>
      <c r="Z9" s="594"/>
      <c r="AA9" s="614">
        <f>-AA8*$C$9</f>
        <v>-835.79920101940615</v>
      </c>
      <c r="AB9" s="594"/>
      <c r="AC9" s="614">
        <f>-AC8*$C$9</f>
        <v>-856.69418104489125</v>
      </c>
      <c r="AD9" s="594"/>
      <c r="AE9" s="614">
        <f>-AE8*$C$9</f>
        <v>-878.11153557101352</v>
      </c>
      <c r="AF9" s="594"/>
      <c r="AG9" s="614">
        <f>-AG8*$C$9</f>
        <v>-900.0643239602889</v>
      </c>
      <c r="AH9" s="582"/>
    </row>
    <row r="10" spans="1:34" ht="15">
      <c r="A10" s="596" t="s">
        <v>1163</v>
      </c>
      <c r="B10" s="596"/>
      <c r="C10" s="587"/>
      <c r="D10" s="596"/>
      <c r="E10" s="596">
        <f>SUM(E4:E9)</f>
        <v>707537.2</v>
      </c>
      <c r="F10" s="596"/>
      <c r="G10" s="596">
        <f>SUM(G4:G9)</f>
        <v>725225.62999999989</v>
      </c>
      <c r="H10" s="596"/>
      <c r="I10" s="596">
        <f>SUM(I4:I9)</f>
        <v>743356.27074999991</v>
      </c>
      <c r="J10" s="596"/>
      <c r="K10" s="596">
        <f>SUM(K4:K9)</f>
        <v>761940.17751874984</v>
      </c>
      <c r="L10" s="596"/>
      <c r="M10" s="596">
        <f>SUM(M4:M9)</f>
        <v>780988.68195671856</v>
      </c>
      <c r="N10" s="596"/>
      <c r="O10" s="596">
        <f>SUM(O4:O9)</f>
        <v>800513.39900563646</v>
      </c>
      <c r="P10" s="596"/>
      <c r="Q10" s="596">
        <f>SUM(Q4:Q9)</f>
        <v>820526.23398077732</v>
      </c>
      <c r="R10" s="596"/>
      <c r="S10" s="596">
        <f>SUM(S4:S9)</f>
        <v>841039.38983029663</v>
      </c>
      <c r="T10" s="596"/>
      <c r="U10" s="596">
        <f>SUM(U4:U9)</f>
        <v>862065.37457605393</v>
      </c>
      <c r="V10" s="596"/>
      <c r="W10" s="596">
        <f>SUM(W4:W9)</f>
        <v>883617.00894045504</v>
      </c>
      <c r="X10" s="596"/>
      <c r="Y10" s="596">
        <f>SUM(Y4:Y9)</f>
        <v>905707.43416396633</v>
      </c>
      <c r="Z10" s="596"/>
      <c r="AA10" s="596">
        <f>SUM(AA4:AA9)</f>
        <v>928350.12001806544</v>
      </c>
      <c r="AB10" s="596"/>
      <c r="AC10" s="596">
        <f>SUM(AC4:AC9)</f>
        <v>951558.87301851704</v>
      </c>
      <c r="AD10" s="596"/>
      <c r="AE10" s="596">
        <f>SUM(AE4:AE9)</f>
        <v>975347.84484397992</v>
      </c>
      <c r="AF10" s="596"/>
      <c r="AG10" s="596">
        <f>SUM(AG4:AG9)</f>
        <v>999731.54096507921</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13748</v>
      </c>
      <c r="F14" s="592"/>
      <c r="G14" s="592">
        <f t="shared" ref="G14:G20" si="0">E14*$C$13</f>
        <v>14229.179999999998</v>
      </c>
      <c r="H14" s="592"/>
      <c r="I14" s="592">
        <f t="shared" ref="I14:I20" si="1">G14*$C$13</f>
        <v>14727.201299999997</v>
      </c>
      <c r="J14" s="592"/>
      <c r="K14" s="592">
        <f t="shared" ref="K14:K20" si="2">I14*$C$13</f>
        <v>15242.653345499995</v>
      </c>
      <c r="L14" s="592"/>
      <c r="M14" s="592">
        <f t="shared" ref="M14:M20" si="3">K14*$C$13</f>
        <v>15776.146212592494</v>
      </c>
      <c r="N14" s="592"/>
      <c r="O14" s="592">
        <f t="shared" ref="O14:O20" si="4">M14*$C$13</f>
        <v>16328.31133003323</v>
      </c>
      <c r="P14" s="592"/>
      <c r="Q14" s="592">
        <f t="shared" ref="Q14:Q20" si="5">O14*$C$13</f>
        <v>16899.80222658439</v>
      </c>
      <c r="R14" s="592"/>
      <c r="S14" s="592">
        <f t="shared" ref="S14:S20" si="6">Q14*$C$13</f>
        <v>17491.295304514842</v>
      </c>
      <c r="T14" s="592"/>
      <c r="U14" s="592">
        <f t="shared" ref="U14:U20" si="7">S14*$C$13</f>
        <v>18103.490640172862</v>
      </c>
      <c r="V14" s="592"/>
      <c r="W14" s="592">
        <f t="shared" ref="W14:W20" si="8">U14*$C$13</f>
        <v>18737.112812578911</v>
      </c>
      <c r="X14" s="592"/>
      <c r="Y14" s="592">
        <f t="shared" ref="Y14:Y20" si="9">W14*$C$13</f>
        <v>19392.911761019172</v>
      </c>
      <c r="Z14" s="592"/>
      <c r="AA14" s="592">
        <f t="shared" ref="AA14:AA20" si="10">Y14*$C$13</f>
        <v>20071.663672654842</v>
      </c>
      <c r="AB14" s="592"/>
      <c r="AC14" s="592">
        <f t="shared" ref="AC14:AC20" si="11">AA14*$C$13</f>
        <v>20774.171901197758</v>
      </c>
      <c r="AD14" s="592"/>
      <c r="AE14" s="592">
        <f t="shared" ref="AE14:AE20" si="12">AC14*$C$13</f>
        <v>21501.267917739679</v>
      </c>
      <c r="AF14" s="592"/>
      <c r="AG14" s="592">
        <f t="shared" ref="AG14:AG20" si="13">AE14*$C$13</f>
        <v>22253.812294860567</v>
      </c>
      <c r="AH14" s="592"/>
    </row>
    <row r="15" spans="1:34" ht="14.25">
      <c r="A15" s="582" t="s">
        <v>514</v>
      </c>
      <c r="B15" s="582"/>
      <c r="C15" s="606"/>
      <c r="D15" s="582"/>
      <c r="E15" s="595">
        <f>Application!W827</f>
        <v>53065</v>
      </c>
      <c r="F15" s="595"/>
      <c r="G15" s="595">
        <f t="shared" si="0"/>
        <v>54922.274999999994</v>
      </c>
      <c r="H15" s="595"/>
      <c r="I15" s="595">
        <f t="shared" si="1"/>
        <v>56844.55462499999</v>
      </c>
      <c r="J15" s="595"/>
      <c r="K15" s="595">
        <f t="shared" si="2"/>
        <v>58834.114036874984</v>
      </c>
      <c r="L15" s="595"/>
      <c r="M15" s="595">
        <f t="shared" si="3"/>
        <v>60893.3080281656</v>
      </c>
      <c r="N15" s="595"/>
      <c r="O15" s="595">
        <f t="shared" si="4"/>
        <v>63024.573809151392</v>
      </c>
      <c r="P15" s="595"/>
      <c r="Q15" s="595">
        <f t="shared" si="5"/>
        <v>65230.433892471687</v>
      </c>
      <c r="R15" s="595"/>
      <c r="S15" s="595">
        <f t="shared" si="6"/>
        <v>67513.499078708192</v>
      </c>
      <c r="T15" s="595"/>
      <c r="U15" s="595">
        <f t="shared" si="7"/>
        <v>69876.47154646297</v>
      </c>
      <c r="V15" s="595"/>
      <c r="W15" s="595">
        <f t="shared" si="8"/>
        <v>72322.148050589167</v>
      </c>
      <c r="X15" s="595"/>
      <c r="Y15" s="595">
        <f t="shared" si="9"/>
        <v>74853.423232359783</v>
      </c>
      <c r="Z15" s="595"/>
      <c r="AA15" s="595">
        <f t="shared" si="10"/>
        <v>77473.293045492363</v>
      </c>
      <c r="AB15" s="595"/>
      <c r="AC15" s="595">
        <f t="shared" si="11"/>
        <v>80184.858302084584</v>
      </c>
      <c r="AD15" s="595"/>
      <c r="AE15" s="595">
        <f t="shared" si="12"/>
        <v>82991.328342657536</v>
      </c>
      <c r="AF15" s="595"/>
      <c r="AG15" s="595">
        <f t="shared" si="13"/>
        <v>85896.02483465054</v>
      </c>
      <c r="AH15" s="582"/>
    </row>
    <row r="16" spans="1:34" ht="14.25">
      <c r="A16" s="582" t="s">
        <v>796</v>
      </c>
      <c r="B16" s="582"/>
      <c r="C16" s="606"/>
      <c r="D16" s="582"/>
      <c r="E16" s="595">
        <f>Application!W833</f>
        <v>53799</v>
      </c>
      <c r="F16" s="595"/>
      <c r="G16" s="595">
        <f t="shared" si="0"/>
        <v>55681.964999999997</v>
      </c>
      <c r="H16" s="595"/>
      <c r="I16" s="595">
        <f t="shared" si="1"/>
        <v>57630.833774999992</v>
      </c>
      <c r="J16" s="595"/>
      <c r="K16" s="595">
        <f t="shared" si="2"/>
        <v>59647.912957124987</v>
      </c>
      <c r="L16" s="595"/>
      <c r="M16" s="595">
        <f t="shared" si="3"/>
        <v>61735.58991062436</v>
      </c>
      <c r="N16" s="595"/>
      <c r="O16" s="595">
        <f t="shared" si="4"/>
        <v>63896.335557496204</v>
      </c>
      <c r="P16" s="595"/>
      <c r="Q16" s="595">
        <f t="shared" si="5"/>
        <v>66132.707302008566</v>
      </c>
      <c r="R16" s="595"/>
      <c r="S16" s="595">
        <f t="shared" si="6"/>
        <v>68447.352057578857</v>
      </c>
      <c r="T16" s="595"/>
      <c r="U16" s="595">
        <f t="shared" si="7"/>
        <v>70843.009379594107</v>
      </c>
      <c r="V16" s="595"/>
      <c r="W16" s="595">
        <f t="shared" si="8"/>
        <v>73322.514707879891</v>
      </c>
      <c r="X16" s="595"/>
      <c r="Y16" s="595">
        <f t="shared" si="9"/>
        <v>75888.802722655688</v>
      </c>
      <c r="Z16" s="595"/>
      <c r="AA16" s="595">
        <f t="shared" si="10"/>
        <v>78544.910817948636</v>
      </c>
      <c r="AB16" s="595"/>
      <c r="AC16" s="595">
        <f t="shared" si="11"/>
        <v>81293.98269657683</v>
      </c>
      <c r="AD16" s="595"/>
      <c r="AE16" s="595">
        <f t="shared" si="12"/>
        <v>84139.272090957005</v>
      </c>
      <c r="AF16" s="595"/>
      <c r="AG16" s="595">
        <f t="shared" si="13"/>
        <v>87084.146614140496</v>
      </c>
      <c r="AH16" s="582"/>
    </row>
    <row r="17" spans="1:33" ht="14.25">
      <c r="A17" s="582" t="s">
        <v>1167</v>
      </c>
      <c r="B17" s="582"/>
      <c r="C17" s="606"/>
      <c r="D17" s="582"/>
      <c r="E17" s="595">
        <f>Application!W840</f>
        <v>59896</v>
      </c>
      <c r="F17" s="595"/>
      <c r="G17" s="595">
        <f t="shared" si="0"/>
        <v>61992.359999999993</v>
      </c>
      <c r="H17" s="595"/>
      <c r="I17" s="595">
        <f t="shared" si="1"/>
        <v>64162.092599999989</v>
      </c>
      <c r="J17" s="595"/>
      <c r="K17" s="595">
        <f t="shared" si="2"/>
        <v>66407.765840999986</v>
      </c>
      <c r="L17" s="595"/>
      <c r="M17" s="595">
        <f t="shared" si="3"/>
        <v>68732.037645434975</v>
      </c>
      <c r="N17" s="595"/>
      <c r="O17" s="595">
        <f t="shared" si="4"/>
        <v>71137.658963025198</v>
      </c>
      <c r="P17" s="595"/>
      <c r="Q17" s="595">
        <f t="shared" si="5"/>
        <v>73627.477026731081</v>
      </c>
      <c r="R17" s="595"/>
      <c r="S17" s="595">
        <f t="shared" si="6"/>
        <v>76204.438722666659</v>
      </c>
      <c r="T17" s="595"/>
      <c r="U17" s="595">
        <f t="shared" si="7"/>
        <v>78871.594077959991</v>
      </c>
      <c r="V17" s="595"/>
      <c r="W17" s="595">
        <f t="shared" si="8"/>
        <v>81632.099870688588</v>
      </c>
      <c r="X17" s="595"/>
      <c r="Y17" s="595">
        <f t="shared" si="9"/>
        <v>84489.223366162681</v>
      </c>
      <c r="Z17" s="595"/>
      <c r="AA17" s="595">
        <f t="shared" si="10"/>
        <v>87446.34618397837</v>
      </c>
      <c r="AB17" s="595"/>
      <c r="AC17" s="595">
        <f t="shared" si="11"/>
        <v>90506.968300417604</v>
      </c>
      <c r="AD17" s="595"/>
      <c r="AE17" s="595">
        <f t="shared" si="12"/>
        <v>93674.712190932216</v>
      </c>
      <c r="AF17" s="595"/>
      <c r="AG17" s="595">
        <f t="shared" si="13"/>
        <v>96953.327117614841</v>
      </c>
    </row>
    <row r="18" spans="1:33" ht="14.25">
      <c r="A18" s="582" t="s">
        <v>1014</v>
      </c>
      <c r="B18" s="582"/>
      <c r="C18" s="606"/>
      <c r="D18" s="582"/>
      <c r="E18" s="595">
        <f>Application!W841</f>
        <v>11217</v>
      </c>
      <c r="F18" s="595"/>
      <c r="G18" s="595">
        <f t="shared" si="0"/>
        <v>11609.594999999999</v>
      </c>
      <c r="H18" s="595"/>
      <c r="I18" s="595">
        <f t="shared" si="1"/>
        <v>12015.930824999998</v>
      </c>
      <c r="J18" s="595"/>
      <c r="K18" s="595">
        <f t="shared" si="2"/>
        <v>12436.488403874997</v>
      </c>
      <c r="L18" s="595"/>
      <c r="M18" s="595">
        <f t="shared" si="3"/>
        <v>12871.765498010622</v>
      </c>
      <c r="N18" s="595"/>
      <c r="O18" s="595">
        <f t="shared" si="4"/>
        <v>13322.277290440992</v>
      </c>
      <c r="P18" s="595"/>
      <c r="Q18" s="595">
        <f t="shared" si="5"/>
        <v>13788.556995606426</v>
      </c>
      <c r="R18" s="595"/>
      <c r="S18" s="595">
        <f t="shared" si="6"/>
        <v>14271.156490452649</v>
      </c>
      <c r="T18" s="595"/>
      <c r="U18" s="595">
        <f t="shared" si="7"/>
        <v>14770.646967618492</v>
      </c>
      <c r="V18" s="595"/>
      <c r="W18" s="595">
        <f t="shared" si="8"/>
        <v>15287.619611485137</v>
      </c>
      <c r="X18" s="595"/>
      <c r="Y18" s="595">
        <f t="shared" si="9"/>
        <v>15822.686297887116</v>
      </c>
      <c r="Z18" s="595"/>
      <c r="AA18" s="595">
        <f t="shared" si="10"/>
        <v>16376.480318313164</v>
      </c>
      <c r="AB18" s="595"/>
      <c r="AC18" s="595">
        <f t="shared" si="11"/>
        <v>16949.657129454125</v>
      </c>
      <c r="AD18" s="595"/>
      <c r="AE18" s="595">
        <f t="shared" si="12"/>
        <v>17542.895128985019</v>
      </c>
      <c r="AF18" s="595"/>
      <c r="AG18" s="595">
        <f t="shared" si="13"/>
        <v>18156.896458499494</v>
      </c>
    </row>
    <row r="19" spans="1:33" ht="14.25">
      <c r="A19" s="582" t="s">
        <v>60</v>
      </c>
      <c r="B19" s="582"/>
      <c r="C19" s="606"/>
      <c r="D19" s="582"/>
      <c r="E19" s="595">
        <f>Application!W850</f>
        <v>80530</v>
      </c>
      <c r="F19" s="595"/>
      <c r="G19" s="595">
        <f t="shared" si="0"/>
        <v>83348.549999999988</v>
      </c>
      <c r="H19" s="595"/>
      <c r="I19" s="595">
        <f t="shared" si="1"/>
        <v>86265.749249999979</v>
      </c>
      <c r="J19" s="595"/>
      <c r="K19" s="595">
        <f t="shared" si="2"/>
        <v>89285.050473749972</v>
      </c>
      <c r="L19" s="595"/>
      <c r="M19" s="595">
        <f t="shared" si="3"/>
        <v>92410.027240331212</v>
      </c>
      <c r="N19" s="595"/>
      <c r="O19" s="595">
        <f t="shared" si="4"/>
        <v>95644.378193742799</v>
      </c>
      <c r="P19" s="595"/>
      <c r="Q19" s="595">
        <f t="shared" si="5"/>
        <v>98991.931430523793</v>
      </c>
      <c r="R19" s="595"/>
      <c r="S19" s="595">
        <f t="shared" si="6"/>
        <v>102456.64903059212</v>
      </c>
      <c r="T19" s="595"/>
      <c r="U19" s="595">
        <f t="shared" si="7"/>
        <v>106042.63174666284</v>
      </c>
      <c r="V19" s="595"/>
      <c r="W19" s="595">
        <f t="shared" si="8"/>
        <v>109754.12385779603</v>
      </c>
      <c r="X19" s="595"/>
      <c r="Y19" s="595">
        <f t="shared" si="9"/>
        <v>113595.51819281888</v>
      </c>
      <c r="Z19" s="595"/>
      <c r="AA19" s="595">
        <f t="shared" si="10"/>
        <v>117571.36132956753</v>
      </c>
      <c r="AB19" s="595"/>
      <c r="AC19" s="595">
        <f t="shared" si="11"/>
        <v>121686.35897610239</v>
      </c>
      <c r="AD19" s="595"/>
      <c r="AE19" s="595">
        <f t="shared" si="12"/>
        <v>125945.38154026597</v>
      </c>
      <c r="AF19" s="595"/>
      <c r="AG19" s="595">
        <f t="shared" si="13"/>
        <v>130353.46989417527</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272255</v>
      </c>
      <c r="F21" s="596"/>
      <c r="G21" s="596">
        <f>SUM(G14:G20)</f>
        <v>281783.92499999993</v>
      </c>
      <c r="H21" s="596"/>
      <c r="I21" s="596">
        <f>SUM(I14:I20)</f>
        <v>291646.36237499997</v>
      </c>
      <c r="J21" s="596"/>
      <c r="K21" s="596">
        <f>SUM(K14:K20)</f>
        <v>301853.98505812493</v>
      </c>
      <c r="L21" s="596"/>
      <c r="M21" s="596">
        <f>SUM(M14:M20)</f>
        <v>312418.87453515927</v>
      </c>
      <c r="N21" s="596"/>
      <c r="O21" s="596">
        <f>SUM(O14:O20)</f>
        <v>323353.53514388984</v>
      </c>
      <c r="P21" s="596"/>
      <c r="Q21" s="596">
        <f>SUM(Q14:Q20)</f>
        <v>334670.90887392592</v>
      </c>
      <c r="R21" s="596"/>
      <c r="S21" s="596">
        <f>SUM(S14:S20)</f>
        <v>346384.39068451332</v>
      </c>
      <c r="T21" s="596"/>
      <c r="U21" s="596">
        <f>SUM(U14:U20)</f>
        <v>358507.84435847128</v>
      </c>
      <c r="V21" s="596"/>
      <c r="W21" s="596">
        <f>SUM(W14:W20)</f>
        <v>371055.61891101772</v>
      </c>
      <c r="X21" s="596"/>
      <c r="Y21" s="596">
        <f>SUM(Y14:Y20)</f>
        <v>384042.56557290338</v>
      </c>
      <c r="Z21" s="596"/>
      <c r="AA21" s="596">
        <f>SUM(AA14:AA20)</f>
        <v>397484.05536795489</v>
      </c>
      <c r="AB21" s="596"/>
      <c r="AC21" s="596">
        <f>SUM(AC14:AC20)</f>
        <v>411395.99730583327</v>
      </c>
      <c r="AD21" s="596"/>
      <c r="AE21" s="596">
        <f>SUM(AE14:AE20)</f>
        <v>425794.85721153737</v>
      </c>
      <c r="AF21" s="596"/>
      <c r="AG21" s="596">
        <f>SUM(AG14:AG20)</f>
        <v>440697.67721394124</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20400</v>
      </c>
      <c r="F26" s="595"/>
      <c r="G26" s="595">
        <f>E26*$C$26</f>
        <v>21114</v>
      </c>
      <c r="H26" s="595"/>
      <c r="I26" s="595">
        <f>G26*$C$26</f>
        <v>21852.989999999998</v>
      </c>
      <c r="J26" s="595"/>
      <c r="K26" s="595">
        <f>I26*$C$26</f>
        <v>22617.844649999995</v>
      </c>
      <c r="L26" s="595"/>
      <c r="M26" s="595">
        <f>K26*$C$26</f>
        <v>23409.469212749995</v>
      </c>
      <c r="N26" s="595"/>
      <c r="O26" s="595">
        <f>M26*$C$26</f>
        <v>24228.800635196243</v>
      </c>
      <c r="P26" s="595"/>
      <c r="Q26" s="595">
        <f>O26*$C$26</f>
        <v>25076.808657428111</v>
      </c>
      <c r="R26" s="595"/>
      <c r="S26" s="595">
        <f>Q26*$C$26</f>
        <v>25954.496960438093</v>
      </c>
      <c r="T26" s="595"/>
      <c r="U26" s="595">
        <f>S26*$C$26</f>
        <v>26862.904354053426</v>
      </c>
      <c r="V26" s="595"/>
      <c r="W26" s="595">
        <f>U26*$C$26</f>
        <v>27803.106006445294</v>
      </c>
      <c r="X26" s="595"/>
      <c r="Y26" s="595">
        <f>W26*$C$26</f>
        <v>28776.214716670878</v>
      </c>
      <c r="Z26" s="595"/>
      <c r="AA26" s="595">
        <f>Y26*$C$26</f>
        <v>29783.382231754356</v>
      </c>
      <c r="AB26" s="595"/>
      <c r="AC26" s="595">
        <f>AA26*$C$26</f>
        <v>30825.800609865757</v>
      </c>
      <c r="AD26" s="595"/>
      <c r="AE26" s="595">
        <f>AC26*$C$26</f>
        <v>31904.703631211058</v>
      </c>
      <c r="AF26" s="595"/>
      <c r="AG26" s="595">
        <f>AE26*$C$26</f>
        <v>33021.368258303439</v>
      </c>
    </row>
    <row r="27" spans="1:33" ht="14.25">
      <c r="A27" s="1353" t="s">
        <v>1170</v>
      </c>
      <c r="B27" s="582"/>
      <c r="C27" s="618"/>
      <c r="D27" s="582"/>
      <c r="E27" s="595">
        <f>Application!AC867</f>
        <v>12250</v>
      </c>
      <c r="F27" s="595"/>
      <c r="G27" s="595">
        <f>$E$27</f>
        <v>12250</v>
      </c>
      <c r="H27" s="595"/>
      <c r="I27" s="595">
        <f>$E$27</f>
        <v>12250</v>
      </c>
      <c r="J27" s="595"/>
      <c r="K27" s="595">
        <f>$E$27</f>
        <v>12250</v>
      </c>
      <c r="L27" s="595"/>
      <c r="M27" s="595">
        <f>$E$27</f>
        <v>12250</v>
      </c>
      <c r="N27" s="595"/>
      <c r="O27" s="595">
        <f>$E$27</f>
        <v>12250</v>
      </c>
      <c r="P27" s="595"/>
      <c r="Q27" s="595">
        <f>$E$27</f>
        <v>12250</v>
      </c>
      <c r="R27" s="595"/>
      <c r="S27" s="595">
        <f>$E$27</f>
        <v>12250</v>
      </c>
      <c r="T27" s="595"/>
      <c r="U27" s="595">
        <f>$E$27</f>
        <v>12250</v>
      </c>
      <c r="V27" s="595"/>
      <c r="W27" s="595">
        <f>$E$27</f>
        <v>12250</v>
      </c>
      <c r="X27" s="595"/>
      <c r="Y27" s="595">
        <f>$E$27</f>
        <v>12250</v>
      </c>
      <c r="Z27" s="595"/>
      <c r="AA27" s="595">
        <f>$E$27</f>
        <v>12250</v>
      </c>
      <c r="AB27" s="595"/>
      <c r="AC27" s="595">
        <f>$E$27</f>
        <v>12250</v>
      </c>
      <c r="AD27" s="595"/>
      <c r="AE27" s="595">
        <f>$E$27</f>
        <v>12250</v>
      </c>
      <c r="AF27" s="595"/>
      <c r="AG27" s="595">
        <f>$E$27</f>
        <v>12250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304905</v>
      </c>
      <c r="F34" s="596"/>
      <c r="G34" s="596">
        <f>SUM(G21:G32)</f>
        <v>315147.92499999993</v>
      </c>
      <c r="H34" s="596"/>
      <c r="I34" s="596">
        <f>SUM(I21:I32)</f>
        <v>325749.35237499996</v>
      </c>
      <c r="J34" s="596"/>
      <c r="K34" s="596">
        <f>SUM(K21:K32)</f>
        <v>336721.82970812492</v>
      </c>
      <c r="L34" s="596"/>
      <c r="M34" s="596">
        <f>SUM(M21:M32)</f>
        <v>348078.34374790924</v>
      </c>
      <c r="N34" s="596"/>
      <c r="O34" s="596">
        <f>SUM(O21:O32)</f>
        <v>359832.3357790861</v>
      </c>
      <c r="P34" s="596"/>
      <c r="Q34" s="596">
        <f>SUM(Q21:Q32)</f>
        <v>371997.71753135405</v>
      </c>
      <c r="R34" s="596"/>
      <c r="S34" s="596">
        <f>SUM(S21:S32)</f>
        <v>384588.88764495141</v>
      </c>
      <c r="T34" s="596"/>
      <c r="U34" s="596">
        <f>SUM(U21:U32)</f>
        <v>397620.74871252471</v>
      </c>
      <c r="V34" s="596"/>
      <c r="W34" s="596">
        <f>SUM(W21:W32)</f>
        <v>411108.72491746303</v>
      </c>
      <c r="X34" s="596"/>
      <c r="Y34" s="596">
        <f>SUM(Y21:Y32)</f>
        <v>425068.78028957424</v>
      </c>
      <c r="Z34" s="596"/>
      <c r="AA34" s="596">
        <f>SUM(AA21:AA32)</f>
        <v>439517.43759970926</v>
      </c>
      <c r="AB34" s="596"/>
      <c r="AC34" s="596">
        <f>SUM(AC21:AC32)</f>
        <v>454471.79791569902</v>
      </c>
      <c r="AD34" s="596"/>
      <c r="AE34" s="596">
        <f>SUM(AE21:AE32)</f>
        <v>469949.56084274844</v>
      </c>
      <c r="AF34" s="596"/>
      <c r="AG34" s="596">
        <f>SUM(AG21:AG32)</f>
        <v>485969.04547224467</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402632.19999999995</v>
      </c>
      <c r="F36" s="596"/>
      <c r="G36" s="596">
        <f>G10-G34</f>
        <v>410077.70499999996</v>
      </c>
      <c r="H36" s="596"/>
      <c r="I36" s="596">
        <f>I10-I34</f>
        <v>417606.91837499995</v>
      </c>
      <c r="J36" s="596"/>
      <c r="K36" s="596">
        <f>K10-K34</f>
        <v>425218.34781062492</v>
      </c>
      <c r="L36" s="596"/>
      <c r="M36" s="596">
        <f>M10-M34</f>
        <v>432910.33820880932</v>
      </c>
      <c r="N36" s="596"/>
      <c r="O36" s="596">
        <f>O10-O34</f>
        <v>440681.06322655035</v>
      </c>
      <c r="P36" s="596"/>
      <c r="Q36" s="596">
        <f>Q10-Q34</f>
        <v>448528.51644942327</v>
      </c>
      <c r="R36" s="596"/>
      <c r="S36" s="596">
        <f>S10-S34</f>
        <v>456450.50218534522</v>
      </c>
      <c r="T36" s="596"/>
      <c r="U36" s="596">
        <f>U10-U34</f>
        <v>464444.62586352922</v>
      </c>
      <c r="V36" s="596"/>
      <c r="W36" s="596">
        <f>W10-W34</f>
        <v>472508.28402299201</v>
      </c>
      <c r="X36" s="596"/>
      <c r="Y36" s="596">
        <f>Y10-Y34</f>
        <v>480638.6538743921</v>
      </c>
      <c r="Z36" s="596"/>
      <c r="AA36" s="596">
        <f>AA10-AA34</f>
        <v>488832.68241835618</v>
      </c>
      <c r="AB36" s="596"/>
      <c r="AC36" s="596">
        <f>AC10-AC34</f>
        <v>497087.07510281802</v>
      </c>
      <c r="AD36" s="596"/>
      <c r="AE36" s="596">
        <f>AE10-AE34</f>
        <v>505398.28400123148</v>
      </c>
      <c r="AF36" s="596"/>
      <c r="AG36" s="596">
        <f>AG10-AG34</f>
        <v>513762.49549283454</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Pacific Western Bank Perm Loan</v>
      </c>
      <c r="B39" s="599"/>
      <c r="C39" s="593"/>
      <c r="D39" s="582"/>
      <c r="E39" s="592">
        <f>Application!AF632</f>
        <v>350115</v>
      </c>
      <c r="F39" s="592"/>
      <c r="G39" s="592">
        <f>$E$39</f>
        <v>350115</v>
      </c>
      <c r="H39" s="592"/>
      <c r="I39" s="592">
        <f>$E$39</f>
        <v>350115</v>
      </c>
      <c r="J39" s="592"/>
      <c r="K39" s="592">
        <f>$E$39</f>
        <v>350115</v>
      </c>
      <c r="L39" s="592"/>
      <c r="M39" s="592">
        <f>$E$39</f>
        <v>350115</v>
      </c>
      <c r="N39" s="592"/>
      <c r="O39" s="592">
        <f>$E$39</f>
        <v>350115</v>
      </c>
      <c r="P39" s="592"/>
      <c r="Q39" s="592">
        <f>$E$39</f>
        <v>350115</v>
      </c>
      <c r="R39" s="592"/>
      <c r="S39" s="592">
        <f>$E$39</f>
        <v>350115</v>
      </c>
      <c r="T39" s="592"/>
      <c r="U39" s="592">
        <f>$E$39</f>
        <v>350115</v>
      </c>
      <c r="V39" s="592"/>
      <c r="W39" s="592">
        <f>$E$39</f>
        <v>350115</v>
      </c>
      <c r="X39" s="592"/>
      <c r="Y39" s="592">
        <f>$E$39</f>
        <v>350115</v>
      </c>
      <c r="Z39" s="592"/>
      <c r="AA39" s="592">
        <f>$E$39</f>
        <v>350115</v>
      </c>
      <c r="AB39" s="592"/>
      <c r="AC39" s="592">
        <f>$E$39</f>
        <v>350115</v>
      </c>
      <c r="AD39" s="592"/>
      <c r="AE39" s="592">
        <f>$E$39</f>
        <v>350115</v>
      </c>
      <c r="AF39" s="592"/>
      <c r="AG39" s="592">
        <f>$E$39</f>
        <v>350115</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350115</v>
      </c>
      <c r="F42" s="596"/>
      <c r="G42" s="596">
        <f>SUM(G39:G41)</f>
        <v>350115</v>
      </c>
      <c r="H42" s="596"/>
      <c r="I42" s="596">
        <f>SUM(I39:I41)</f>
        <v>350115</v>
      </c>
      <c r="J42" s="596"/>
      <c r="K42" s="596">
        <f>SUM(K39:K41)</f>
        <v>350115</v>
      </c>
      <c r="L42" s="596"/>
      <c r="M42" s="596">
        <f>SUM(M39:M41)</f>
        <v>350115</v>
      </c>
      <c r="N42" s="596"/>
      <c r="O42" s="596">
        <f>SUM(O39:O41)</f>
        <v>350115</v>
      </c>
      <c r="P42" s="596"/>
      <c r="Q42" s="596">
        <f>SUM(Q39:Q41)</f>
        <v>350115</v>
      </c>
      <c r="R42" s="596"/>
      <c r="S42" s="596">
        <f>SUM(S39:S41)</f>
        <v>350115</v>
      </c>
      <c r="T42" s="596"/>
      <c r="U42" s="596">
        <f>SUM(U39:U41)</f>
        <v>350115</v>
      </c>
      <c r="V42" s="596"/>
      <c r="W42" s="596">
        <f>SUM(W39:W41)</f>
        <v>350115</v>
      </c>
      <c r="X42" s="596"/>
      <c r="Y42" s="596">
        <f>SUM(Y39:Y41)</f>
        <v>350115</v>
      </c>
      <c r="Z42" s="596"/>
      <c r="AA42" s="596">
        <f>SUM(AA39:AA41)</f>
        <v>350115</v>
      </c>
      <c r="AB42" s="596"/>
      <c r="AC42" s="596">
        <f>SUM(AC39:AC41)</f>
        <v>350115</v>
      </c>
      <c r="AD42" s="596"/>
      <c r="AE42" s="596">
        <f>SUM(AE39:AE41)</f>
        <v>350115</v>
      </c>
      <c r="AF42" s="596"/>
      <c r="AG42" s="596">
        <f>SUM(AG39:AG41)</f>
        <v>350115</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52517.199999999953</v>
      </c>
      <c r="F44" s="596"/>
      <c r="G44" s="596">
        <f>G36-G42</f>
        <v>59962.704999999958</v>
      </c>
      <c r="H44" s="596"/>
      <c r="I44" s="596">
        <f>I36-I42</f>
        <v>67491.91837499995</v>
      </c>
      <c r="J44" s="596"/>
      <c r="K44" s="596">
        <f>K36-K42</f>
        <v>75103.347810624924</v>
      </c>
      <c r="L44" s="596"/>
      <c r="M44" s="596">
        <f>M36-M42</f>
        <v>82795.33820880932</v>
      </c>
      <c r="N44" s="596"/>
      <c r="O44" s="596">
        <f>O36-O42</f>
        <v>90566.063226550352</v>
      </c>
      <c r="P44" s="596"/>
      <c r="Q44" s="596">
        <f>Q36-Q42</f>
        <v>98413.516449423274</v>
      </c>
      <c r="R44" s="596"/>
      <c r="S44" s="596">
        <f>S36-S42</f>
        <v>106335.50218534522</v>
      </c>
      <c r="T44" s="596"/>
      <c r="U44" s="596">
        <f>U36-U42</f>
        <v>114329.62586352922</v>
      </c>
      <c r="V44" s="596"/>
      <c r="W44" s="596">
        <f>W36-W42</f>
        <v>122393.28402299201</v>
      </c>
      <c r="X44" s="596"/>
      <c r="Y44" s="596">
        <f>Y36-Y42</f>
        <v>130523.6538743921</v>
      </c>
      <c r="Z44" s="596"/>
      <c r="AA44" s="596">
        <f>AA36-AA42</f>
        <v>138717.68241835618</v>
      </c>
      <c r="AB44" s="596"/>
      <c r="AC44" s="596">
        <f>AC36-AC42</f>
        <v>146972.07510281802</v>
      </c>
      <c r="AD44" s="596"/>
      <c r="AE44" s="596">
        <f>AE36-AE42</f>
        <v>155283.28400123148</v>
      </c>
      <c r="AF44" s="596"/>
      <c r="AG44" s="596">
        <f>AG36-AG42</f>
        <v>163647.49549283454</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7.0514087457168265E-2</v>
      </c>
      <c r="F46" s="600"/>
      <c r="G46" s="600">
        <f>G44/(G4+G6+G8)</f>
        <v>7.8547375318216442E-2</v>
      </c>
      <c r="H46" s="600"/>
      <c r="I46" s="600">
        <f>I44/(I4+I6+I8)</f>
        <v>8.6253826030901162E-2</v>
      </c>
      <c r="J46" s="600"/>
      <c r="K46" s="600">
        <f>K44/(K4+K6+K8)</f>
        <v>9.3640134127640148E-2</v>
      </c>
      <c r="L46" s="600"/>
      <c r="M46" s="600">
        <f>M44/(M4+M6+M8)</f>
        <v>0.10071281840000833</v>
      </c>
      <c r="N46" s="600"/>
      <c r="O46" s="600">
        <f>O44/(O4+O6+O8)</f>
        <v>0.10747822606354279</v>
      </c>
      <c r="P46" s="600"/>
      <c r="Q46" s="600">
        <f>Q44/(Q4+Q6+Q8)</f>
        <v>0.11394253681978241</v>
      </c>
      <c r="R46" s="600"/>
      <c r="S46" s="600">
        <f>S44/(S4+S6+S8)</f>
        <v>0.12011176681803373</v>
      </c>
      <c r="T46" s="600"/>
      <c r="U46" s="600">
        <f>U44/(U4+U6+U8)</f>
        <v>0.12599177251930166</v>
      </c>
      <c r="V46" s="600"/>
      <c r="W46" s="600">
        <f>W44/(W4+W6+W8)</f>
        <v>0.13158825446475514</v>
      </c>
      <c r="X46" s="600"/>
      <c r="Y46" s="600">
        <f>Y44/(Y4+Y6+Y8)</f>
        <v>0.13690676095104723</v>
      </c>
      <c r="Z46" s="600"/>
      <c r="AA46" s="600">
        <f>AA44/(AA4+AA6+AA8)</f>
        <v>0.14195269161474761</v>
      </c>
      <c r="AB46" s="600"/>
      <c r="AC46" s="600">
        <f>AC44/(AC4+AC6+AC8)</f>
        <v>0.14673130092809306</v>
      </c>
      <c r="AD46" s="600"/>
      <c r="AE46" s="600">
        <f>AE44/(AE4+AE6+AE8)</f>
        <v>0.15124770160820686</v>
      </c>
      <c r="AF46" s="600"/>
      <c r="AG46" s="600">
        <f>AG44/(AG4+AG6+AG8)</f>
        <v>0.15550686794188404</v>
      </c>
      <c r="AH46" s="600"/>
      <c r="AI46" s="600"/>
    </row>
    <row r="47" spans="1:35" ht="14.25">
      <c r="A47" s="600" t="s">
        <v>1177</v>
      </c>
      <c r="B47" s="600"/>
      <c r="C47" s="593"/>
      <c r="D47" s="600"/>
      <c r="E47" s="600">
        <f>E44/E42</f>
        <v>0.14999985718978037</v>
      </c>
      <c r="F47" s="600"/>
      <c r="G47" s="600">
        <f>G44/G42</f>
        <v>0.1712657412564442</v>
      </c>
      <c r="H47" s="600"/>
      <c r="I47" s="600">
        <f>I44/I42</f>
        <v>0.19277071355126157</v>
      </c>
      <c r="J47" s="600"/>
      <c r="K47" s="600">
        <f>K44/K42</f>
        <v>0.21451051171936342</v>
      </c>
      <c r="L47" s="600"/>
      <c r="M47" s="600">
        <f>M44/M42</f>
        <v>0.23648040846238899</v>
      </c>
      <c r="N47" s="600"/>
      <c r="O47" s="600">
        <f>O44/O42</f>
        <v>0.25867518737143608</v>
      </c>
      <c r="P47" s="600"/>
      <c r="Q47" s="600">
        <f>Q44/Q42</f>
        <v>0.28108911771681666</v>
      </c>
      <c r="R47" s="600"/>
      <c r="S47" s="600">
        <f>S44/S42</f>
        <v>0.30371592815316462</v>
      </c>
      <c r="T47" s="600"/>
      <c r="U47" s="600">
        <f>U44/U42</f>
        <v>0.32654877929688592</v>
      </c>
      <c r="V47" s="600"/>
      <c r="W47" s="600">
        <f>W44/W42</f>
        <v>0.34958023513129116</v>
      </c>
      <c r="X47" s="600"/>
      <c r="Y47" s="600">
        <f>Y44/Y42</f>
        <v>0.37280223319307115</v>
      </c>
      <c r="Z47" s="600"/>
      <c r="AA47" s="600">
        <f>AA44/AA42</f>
        <v>0.39620605349201315</v>
      </c>
      <c r="AB47" s="600"/>
      <c r="AC47" s="600">
        <f>AC44/AC42</f>
        <v>0.41978228611404261</v>
      </c>
      <c r="AD47" s="600"/>
      <c r="AE47" s="600">
        <f>AE44/AE42</f>
        <v>0.44352079745578304</v>
      </c>
      <c r="AF47" s="600"/>
      <c r="AG47" s="600">
        <f>AG44/AG42</f>
        <v>0.46741069503687227</v>
      </c>
      <c r="AH47" s="600"/>
      <c r="AI47" s="600"/>
    </row>
    <row r="48" spans="1:35" ht="14.25">
      <c r="A48" s="601" t="s">
        <v>1178</v>
      </c>
      <c r="B48" s="601"/>
      <c r="C48" s="602"/>
      <c r="D48" s="601"/>
      <c r="E48" s="601">
        <f>E36/E42</f>
        <v>1.1499998571897803</v>
      </c>
      <c r="F48" s="601"/>
      <c r="G48" s="601">
        <f>G36/G42</f>
        <v>1.1712657412564442</v>
      </c>
      <c r="H48" s="601"/>
      <c r="I48" s="601">
        <f>I36/I42</f>
        <v>1.1927707135512615</v>
      </c>
      <c r="J48" s="601"/>
      <c r="K48" s="601">
        <f>K36/K42</f>
        <v>1.2145105117193635</v>
      </c>
      <c r="L48" s="601"/>
      <c r="M48" s="601">
        <f>M36/M42</f>
        <v>1.236480408462389</v>
      </c>
      <c r="N48" s="601"/>
      <c r="O48" s="601">
        <f>O36/O42</f>
        <v>1.2586751873714361</v>
      </c>
      <c r="P48" s="601"/>
      <c r="Q48" s="601">
        <f>Q36/Q42</f>
        <v>1.2810891177168167</v>
      </c>
      <c r="R48" s="601"/>
      <c r="S48" s="601">
        <f>S36/S42</f>
        <v>1.3037159281531645</v>
      </c>
      <c r="T48" s="601"/>
      <c r="U48" s="601">
        <f>U36/U42</f>
        <v>1.326548779296886</v>
      </c>
      <c r="V48" s="601"/>
      <c r="W48" s="601">
        <f>W36/W42</f>
        <v>1.3495802351312911</v>
      </c>
      <c r="X48" s="601"/>
      <c r="Y48" s="601">
        <f>Y36/Y42</f>
        <v>1.3728022331930712</v>
      </c>
      <c r="Z48" s="601"/>
      <c r="AA48" s="601">
        <f>AA36/AA42</f>
        <v>1.3962060534920131</v>
      </c>
      <c r="AB48" s="601"/>
      <c r="AC48" s="601">
        <f>AC36/AC42</f>
        <v>1.4197822861140426</v>
      </c>
      <c r="AD48" s="601"/>
      <c r="AE48" s="601">
        <f>AE36/AE42</f>
        <v>1.4435207974557831</v>
      </c>
      <c r="AF48" s="601"/>
      <c r="AG48" s="601">
        <f>AG36/AG42</f>
        <v>1.4674106950368724</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52517.199999999953</v>
      </c>
      <c r="F59" s="580"/>
      <c r="G59" s="580">
        <f>G44-G57</f>
        <v>59962.704999999958</v>
      </c>
      <c r="H59" s="580"/>
      <c r="I59" s="580">
        <f>I44-I57</f>
        <v>67491.91837499995</v>
      </c>
      <c r="J59" s="580"/>
      <c r="K59" s="580">
        <f>K44-K57</f>
        <v>75103.347810624924</v>
      </c>
      <c r="L59" s="580"/>
      <c r="M59" s="580">
        <f>M44-M57</f>
        <v>82795.33820880932</v>
      </c>
      <c r="N59" s="580"/>
      <c r="O59" s="580">
        <f>O44-O57</f>
        <v>90566.063226550352</v>
      </c>
      <c r="P59" s="580"/>
      <c r="Q59" s="580">
        <f>Q44-Q57</f>
        <v>98413.516449423274</v>
      </c>
      <c r="R59" s="580"/>
      <c r="S59" s="580">
        <f>S44-S57</f>
        <v>106335.50218534522</v>
      </c>
      <c r="T59" s="580"/>
      <c r="U59" s="580">
        <f>U44-U57</f>
        <v>114329.62586352922</v>
      </c>
      <c r="V59" s="580"/>
      <c r="W59" s="580">
        <f>W44-W57</f>
        <v>122393.28402299201</v>
      </c>
      <c r="X59" s="580"/>
      <c r="Y59" s="580">
        <f>Y44-Y57</f>
        <v>130523.6538743921</v>
      </c>
      <c r="Z59" s="580"/>
      <c r="AA59" s="580">
        <f>AA44-AA57</f>
        <v>138717.68241835618</v>
      </c>
      <c r="AB59" s="580"/>
      <c r="AC59" s="580">
        <f>AC44-AC57</f>
        <v>146972.07510281802</v>
      </c>
      <c r="AD59" s="580"/>
      <c r="AE59" s="580">
        <f>AE44-AE57</f>
        <v>155283.28400123148</v>
      </c>
      <c r="AF59" s="580"/>
      <c r="AG59" s="580">
        <f>AG44-AG57</f>
        <v>163647.49549283454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52517.199999999953</v>
      </c>
      <c r="F71" s="589"/>
      <c r="G71" s="580">
        <f>G59-G61-G69</f>
        <v>59962.704999999958</v>
      </c>
      <c r="H71" s="589"/>
      <c r="I71" s="580">
        <f>I59-I61-I69</f>
        <v>67491.91837499995</v>
      </c>
      <c r="J71" s="589"/>
      <c r="K71" s="580">
        <f>K59-K61-K69</f>
        <v>75103.347810624924</v>
      </c>
      <c r="L71" s="589"/>
      <c r="M71" s="580">
        <f>M59-M61-M69</f>
        <v>82795.33820880932</v>
      </c>
      <c r="N71" s="589"/>
      <c r="O71" s="580">
        <f>O59-O61-O69</f>
        <v>90566.063226550352</v>
      </c>
      <c r="P71" s="589"/>
      <c r="Q71" s="580">
        <f>Q59-Q61-Q69</f>
        <v>98413.516449423274</v>
      </c>
      <c r="R71" s="589"/>
      <c r="S71" s="580">
        <f>S59-S61-S69</f>
        <v>106335.50218534522</v>
      </c>
      <c r="T71" s="589"/>
      <c r="U71" s="580">
        <f>U59-U61-U69</f>
        <v>114329.62586352922</v>
      </c>
      <c r="V71" s="589"/>
      <c r="W71" s="580">
        <f>W59-W61-W69</f>
        <v>122393.28402299201</v>
      </c>
      <c r="X71" s="589"/>
      <c r="Y71" s="580">
        <f>Y59-Y61-Y69</f>
        <v>130523.6538743921</v>
      </c>
      <c r="Z71" s="589"/>
      <c r="AA71" s="580">
        <f>AA59-AA61-AA69</f>
        <v>138717.68241835618</v>
      </c>
      <c r="AB71" s="589"/>
      <c r="AC71" s="580">
        <f>AC59-AC61-AC69</f>
        <v>146972.07510281802</v>
      </c>
      <c r="AD71" s="589"/>
      <c r="AE71" s="580">
        <f>AE59-AE61-AE69</f>
        <v>155283.28400123148</v>
      </c>
      <c r="AF71" s="589"/>
      <c r="AG71" s="580">
        <f>AG59-AG61-AG69</f>
        <v>163647.49549283454</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71" t="s">
        <v>1187</v>
      </c>
      <c r="B76" s="2671"/>
      <c r="C76" s="2671"/>
      <c r="D76" s="2671"/>
      <c r="E76" s="2671"/>
      <c r="F76" s="2671"/>
      <c r="G76" s="2671"/>
      <c r="H76" s="2671"/>
      <c r="I76" s="2671"/>
      <c r="J76" s="2671"/>
      <c r="K76" s="2671"/>
      <c r="L76" s="2671"/>
      <c r="M76" s="2671"/>
      <c r="N76" s="2671"/>
      <c r="O76" s="2671"/>
      <c r="P76" s="2671"/>
      <c r="Q76" s="2671"/>
      <c r="R76" s="2671"/>
      <c r="S76" s="2671"/>
      <c r="T76" s="2671"/>
      <c r="U76" s="2671"/>
      <c r="V76" s="2671"/>
      <c r="W76" s="2671"/>
      <c r="X76" s="2671"/>
      <c r="Y76" s="2671"/>
      <c r="Z76" s="2671"/>
      <c r="AA76" s="2671"/>
      <c r="AB76" s="2671"/>
      <c r="AC76" s="2671"/>
      <c r="AD76" s="2671"/>
      <c r="AE76" s="2671"/>
      <c r="AF76" s="2671"/>
      <c r="AG76" s="2671"/>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72" t="s">
        <v>1265</v>
      </c>
      <c r="B1" s="2672"/>
      <c r="C1" s="2672"/>
      <c r="D1" s="2672"/>
      <c r="E1" s="2672"/>
      <c r="F1" s="2672"/>
      <c r="G1" s="2672"/>
      <c r="H1" s="2672"/>
      <c r="I1" s="2672"/>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SRO/Studio</v>
      </c>
      <c r="B4" s="921">
        <f>Application!$G706</f>
        <v>12</v>
      </c>
      <c r="C4" s="913">
        <f>Application!$O706</f>
        <v>613</v>
      </c>
      <c r="D4" s="914"/>
      <c r="E4" s="717"/>
      <c r="F4" s="915">
        <f>$E4*$B4</f>
        <v>0</v>
      </c>
      <c r="G4" s="916"/>
      <c r="H4" s="913">
        <f>IF($E4=0,0,MAX($E4-$C4,0))</f>
        <v>0</v>
      </c>
      <c r="I4" s="915">
        <f>IF($H4=0,0,($H4*$B4))</f>
        <v>0</v>
      </c>
    </row>
    <row r="5" spans="1:9">
      <c r="A5" s="913" t="str">
        <f>Application!$B707</f>
        <v>1 Bedroom</v>
      </c>
      <c r="B5" s="921">
        <f>Application!$G707</f>
        <v>4</v>
      </c>
      <c r="C5" s="913">
        <f>Application!$O707</f>
        <v>1103</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8</v>
      </c>
      <c r="C6" s="913">
        <f>Application!$O708</f>
        <v>1326</v>
      </c>
      <c r="D6" s="914"/>
      <c r="E6" s="717"/>
      <c r="F6" s="915">
        <f t="shared" si="0"/>
        <v>0</v>
      </c>
      <c r="G6" s="916"/>
      <c r="H6" s="913">
        <f t="shared" si="1"/>
        <v>0</v>
      </c>
      <c r="I6" s="915">
        <f t="shared" si="2"/>
        <v>0</v>
      </c>
    </row>
    <row r="7" spans="1:9">
      <c r="A7" s="913" t="str">
        <f>Application!$B709</f>
        <v>2 Bedrooms</v>
      </c>
      <c r="B7" s="921">
        <f>Application!$G709</f>
        <v>4</v>
      </c>
      <c r="C7" s="913">
        <f>Application!$O709</f>
        <v>1326</v>
      </c>
      <c r="D7" s="914"/>
      <c r="E7" s="717"/>
      <c r="F7" s="915">
        <f t="shared" si="0"/>
        <v>0</v>
      </c>
      <c r="G7" s="916"/>
      <c r="H7" s="913">
        <f t="shared" si="1"/>
        <v>0</v>
      </c>
      <c r="I7" s="915">
        <f t="shared" si="2"/>
        <v>0</v>
      </c>
    </row>
    <row r="8" spans="1:9">
      <c r="A8" s="913" t="str">
        <f>Application!$B710</f>
        <v>2 Bedrooms</v>
      </c>
      <c r="B8" s="921">
        <f>Application!$G710</f>
        <v>8</v>
      </c>
      <c r="C8" s="913">
        <f>Application!$O710</f>
        <v>1594</v>
      </c>
      <c r="D8" s="914"/>
      <c r="E8" s="717"/>
      <c r="F8" s="915">
        <f t="shared" si="0"/>
        <v>0</v>
      </c>
      <c r="G8" s="916"/>
      <c r="H8" s="913">
        <f t="shared" si="1"/>
        <v>0</v>
      </c>
      <c r="I8" s="915">
        <f t="shared" si="2"/>
        <v>0</v>
      </c>
    </row>
    <row r="9" spans="1:9">
      <c r="A9" s="913" t="str">
        <f>Application!$B711</f>
        <v>3 Bedrooms</v>
      </c>
      <c r="B9" s="921">
        <f>Application!$G711</f>
        <v>5</v>
      </c>
      <c r="C9" s="913">
        <f>Application!$O711</f>
        <v>1534</v>
      </c>
      <c r="D9" s="914"/>
      <c r="E9" s="717"/>
      <c r="F9" s="915">
        <f t="shared" si="0"/>
        <v>0</v>
      </c>
      <c r="G9" s="916"/>
      <c r="H9" s="913">
        <f t="shared" si="1"/>
        <v>0</v>
      </c>
      <c r="I9" s="915">
        <f t="shared" si="2"/>
        <v>0</v>
      </c>
    </row>
    <row r="10" spans="1:9">
      <c r="A10" s="913" t="str">
        <f>Application!$B712</f>
        <v>3 Bedrooms</v>
      </c>
      <c r="B10" s="921">
        <f>Application!$G712</f>
        <v>7</v>
      </c>
      <c r="C10" s="913">
        <f>Application!$O712</f>
        <v>1843</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732036</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3" t="s">
        <v>1188</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3" t="s">
        <v>1759</v>
      </c>
      <c r="U7" s="2243"/>
      <c r="V7" s="2243"/>
      <c r="W7" s="2243"/>
      <c r="X7" s="2243"/>
      <c r="Y7" s="2243" t="s">
        <v>1914</v>
      </c>
      <c r="Z7" s="2243"/>
      <c r="AA7" s="2243"/>
      <c r="AB7" s="2243"/>
      <c r="AC7" s="2243"/>
      <c r="AD7" s="2243" t="s">
        <v>1481</v>
      </c>
      <c r="AE7" s="2243"/>
      <c r="AF7" s="2243"/>
      <c r="AG7" s="2243"/>
      <c r="AH7" s="2243"/>
      <c r="AI7" s="2243" t="s">
        <v>1915</v>
      </c>
      <c r="AJ7" s="2243"/>
      <c r="AK7" s="2243"/>
      <c r="AL7" s="2243"/>
      <c r="AM7" s="2243"/>
    </row>
    <row r="8" spans="1:40" ht="12.75" customHeight="1">
      <c r="B8" s="337"/>
      <c r="C8" s="1"/>
      <c r="D8" s="1"/>
      <c r="E8" s="1"/>
      <c r="F8" s="1"/>
      <c r="G8" s="1"/>
      <c r="H8" s="1"/>
      <c r="I8" s="1"/>
      <c r="J8" s="1"/>
      <c r="K8" s="1"/>
      <c r="L8" s="1"/>
      <c r="M8" s="1"/>
      <c r="N8" s="1"/>
      <c r="O8" s="1"/>
      <c r="P8" s="1"/>
      <c r="Q8" s="1"/>
      <c r="R8" s="1"/>
      <c r="S8" s="1"/>
      <c r="T8" s="2243"/>
      <c r="U8" s="2243"/>
      <c r="V8" s="2243"/>
      <c r="W8" s="2243"/>
      <c r="X8" s="2243"/>
      <c r="Y8" s="2243"/>
      <c r="Z8" s="2243"/>
      <c r="AA8" s="2243"/>
      <c r="AB8" s="2243"/>
      <c r="AC8" s="2243"/>
      <c r="AD8" s="2243"/>
      <c r="AE8" s="2243"/>
      <c r="AF8" s="2243"/>
      <c r="AG8" s="2243"/>
      <c r="AH8" s="2243"/>
      <c r="AI8" s="2243"/>
      <c r="AJ8" s="2243"/>
      <c r="AK8" s="2243"/>
      <c r="AL8" s="2243"/>
      <c r="AM8" s="2243"/>
    </row>
    <row r="9" spans="1:40" ht="12.75">
      <c r="B9" s="337"/>
      <c r="C9" s="1"/>
      <c r="D9" s="1"/>
      <c r="E9" s="1"/>
      <c r="F9" s="1"/>
      <c r="G9" s="1"/>
      <c r="H9" s="1"/>
      <c r="I9" s="1"/>
      <c r="J9" s="1"/>
      <c r="K9" s="1"/>
      <c r="L9" s="1"/>
      <c r="M9" s="1"/>
      <c r="N9" s="1"/>
      <c r="O9" s="1"/>
      <c r="P9" s="1"/>
      <c r="Q9" s="1"/>
      <c r="R9" s="1"/>
      <c r="S9" s="1"/>
      <c r="T9" s="2243"/>
      <c r="U9" s="2243"/>
      <c r="V9" s="2243"/>
      <c r="W9" s="2243"/>
      <c r="X9" s="2243"/>
      <c r="Y9" s="2243"/>
      <c r="Z9" s="2243"/>
      <c r="AA9" s="2243"/>
      <c r="AB9" s="2243"/>
      <c r="AC9" s="2243"/>
      <c r="AD9" s="2243"/>
      <c r="AE9" s="2243"/>
      <c r="AF9" s="2243"/>
      <c r="AG9" s="2243"/>
      <c r="AH9" s="2243"/>
      <c r="AI9" s="2243"/>
      <c r="AJ9" s="2243"/>
      <c r="AK9" s="2243"/>
      <c r="AL9" s="2243"/>
      <c r="AM9" s="2243"/>
    </row>
    <row r="10" spans="1:40" ht="41.45" customHeight="1">
      <c r="B10" s="277"/>
      <c r="C10" s="278"/>
      <c r="D10" s="278"/>
      <c r="E10" s="278"/>
      <c r="F10" s="278"/>
      <c r="G10" s="278"/>
      <c r="H10" s="278"/>
      <c r="I10" s="278"/>
      <c r="J10" s="278"/>
      <c r="K10" s="278"/>
      <c r="L10" s="278"/>
      <c r="M10" s="278"/>
      <c r="N10" s="278"/>
      <c r="O10" s="278"/>
      <c r="P10" s="278"/>
      <c r="Q10" s="278"/>
      <c r="R10" s="278"/>
      <c r="S10" s="278"/>
      <c r="T10" s="2243"/>
      <c r="U10" s="2243"/>
      <c r="V10" s="2243"/>
      <c r="W10" s="2243"/>
      <c r="X10" s="2243"/>
      <c r="Y10" s="2243"/>
      <c r="Z10" s="2243"/>
      <c r="AA10" s="2243"/>
      <c r="AB10" s="2243"/>
      <c r="AC10" s="2243"/>
      <c r="AD10" s="2243"/>
      <c r="AE10" s="2243"/>
      <c r="AF10" s="2243"/>
      <c r="AG10" s="2243"/>
      <c r="AH10" s="2243"/>
      <c r="AI10" s="2243"/>
      <c r="AJ10" s="2243"/>
      <c r="AK10" s="2243"/>
      <c r="AL10" s="2243"/>
      <c r="AM10" s="2243"/>
    </row>
    <row r="11" spans="1:40" ht="12.75">
      <c r="B11" s="2240" t="s">
        <v>563</v>
      </c>
      <c r="C11" s="2241"/>
      <c r="D11" s="2241"/>
      <c r="E11" s="2241"/>
      <c r="F11" s="2241"/>
      <c r="G11" s="2241"/>
      <c r="H11" s="2241"/>
      <c r="I11" s="2241"/>
      <c r="J11" s="2241"/>
      <c r="K11" s="2241"/>
      <c r="L11" s="2241"/>
      <c r="M11" s="2241"/>
      <c r="N11" s="2241"/>
      <c r="O11" s="2241"/>
      <c r="P11" s="2241"/>
      <c r="Q11" s="2241"/>
      <c r="R11" s="2241"/>
      <c r="S11" s="2242"/>
      <c r="T11" s="2280">
        <f>IF('Sources and Basis Breakdown'!F105=0,'Sources and Basis Breakdown'!E105,'Sources and Basis Breakdown'!F105)</f>
        <v>23866844</v>
      </c>
      <c r="U11" s="2268"/>
      <c r="V11" s="2268"/>
      <c r="W11" s="2268"/>
      <c r="X11" s="2268"/>
      <c r="Y11" s="2267">
        <f>IF('Sources and Basis Breakdown'!G105+'Sources and Basis Breakdown'!F105='Sources and Basis Breakdown'!E105,'Sources and Basis Breakdown'!G105,0)</f>
        <v>0</v>
      </c>
      <c r="Z11" s="2268"/>
      <c r="AA11" s="2268"/>
      <c r="AB11" s="2268"/>
      <c r="AC11" s="2268"/>
      <c r="AD11" s="2268">
        <f>IF('Sources and Basis Breakdown'!I105=0,'Sources and Basis Breakdown'!H105,'Sources and Basis Breakdown'!I105)</f>
        <v>0</v>
      </c>
      <c r="AE11" s="2268"/>
      <c r="AF11" s="2268"/>
      <c r="AG11" s="2268"/>
      <c r="AH11" s="2268"/>
      <c r="AI11" s="2268">
        <f>IF('Sources and Basis Breakdown'!I105+'Sources and Basis Breakdown'!J105='Sources and Basis Breakdown'!H105,'Sources and Basis Breakdown'!J105,0)</f>
        <v>0</v>
      </c>
      <c r="AJ11" s="2268"/>
      <c r="AK11" s="2268"/>
      <c r="AL11" s="2268"/>
      <c r="AM11" s="2268"/>
    </row>
    <row r="12" spans="1:40" ht="12.75">
      <c r="B12" s="2273" t="s">
        <v>493</v>
      </c>
      <c r="C12" s="2274"/>
      <c r="D12" s="2274"/>
      <c r="E12" s="2274"/>
      <c r="F12" s="2274"/>
      <c r="G12" s="2274"/>
      <c r="H12" s="2274"/>
      <c r="I12" s="2274"/>
      <c r="J12" s="2274"/>
      <c r="K12" s="2274"/>
      <c r="L12" s="2274"/>
      <c r="M12" s="2274"/>
      <c r="N12" s="2274"/>
      <c r="O12" s="2274"/>
      <c r="P12" s="2274"/>
      <c r="Q12" s="2274"/>
      <c r="R12" s="2274"/>
      <c r="S12" s="2275"/>
      <c r="T12" s="2270"/>
      <c r="U12" s="2271"/>
      <c r="V12" s="2271"/>
      <c r="W12" s="2271"/>
      <c r="X12" s="2272"/>
      <c r="Y12" s="2270"/>
      <c r="Z12" s="2271"/>
      <c r="AA12" s="2271"/>
      <c r="AB12" s="2271"/>
      <c r="AC12" s="2272"/>
      <c r="AD12" s="2270"/>
      <c r="AE12" s="2271"/>
      <c r="AF12" s="2271"/>
      <c r="AG12" s="2271"/>
      <c r="AH12" s="2272"/>
      <c r="AI12" s="2270"/>
      <c r="AJ12" s="2271"/>
      <c r="AK12" s="2271"/>
      <c r="AL12" s="2271"/>
      <c r="AM12" s="2272"/>
    </row>
    <row r="13" spans="1:40" ht="12.75">
      <c r="B13" s="11"/>
      <c r="C13" s="2276" t="s">
        <v>1876</v>
      </c>
      <c r="D13" s="2277"/>
      <c r="E13" s="2277"/>
      <c r="F13" s="2277"/>
      <c r="G13" s="2277"/>
      <c r="H13" s="2277"/>
      <c r="I13" s="2277"/>
      <c r="J13" s="2277"/>
      <c r="K13" s="2277"/>
      <c r="L13" s="2277"/>
      <c r="M13" s="2277"/>
      <c r="N13" s="2277"/>
      <c r="O13" s="2277"/>
      <c r="P13" s="2277"/>
      <c r="Q13" s="2277"/>
      <c r="R13" s="2277"/>
      <c r="S13" s="2278"/>
      <c r="T13" s="2269">
        <f>'Basis &amp; Credits'!T13</f>
        <v>0</v>
      </c>
      <c r="U13" s="2266"/>
      <c r="V13" s="2266"/>
      <c r="W13" s="2266"/>
      <c r="X13" s="2266"/>
      <c r="Y13" s="2269">
        <f>'Basis &amp; Credits'!Y13</f>
        <v>0</v>
      </c>
      <c r="Z13" s="2266"/>
      <c r="AA13" s="2266"/>
      <c r="AB13" s="2266"/>
      <c r="AC13" s="2266"/>
      <c r="AD13" s="2266">
        <f>'Basis &amp; Credits'!AD13</f>
        <v>0</v>
      </c>
      <c r="AE13" s="2266"/>
      <c r="AF13" s="2266"/>
      <c r="AG13" s="2266"/>
      <c r="AH13" s="2266"/>
      <c r="AI13" s="2266">
        <f>'Basis &amp; Credits'!AI13</f>
        <v>0</v>
      </c>
      <c r="AJ13" s="2266"/>
      <c r="AK13" s="2266"/>
      <c r="AL13" s="2266"/>
      <c r="AM13" s="2266"/>
    </row>
    <row r="14" spans="1:40" ht="12.75">
      <c r="B14" s="11"/>
      <c r="C14" s="2277" t="s">
        <v>833</v>
      </c>
      <c r="D14" s="2277"/>
      <c r="E14" s="2277"/>
      <c r="F14" s="2277"/>
      <c r="G14" s="2277"/>
      <c r="H14" s="2277"/>
      <c r="I14" s="2277"/>
      <c r="J14" s="2277"/>
      <c r="K14" s="2277"/>
      <c r="L14" s="2277"/>
      <c r="M14" s="2277"/>
      <c r="N14" s="2277"/>
      <c r="O14" s="2277"/>
      <c r="P14" s="2277"/>
      <c r="Q14" s="2277"/>
      <c r="R14" s="2277"/>
      <c r="S14" s="2278"/>
      <c r="T14" s="1662">
        <f>'Basis &amp; Credits'!T14</f>
        <v>0</v>
      </c>
      <c r="U14" s="1757"/>
      <c r="V14" s="1757"/>
      <c r="W14" s="1757"/>
      <c r="X14" s="1757"/>
      <c r="Y14" s="1662">
        <f>'Basis &amp; Credits'!Y14</f>
        <v>0</v>
      </c>
      <c r="Z14" s="1757"/>
      <c r="AA14" s="1757"/>
      <c r="AB14" s="1757"/>
      <c r="AC14" s="1757"/>
      <c r="AD14" s="1757">
        <f>'Basis &amp; Credits'!AD14</f>
        <v>0</v>
      </c>
      <c r="AE14" s="1757"/>
      <c r="AF14" s="1757"/>
      <c r="AG14" s="1757"/>
      <c r="AH14" s="1757"/>
      <c r="AI14" s="1757">
        <f>'Basis &amp; Credits'!AI14</f>
        <v>0</v>
      </c>
      <c r="AJ14" s="1757"/>
      <c r="AK14" s="1757"/>
      <c r="AL14" s="1757"/>
      <c r="AM14" s="1757"/>
    </row>
    <row r="15" spans="1:40" ht="12.75">
      <c r="B15" s="11"/>
      <c r="C15" s="2277" t="s">
        <v>834</v>
      </c>
      <c r="D15" s="2277"/>
      <c r="E15" s="2277"/>
      <c r="F15" s="2277"/>
      <c r="G15" s="2277"/>
      <c r="H15" s="2277"/>
      <c r="I15" s="2277"/>
      <c r="J15" s="2277"/>
      <c r="K15" s="2277"/>
      <c r="L15" s="2277"/>
      <c r="M15" s="2277"/>
      <c r="N15" s="2277"/>
      <c r="O15" s="2277"/>
      <c r="P15" s="2277"/>
      <c r="Q15" s="2277"/>
      <c r="R15" s="2277"/>
      <c r="S15" s="2278"/>
      <c r="T15" s="1662">
        <f>'Basis &amp; Credits'!T15</f>
        <v>0</v>
      </c>
      <c r="U15" s="1757"/>
      <c r="V15" s="1757"/>
      <c r="W15" s="1757"/>
      <c r="X15" s="1757"/>
      <c r="Y15" s="1662">
        <f>'Basis &amp; Credits'!Y15</f>
        <v>0</v>
      </c>
      <c r="Z15" s="1757"/>
      <c r="AA15" s="1757"/>
      <c r="AB15" s="1757"/>
      <c r="AC15" s="1757"/>
      <c r="AD15" s="1757">
        <f>'Basis &amp; Credits'!AD15</f>
        <v>0</v>
      </c>
      <c r="AE15" s="1757"/>
      <c r="AF15" s="1757"/>
      <c r="AG15" s="1757"/>
      <c r="AH15" s="1757"/>
      <c r="AI15" s="1757">
        <f>'Basis &amp; Credits'!AI15</f>
        <v>0</v>
      </c>
      <c r="AJ15" s="1757"/>
      <c r="AK15" s="1757"/>
      <c r="AL15" s="1757"/>
      <c r="AM15" s="1757"/>
    </row>
    <row r="16" spans="1:40" ht="12.75">
      <c r="B16" s="11"/>
      <c r="C16" s="2276" t="s">
        <v>1096</v>
      </c>
      <c r="D16" s="2276"/>
      <c r="E16" s="2276"/>
      <c r="F16" s="2276"/>
      <c r="G16" s="2276"/>
      <c r="H16" s="2276"/>
      <c r="I16" s="2276"/>
      <c r="J16" s="2276"/>
      <c r="K16" s="2276"/>
      <c r="L16" s="2276"/>
      <c r="M16" s="2276"/>
      <c r="N16" s="2276"/>
      <c r="O16" s="2276"/>
      <c r="P16" s="2276"/>
      <c r="Q16" s="2276"/>
      <c r="R16" s="2276"/>
      <c r="S16" s="2279"/>
      <c r="T16" s="1662">
        <f>'Basis &amp; Credits'!T16</f>
        <v>117549</v>
      </c>
      <c r="U16" s="1757"/>
      <c r="V16" s="1757"/>
      <c r="W16" s="1757"/>
      <c r="X16" s="1757"/>
      <c r="Y16" s="1662">
        <f>'Basis &amp; Credits'!Y16</f>
        <v>0</v>
      </c>
      <c r="Z16" s="1757"/>
      <c r="AA16" s="1757"/>
      <c r="AB16" s="1757"/>
      <c r="AC16" s="1757"/>
      <c r="AD16" s="1757">
        <f>'Basis &amp; Credits'!AD16</f>
        <v>0</v>
      </c>
      <c r="AE16" s="1757"/>
      <c r="AF16" s="1757"/>
      <c r="AG16" s="1757"/>
      <c r="AH16" s="1757"/>
      <c r="AI16" s="1757">
        <f>'Basis &amp; Credits'!AI16</f>
        <v>0</v>
      </c>
      <c r="AJ16" s="1757"/>
      <c r="AK16" s="1757"/>
      <c r="AL16" s="1757"/>
      <c r="AM16" s="1757"/>
    </row>
    <row r="17" spans="1:39" ht="12.75">
      <c r="B17" s="11"/>
      <c r="C17" s="2277" t="s">
        <v>835</v>
      </c>
      <c r="D17" s="2277"/>
      <c r="E17" s="2277"/>
      <c r="F17" s="2277"/>
      <c r="G17" s="2277"/>
      <c r="H17" s="2277"/>
      <c r="I17" s="2277"/>
      <c r="J17" s="2277"/>
      <c r="K17" s="2277"/>
      <c r="L17" s="2277"/>
      <c r="M17" s="2277"/>
      <c r="N17" s="2277"/>
      <c r="O17" s="2277"/>
      <c r="P17" s="2277"/>
      <c r="Q17" s="2277"/>
      <c r="R17" s="2277"/>
      <c r="S17" s="2278"/>
      <c r="T17" s="1662">
        <f>'Basis &amp; Credits'!T17</f>
        <v>0</v>
      </c>
      <c r="U17" s="1757"/>
      <c r="V17" s="1757"/>
      <c r="W17" s="1757"/>
      <c r="X17" s="1757"/>
      <c r="Y17" s="1662">
        <f>'Basis &amp; Credits'!Y17</f>
        <v>0</v>
      </c>
      <c r="Z17" s="1757"/>
      <c r="AA17" s="1757"/>
      <c r="AB17" s="1757"/>
      <c r="AC17" s="1757"/>
      <c r="AD17" s="1757">
        <f>'Basis &amp; Credits'!AD17</f>
        <v>0</v>
      </c>
      <c r="AE17" s="1757"/>
      <c r="AF17" s="1757"/>
      <c r="AG17" s="1757"/>
      <c r="AH17" s="1757"/>
      <c r="AI17" s="1757">
        <f>'Basis &amp; Credits'!AI17</f>
        <v>0</v>
      </c>
      <c r="AJ17" s="1757"/>
      <c r="AK17" s="1757"/>
      <c r="AL17" s="1757"/>
      <c r="AM17" s="1757"/>
    </row>
    <row r="18" spans="1:39" ht="12.75">
      <c r="B18" s="903"/>
      <c r="C18" s="2276" t="s">
        <v>1486</v>
      </c>
      <c r="D18" s="2277"/>
      <c r="E18" s="2277"/>
      <c r="F18" s="2277"/>
      <c r="G18" s="2277"/>
      <c r="H18" s="2277"/>
      <c r="I18" s="2277"/>
      <c r="J18" s="2277"/>
      <c r="K18" s="2277"/>
      <c r="L18" s="2277"/>
      <c r="M18" s="2277"/>
      <c r="N18" s="2277"/>
      <c r="O18" s="2277"/>
      <c r="P18" s="2277"/>
      <c r="Q18" s="2277"/>
      <c r="R18" s="2277"/>
      <c r="S18" s="2278"/>
      <c r="T18" s="1660">
        <f>'Basis &amp; Credits'!T18</f>
        <v>0</v>
      </c>
      <c r="U18" s="1661"/>
      <c r="V18" s="1661"/>
      <c r="W18" s="1661"/>
      <c r="X18" s="1662"/>
      <c r="Y18" s="1662">
        <f>'Basis &amp; Credits'!Y18</f>
        <v>0</v>
      </c>
      <c r="Z18" s="1757"/>
      <c r="AA18" s="1757"/>
      <c r="AB18" s="1757"/>
      <c r="AC18" s="1757"/>
      <c r="AD18" s="1757">
        <f>'Basis &amp; Credits'!AD18</f>
        <v>0</v>
      </c>
      <c r="AE18" s="1757"/>
      <c r="AF18" s="1757"/>
      <c r="AG18" s="1757"/>
      <c r="AH18" s="1757"/>
      <c r="AI18" s="1757">
        <f>'Basis &amp; Credits'!AI18</f>
        <v>0</v>
      </c>
      <c r="AJ18" s="1757"/>
      <c r="AK18" s="1757"/>
      <c r="AL18" s="1757"/>
      <c r="AM18" s="1757"/>
    </row>
    <row r="19" spans="1:39" ht="12.75">
      <c r="B19" s="745"/>
      <c r="C19" s="1673" t="str">
        <f>'Basis &amp; Credits'!C19:S19</f>
        <v>Subtract (specify other ineligible amounts):</v>
      </c>
      <c r="D19" s="1673"/>
      <c r="E19" s="1673"/>
      <c r="F19" s="1673"/>
      <c r="G19" s="1673"/>
      <c r="H19" s="1673"/>
      <c r="I19" s="1673"/>
      <c r="J19" s="1673"/>
      <c r="K19" s="1673"/>
      <c r="L19" s="1673"/>
      <c r="M19" s="1673"/>
      <c r="N19" s="1673"/>
      <c r="O19" s="1673"/>
      <c r="P19" s="1673"/>
      <c r="Q19" s="1673"/>
      <c r="R19" s="1673"/>
      <c r="S19" s="1674"/>
      <c r="T19" s="1662">
        <f>'Basis &amp; Credits'!T19</f>
        <v>0</v>
      </c>
      <c r="U19" s="1757"/>
      <c r="V19" s="1757"/>
      <c r="W19" s="1757"/>
      <c r="X19" s="1757"/>
      <c r="Y19" s="1662">
        <f>'Basis &amp; Credits'!Y19</f>
        <v>0</v>
      </c>
      <c r="Z19" s="1757"/>
      <c r="AA19" s="1757"/>
      <c r="AB19" s="1757"/>
      <c r="AC19" s="1757"/>
      <c r="AD19" s="1757">
        <f>'Basis &amp; Credits'!AD19</f>
        <v>0</v>
      </c>
      <c r="AE19" s="1757"/>
      <c r="AF19" s="1757"/>
      <c r="AG19" s="1757"/>
      <c r="AH19" s="1757"/>
      <c r="AI19" s="1757">
        <f>'Basis &amp; Credits'!AI19</f>
        <v>0</v>
      </c>
      <c r="AJ19" s="1757"/>
      <c r="AK19" s="1757"/>
      <c r="AL19" s="1757"/>
      <c r="AM19" s="1757"/>
    </row>
    <row r="20" spans="1:39" ht="12.75">
      <c r="B20" s="2240" t="s">
        <v>836</v>
      </c>
      <c r="C20" s="2241"/>
      <c r="D20" s="2241"/>
      <c r="E20" s="2241"/>
      <c r="F20" s="2241"/>
      <c r="G20" s="2241"/>
      <c r="H20" s="2241"/>
      <c r="I20" s="2241"/>
      <c r="J20" s="2241"/>
      <c r="K20" s="2241"/>
      <c r="L20" s="2241"/>
      <c r="M20" s="2241"/>
      <c r="N20" s="2241"/>
      <c r="O20" s="2241"/>
      <c r="P20" s="2241"/>
      <c r="Q20" s="2241"/>
      <c r="R20" s="2241"/>
      <c r="S20" s="2242"/>
      <c r="T20" s="2235">
        <f>SUM(T13:X19)</f>
        <v>117549</v>
      </c>
      <c r="U20" s="2236"/>
      <c r="V20" s="2236"/>
      <c r="W20" s="2236"/>
      <c r="X20" s="2236"/>
      <c r="Y20" s="2235">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40" t="s">
        <v>1875</v>
      </c>
      <c r="C21" s="2241"/>
      <c r="D21" s="2241"/>
      <c r="E21" s="2241"/>
      <c r="F21" s="2241"/>
      <c r="G21" s="2241"/>
      <c r="H21" s="2241"/>
      <c r="I21" s="2241"/>
      <c r="J21" s="2241"/>
      <c r="K21" s="2241"/>
      <c r="L21" s="2241"/>
      <c r="M21" s="2241"/>
      <c r="N21" s="2241"/>
      <c r="O21" s="2241"/>
      <c r="P21" s="2241"/>
      <c r="Q21" s="2241"/>
      <c r="R21" s="2241"/>
      <c r="S21" s="2242"/>
      <c r="T21" s="1662">
        <f>'Basis &amp; Credits'!E21</f>
        <v>0</v>
      </c>
      <c r="U21" s="1757"/>
      <c r="V21" s="1757"/>
      <c r="W21" s="1757"/>
      <c r="X21" s="1757"/>
      <c r="Y21" s="1662">
        <f>'Basis &amp; Credits'!J21</f>
        <v>0</v>
      </c>
      <c r="Z21" s="1757"/>
      <c r="AA21" s="1757"/>
      <c r="AB21" s="1757"/>
      <c r="AC21" s="1757"/>
      <c r="AD21" s="1757">
        <f>'Basis &amp; Credits'!O21</f>
        <v>0</v>
      </c>
      <c r="AE21" s="1757"/>
      <c r="AF21" s="1757"/>
      <c r="AG21" s="1757"/>
      <c r="AH21" s="1757"/>
      <c r="AI21" s="1757">
        <f>'Basis &amp; Credits'!T21</f>
        <v>2549245</v>
      </c>
      <c r="AJ21" s="1757"/>
      <c r="AK21" s="1757"/>
      <c r="AL21" s="1757"/>
      <c r="AM21" s="1757"/>
    </row>
    <row r="22" spans="1:39" ht="12.75">
      <c r="B22" s="2240" t="s">
        <v>837</v>
      </c>
      <c r="C22" s="2241"/>
      <c r="D22" s="2241"/>
      <c r="E22" s="2241"/>
      <c r="F22" s="2241"/>
      <c r="G22" s="2241"/>
      <c r="H22" s="2241"/>
      <c r="I22" s="2241"/>
      <c r="J22" s="2241"/>
      <c r="K22" s="2241"/>
      <c r="L22" s="2241"/>
      <c r="M22" s="2241"/>
      <c r="N22" s="2241"/>
      <c r="O22" s="2241"/>
      <c r="P22" s="2241"/>
      <c r="Q22" s="2241"/>
      <c r="R22" s="2241"/>
      <c r="S22" s="2242"/>
      <c r="T22" s="2281">
        <f>(T20+T21)*-1</f>
        <v>-117549</v>
      </c>
      <c r="U22" s="2282"/>
      <c r="V22" s="2282"/>
      <c r="W22" s="2282"/>
      <c r="X22" s="2282"/>
      <c r="Y22" s="2281">
        <f>(Y20+Y21)*-1</f>
        <v>0</v>
      </c>
      <c r="Z22" s="2282"/>
      <c r="AA22" s="2282"/>
      <c r="AB22" s="2282"/>
      <c r="AC22" s="2282"/>
      <c r="AD22" s="2281">
        <f>(AD20+AD21)*-1</f>
        <v>0</v>
      </c>
      <c r="AE22" s="2282"/>
      <c r="AF22" s="2282"/>
      <c r="AG22" s="2282"/>
      <c r="AH22" s="2282"/>
      <c r="AI22" s="2281">
        <f>(AI20+AI21)*-1</f>
        <v>-2549245</v>
      </c>
      <c r="AJ22" s="2282"/>
      <c r="AK22" s="2282"/>
      <c r="AL22" s="2282"/>
      <c r="AM22" s="2282"/>
    </row>
    <row r="23" spans="1:39" ht="12.75">
      <c r="A23" s="2"/>
      <c r="B23" s="2300" t="s">
        <v>838</v>
      </c>
      <c r="C23" s="2301"/>
      <c r="D23" s="2301"/>
      <c r="E23" s="2301"/>
      <c r="F23" s="2301"/>
      <c r="G23" s="2301"/>
      <c r="H23" s="2301"/>
      <c r="I23" s="2301"/>
      <c r="J23" s="2301"/>
      <c r="K23" s="2301"/>
      <c r="L23" s="2301"/>
      <c r="M23" s="2301"/>
      <c r="N23" s="2301"/>
      <c r="O23" s="2301"/>
      <c r="P23" s="2301"/>
      <c r="Q23" s="2301"/>
      <c r="R23" s="2301"/>
      <c r="S23" s="2302"/>
      <c r="T23" s="2235">
        <f>T11+T22</f>
        <v>23749295</v>
      </c>
      <c r="U23" s="2236"/>
      <c r="V23" s="2236"/>
      <c r="W23" s="2236"/>
      <c r="X23" s="2236"/>
      <c r="Y23" s="2235">
        <f>Y11+Y22</f>
        <v>0</v>
      </c>
      <c r="Z23" s="2236"/>
      <c r="AA23" s="2236"/>
      <c r="AB23" s="2236"/>
      <c r="AC23" s="2236"/>
      <c r="AD23" s="2235">
        <f>AD11+AD22</f>
        <v>0</v>
      </c>
      <c r="AE23" s="2236"/>
      <c r="AF23" s="2236"/>
      <c r="AG23" s="2236"/>
      <c r="AH23" s="2236"/>
      <c r="AI23" s="2235">
        <f>AI11+AI22</f>
        <v>-2549245</v>
      </c>
      <c r="AJ23" s="2236"/>
      <c r="AK23" s="2236"/>
      <c r="AL23" s="2236"/>
      <c r="AM23" s="2236"/>
    </row>
    <row r="24" spans="1:39" ht="12.75">
      <c r="B24" s="2240" t="s">
        <v>1318</v>
      </c>
      <c r="C24" s="2241"/>
      <c r="D24" s="2241"/>
      <c r="E24" s="2241"/>
      <c r="F24" s="2241"/>
      <c r="G24" s="2241"/>
      <c r="H24" s="2241"/>
      <c r="I24" s="2241"/>
      <c r="J24" s="2241"/>
      <c r="K24" s="2241"/>
      <c r="L24" s="2241"/>
      <c r="M24" s="2241"/>
      <c r="N24" s="2241"/>
      <c r="O24" s="2241"/>
      <c r="P24" s="2241"/>
      <c r="Q24" s="2241"/>
      <c r="R24" s="2241"/>
      <c r="S24" s="2242"/>
      <c r="T24" s="2303">
        <f>Application!AD993</f>
        <v>0</v>
      </c>
      <c r="U24" s="2304"/>
      <c r="V24" s="2304"/>
      <c r="W24" s="2304"/>
      <c r="X24" s="2304"/>
      <c r="Y24" s="2304"/>
      <c r="Z24" s="2304"/>
      <c r="AA24" s="2304"/>
      <c r="AB24" s="2304"/>
      <c r="AC24" s="2304"/>
      <c r="AD24" s="2304"/>
      <c r="AE24" s="2304"/>
      <c r="AF24" s="2304"/>
      <c r="AG24" s="2304"/>
      <c r="AH24" s="2304"/>
      <c r="AI24" s="2304"/>
      <c r="AJ24" s="2304"/>
      <c r="AK24" s="2304"/>
      <c r="AL24" s="2304"/>
      <c r="AM24" s="2235"/>
    </row>
    <row r="25" spans="1:39" ht="12.75">
      <c r="B25" s="2294" t="s">
        <v>1913</v>
      </c>
      <c r="C25" s="2295"/>
      <c r="D25" s="2295"/>
      <c r="E25" s="2295"/>
      <c r="F25" s="2295"/>
      <c r="G25" s="2295"/>
      <c r="H25" s="2295"/>
      <c r="I25" s="2295"/>
      <c r="J25" s="2295"/>
      <c r="K25" s="2295"/>
      <c r="L25" s="2295"/>
      <c r="M25" s="2295"/>
      <c r="N25" s="2295"/>
      <c r="O25" s="2295"/>
      <c r="P25" s="2295"/>
      <c r="Q25" s="2295"/>
      <c r="R25" s="2295"/>
      <c r="S25" s="2296"/>
      <c r="T25" s="2287">
        <v>1</v>
      </c>
      <c r="U25" s="2288"/>
      <c r="V25" s="2288"/>
      <c r="W25" s="2288"/>
      <c r="X25" s="2289"/>
      <c r="Y25" s="2287">
        <v>1</v>
      </c>
      <c r="Z25" s="2288"/>
      <c r="AA25" s="2288"/>
      <c r="AB25" s="2288"/>
      <c r="AC25" s="2289"/>
      <c r="AD25" s="2287">
        <v>1</v>
      </c>
      <c r="AE25" s="2288"/>
      <c r="AF25" s="2288"/>
      <c r="AG25" s="2288"/>
      <c r="AH25" s="2289"/>
      <c r="AI25" s="2287">
        <v>1</v>
      </c>
      <c r="AJ25" s="2288"/>
      <c r="AK25" s="2288"/>
      <c r="AL25" s="2288"/>
      <c r="AM25" s="2289"/>
    </row>
    <row r="26" spans="1:39" ht="12.75">
      <c r="B26" s="2240" t="s">
        <v>839</v>
      </c>
      <c r="C26" s="2241"/>
      <c r="D26" s="2241"/>
      <c r="E26" s="2241"/>
      <c r="F26" s="2241"/>
      <c r="G26" s="2241"/>
      <c r="H26" s="2241"/>
      <c r="I26" s="2241"/>
      <c r="J26" s="2241"/>
      <c r="K26" s="2241"/>
      <c r="L26" s="2241"/>
      <c r="M26" s="2241"/>
      <c r="N26" s="2241"/>
      <c r="O26" s="2241"/>
      <c r="P26" s="2241"/>
      <c r="Q26" s="2241"/>
      <c r="R26" s="2241"/>
      <c r="S26" s="2242"/>
      <c r="T26" s="2290">
        <f>T23*T25</f>
        <v>23749295</v>
      </c>
      <c r="U26" s="2291"/>
      <c r="V26" s="2291"/>
      <c r="W26" s="2291"/>
      <c r="X26" s="2291"/>
      <c r="Y26" s="2290">
        <f>Y23*Y25</f>
        <v>0</v>
      </c>
      <c r="Z26" s="2291"/>
      <c r="AA26" s="2291"/>
      <c r="AB26" s="2291"/>
      <c r="AC26" s="2291"/>
      <c r="AD26" s="2290">
        <f>AD23*AD25</f>
        <v>0</v>
      </c>
      <c r="AE26" s="2291"/>
      <c r="AF26" s="2291"/>
      <c r="AG26" s="2291"/>
      <c r="AH26" s="2291"/>
      <c r="AI26" s="2290">
        <f>AI23*AI25</f>
        <v>-2549245</v>
      </c>
      <c r="AJ26" s="2291"/>
      <c r="AK26" s="2291"/>
      <c r="AL26" s="2291"/>
      <c r="AM26" s="2291"/>
    </row>
    <row r="27" spans="1:39" ht="12.75">
      <c r="A27" s="7"/>
      <c r="B27" s="2297" t="s">
        <v>957</v>
      </c>
      <c r="C27" s="2298"/>
      <c r="D27" s="2298"/>
      <c r="E27" s="2298"/>
      <c r="F27" s="2298"/>
      <c r="G27" s="2298"/>
      <c r="H27" s="2298"/>
      <c r="I27" s="2298"/>
      <c r="J27" s="2298"/>
      <c r="K27" s="2298"/>
      <c r="L27" s="2298"/>
      <c r="M27" s="2298"/>
      <c r="N27" s="2298"/>
      <c r="O27" s="2298"/>
      <c r="P27" s="2298"/>
      <c r="Q27" s="2298"/>
      <c r="R27" s="2298"/>
      <c r="S27" s="2299"/>
      <c r="T27" s="2285">
        <f>Application!AG438</f>
        <v>1</v>
      </c>
      <c r="U27" s="2286"/>
      <c r="V27" s="2286"/>
      <c r="W27" s="2286"/>
      <c r="X27" s="2286"/>
      <c r="Y27" s="2285">
        <f>Application!AG438</f>
        <v>1</v>
      </c>
      <c r="Z27" s="2286"/>
      <c r="AA27" s="2286"/>
      <c r="AB27" s="2286"/>
      <c r="AC27" s="2286"/>
      <c r="AD27" s="2285">
        <f>Application!AG438</f>
        <v>1</v>
      </c>
      <c r="AE27" s="2286"/>
      <c r="AF27" s="2286"/>
      <c r="AG27" s="2286"/>
      <c r="AH27" s="2286"/>
      <c r="AI27" s="2285">
        <f>Application!AG438</f>
        <v>1</v>
      </c>
      <c r="AJ27" s="2286"/>
      <c r="AK27" s="2286"/>
      <c r="AL27" s="2286"/>
      <c r="AM27" s="2286"/>
    </row>
    <row r="28" spans="1:39" ht="12.75" customHeight="1">
      <c r="A28" s="6"/>
      <c r="B28" s="2240" t="s">
        <v>917</v>
      </c>
      <c r="C28" s="2241"/>
      <c r="D28" s="2241"/>
      <c r="E28" s="2241"/>
      <c r="F28" s="2241"/>
      <c r="G28" s="2241"/>
      <c r="H28" s="2241"/>
      <c r="I28" s="2241"/>
      <c r="J28" s="2241"/>
      <c r="K28" s="2241"/>
      <c r="L28" s="2241"/>
      <c r="M28" s="2241"/>
      <c r="N28" s="2241"/>
      <c r="O28" s="2241"/>
      <c r="P28" s="2241"/>
      <c r="Q28" s="2241"/>
      <c r="R28" s="2241"/>
      <c r="S28" s="2242"/>
      <c r="T28" s="1817">
        <f>IF(ISERROR((T26*T27)),0,(T26*T27))</f>
        <v>23749295</v>
      </c>
      <c r="U28" s="2257"/>
      <c r="V28" s="2257"/>
      <c r="W28" s="2257"/>
      <c r="X28" s="2257"/>
      <c r="Y28" s="1817">
        <f>IF(ISERROR((Y26*Y27)),0,(Y26*Y27))</f>
        <v>0</v>
      </c>
      <c r="Z28" s="2257"/>
      <c r="AA28" s="2257"/>
      <c r="AB28" s="2257"/>
      <c r="AC28" s="2257"/>
      <c r="AD28" s="1817">
        <f>IF(ISERROR((AD26*AD27)),0,(AD26*AD27))</f>
        <v>0</v>
      </c>
      <c r="AE28" s="2257"/>
      <c r="AF28" s="2257"/>
      <c r="AG28" s="2257"/>
      <c r="AH28" s="2257"/>
      <c r="AI28" s="1817">
        <f>IF(ISERROR((AI26*AI27)),0,(AI26*AI27))</f>
        <v>-2549245</v>
      </c>
      <c r="AJ28" s="2257"/>
      <c r="AK28" s="2257"/>
      <c r="AL28" s="2257"/>
      <c r="AM28" s="2257"/>
    </row>
    <row r="29" spans="1:39" ht="12.75">
      <c r="B29" s="2240" t="s">
        <v>685</v>
      </c>
      <c r="C29" s="2241"/>
      <c r="D29" s="2241"/>
      <c r="E29" s="2241"/>
      <c r="F29" s="2241"/>
      <c r="G29" s="2241"/>
      <c r="H29" s="2241"/>
      <c r="I29" s="2241"/>
      <c r="J29" s="2241"/>
      <c r="K29" s="2241"/>
      <c r="L29" s="2241"/>
      <c r="M29" s="2241"/>
      <c r="N29" s="2241"/>
      <c r="O29" s="2241"/>
      <c r="P29" s="2241"/>
      <c r="Q29" s="2241"/>
      <c r="R29" s="2241"/>
      <c r="S29" s="2242"/>
      <c r="T29" s="2303">
        <f>T28+Y28+AD28+AI28</f>
        <v>21200050</v>
      </c>
      <c r="U29" s="2304"/>
      <c r="V29" s="2304"/>
      <c r="W29" s="2304"/>
      <c r="X29" s="2304"/>
      <c r="Y29" s="2304"/>
      <c r="Z29" s="2304"/>
      <c r="AA29" s="2304"/>
      <c r="AB29" s="2304"/>
      <c r="AC29" s="2304"/>
      <c r="AD29" s="2304"/>
      <c r="AE29" s="2304"/>
      <c r="AF29" s="2304"/>
      <c r="AG29" s="2304"/>
      <c r="AH29" s="2304"/>
      <c r="AI29" s="2304"/>
      <c r="AJ29" s="2304"/>
      <c r="AK29" s="2304"/>
      <c r="AL29" s="2304"/>
      <c r="AM29" s="2235"/>
    </row>
    <row r="30" spans="1:39" ht="12.75" customHeight="1">
      <c r="B30" s="2673"/>
      <c r="C30" s="2673"/>
      <c r="D30" s="2673"/>
      <c r="E30" s="2673"/>
      <c r="F30" s="2673"/>
      <c r="G30" s="2673"/>
      <c r="H30" s="2673"/>
      <c r="I30" s="2673"/>
      <c r="J30" s="2673"/>
      <c r="K30" s="2673"/>
      <c r="L30" s="2673"/>
      <c r="M30" s="2673"/>
      <c r="N30" s="2673"/>
      <c r="O30" s="2673"/>
      <c r="P30" s="2673"/>
      <c r="Q30" s="2673"/>
      <c r="R30" s="2673"/>
      <c r="S30" s="2673"/>
      <c r="T30" s="2673"/>
      <c r="U30" s="2673"/>
      <c r="V30" s="2673"/>
      <c r="W30" s="2673"/>
      <c r="X30" s="2673"/>
      <c r="Y30" s="2673"/>
      <c r="Z30" s="2673"/>
      <c r="AA30" s="2673"/>
      <c r="AB30" s="2673"/>
      <c r="AC30" s="2673"/>
      <c r="AD30" s="2673"/>
      <c r="AE30" s="2673"/>
      <c r="AF30" s="2673"/>
      <c r="AG30" s="2673"/>
      <c r="AH30" s="2673"/>
      <c r="AI30" s="2673"/>
      <c r="AJ30" s="2673"/>
      <c r="AK30" s="2673"/>
      <c r="AL30" s="2673"/>
      <c r="AM30" s="267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3" t="s">
        <v>1758</v>
      </c>
      <c r="Z35" s="2243"/>
      <c r="AA35" s="2243"/>
      <c r="AB35" s="2243"/>
      <c r="AC35" s="2243"/>
      <c r="AD35" s="2225" t="s">
        <v>46</v>
      </c>
      <c r="AE35" s="2225"/>
      <c r="AF35" s="2225"/>
      <c r="AG35" s="2225"/>
      <c r="AH35" s="222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3"/>
      <c r="Z36" s="2243"/>
      <c r="AA36" s="2243"/>
      <c r="AB36" s="2243"/>
      <c r="AC36" s="2243"/>
      <c r="AD36" s="2225"/>
      <c r="AE36" s="2225"/>
      <c r="AF36" s="2225"/>
      <c r="AG36" s="2225"/>
      <c r="AH36" s="222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3"/>
      <c r="Z37" s="2243"/>
      <c r="AA37" s="2243"/>
      <c r="AB37" s="2243"/>
      <c r="AC37" s="2243"/>
      <c r="AD37" s="2225"/>
      <c r="AE37" s="2225"/>
      <c r="AF37" s="2225"/>
      <c r="AG37" s="2225"/>
      <c r="AH37" s="2225"/>
    </row>
    <row r="38" spans="1:40" ht="12.75" customHeight="1">
      <c r="A38" s="6"/>
      <c r="B38" s="2240" t="s">
        <v>917</v>
      </c>
      <c r="C38" s="2241"/>
      <c r="D38" s="2241"/>
      <c r="E38" s="2241"/>
      <c r="F38" s="2241"/>
      <c r="G38" s="2241"/>
      <c r="H38" s="2241"/>
      <c r="I38" s="2241"/>
      <c r="J38" s="2241"/>
      <c r="K38" s="2241"/>
      <c r="L38" s="2241"/>
      <c r="M38" s="2241"/>
      <c r="N38" s="2241"/>
      <c r="O38" s="2241"/>
      <c r="P38" s="2241"/>
      <c r="Q38" s="2241"/>
      <c r="R38" s="2241"/>
      <c r="S38" s="2241"/>
      <c r="T38" s="2241"/>
      <c r="U38" s="2241"/>
      <c r="V38" s="2241"/>
      <c r="W38" s="2241"/>
      <c r="X38" s="2242"/>
      <c r="Y38" s="2236">
        <f>IF(T24&gt;=(T23+Y23+AD23+AI23),T28+Y28,0)</f>
        <v>0</v>
      </c>
      <c r="Z38" s="2236"/>
      <c r="AA38" s="2236"/>
      <c r="AB38" s="2236"/>
      <c r="AC38" s="2236"/>
      <c r="AD38" s="2236">
        <f>IF(T24&gt;=(T23+Y23+AD23+AI23),AD28+AI28,0)</f>
        <v>0</v>
      </c>
      <c r="AE38" s="2236"/>
      <c r="AF38" s="2236"/>
      <c r="AG38" s="2236"/>
      <c r="AH38" s="2236"/>
    </row>
    <row r="39" spans="1:40" ht="12.75">
      <c r="B39" s="2240" t="s">
        <v>829</v>
      </c>
      <c r="C39" s="2241"/>
      <c r="D39" s="2241"/>
      <c r="E39" s="2241"/>
      <c r="F39" s="2241"/>
      <c r="G39" s="2241"/>
      <c r="H39" s="2241"/>
      <c r="I39" s="2241"/>
      <c r="J39" s="2241"/>
      <c r="K39" s="2241"/>
      <c r="L39" s="2241"/>
      <c r="M39" s="2241"/>
      <c r="N39" s="2241"/>
      <c r="O39" s="2241"/>
      <c r="P39" s="2241"/>
      <c r="Q39" s="2241"/>
      <c r="R39" s="2241"/>
      <c r="S39" s="2241"/>
      <c r="T39" s="2241"/>
      <c r="U39" s="2241"/>
      <c r="V39" s="2241"/>
      <c r="W39" s="2241"/>
      <c r="X39" s="2242"/>
      <c r="Y39" s="2674">
        <v>0.09</v>
      </c>
      <c r="Z39" s="2674"/>
      <c r="AA39" s="2674"/>
      <c r="AB39" s="2674"/>
      <c r="AC39" s="2674"/>
      <c r="AD39" s="2674">
        <f>'Basis &amp; Credits'!AD39:AH39</f>
        <v>0.04</v>
      </c>
      <c r="AE39" s="2674"/>
      <c r="AF39" s="2674"/>
      <c r="AG39" s="2674"/>
      <c r="AH39" s="2674"/>
    </row>
    <row r="40" spans="1:40" ht="12.75" customHeight="1">
      <c r="A40" s="6"/>
      <c r="B40" s="2240" t="s">
        <v>26</v>
      </c>
      <c r="C40" s="2241"/>
      <c r="D40" s="2241"/>
      <c r="E40" s="2241"/>
      <c r="F40" s="2241"/>
      <c r="G40" s="2241"/>
      <c r="H40" s="2241"/>
      <c r="I40" s="2241"/>
      <c r="J40" s="2241"/>
      <c r="K40" s="2241"/>
      <c r="L40" s="2241"/>
      <c r="M40" s="2241"/>
      <c r="N40" s="2241"/>
      <c r="O40" s="2241"/>
      <c r="P40" s="2241"/>
      <c r="Q40" s="2241"/>
      <c r="R40" s="2241"/>
      <c r="S40" s="2241"/>
      <c r="T40" s="2241"/>
      <c r="U40" s="2241"/>
      <c r="V40" s="2241"/>
      <c r="W40" s="2241"/>
      <c r="X40" s="2242"/>
      <c r="Y40" s="2236">
        <f>ROUND(Y38*Y39,0)</f>
        <v>0</v>
      </c>
      <c r="Z40" s="2236"/>
      <c r="AA40" s="2236"/>
      <c r="AB40" s="2236"/>
      <c r="AC40" s="2236"/>
      <c r="AD40" s="2235">
        <f>ROUND(AD38*AD39,0)</f>
        <v>0</v>
      </c>
      <c r="AE40" s="2236"/>
      <c r="AF40" s="2236"/>
      <c r="AG40" s="2236"/>
      <c r="AH40" s="2236"/>
    </row>
    <row r="41" spans="1:40" ht="12.75">
      <c r="B41" s="2240" t="s">
        <v>679</v>
      </c>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2"/>
      <c r="Y41" s="2237">
        <f>IF((Y40+AD40)&gt;2500000,2500000,Y40+AD40)</f>
        <v>0</v>
      </c>
      <c r="Z41" s="2238"/>
      <c r="AA41" s="2238"/>
      <c r="AB41" s="2238"/>
      <c r="AC41" s="2238"/>
      <c r="AD41" s="2238"/>
      <c r="AE41" s="2238"/>
      <c r="AF41" s="2238"/>
      <c r="AG41" s="2238"/>
      <c r="AH41" s="2239"/>
    </row>
    <row r="42" spans="1:40" ht="12.75" customHeight="1">
      <c r="A42" s="6"/>
      <c r="B42" s="2256" t="s">
        <v>1257</v>
      </c>
      <c r="C42" s="2256"/>
      <c r="D42" s="2256"/>
      <c r="E42" s="2256"/>
      <c r="F42" s="2256"/>
      <c r="G42" s="2256"/>
      <c r="H42" s="2256"/>
      <c r="I42" s="2256"/>
      <c r="J42" s="2256"/>
      <c r="K42" s="2256"/>
      <c r="L42" s="2256"/>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31">
        <f>'Sources and Uses Budget'!B104-'Sources and Uses Budget'!$B$15</f>
        <v>35751101</v>
      </c>
      <c r="AC46" s="2232"/>
      <c r="AD46" s="2232"/>
      <c r="AE46" s="2232"/>
      <c r="AF46" s="2233"/>
    </row>
    <row r="47" spans="1:40" ht="12.75" customHeight="1">
      <c r="D47" s="6" t="s">
        <v>911</v>
      </c>
      <c r="AB47" s="2231">
        <f>Application!AG644-MIN('Sources and Uses Budget'!B15,Application!AG385)</f>
        <v>0</v>
      </c>
      <c r="AC47" s="2232"/>
      <c r="AD47" s="2232"/>
      <c r="AE47" s="2232"/>
      <c r="AF47" s="2233"/>
    </row>
    <row r="48" spans="1:40" ht="12.75">
      <c r="D48" s="6" t="s">
        <v>419</v>
      </c>
      <c r="AB48" s="2231">
        <f>AB46-AB47</f>
        <v>35751101</v>
      </c>
      <c r="AC48" s="2232"/>
      <c r="AD48" s="2232"/>
      <c r="AE48" s="2232"/>
      <c r="AF48" s="2233"/>
    </row>
    <row r="49" spans="1:40" ht="12.75">
      <c r="D49" s="6" t="s">
        <v>950</v>
      </c>
      <c r="X49" s="2"/>
      <c r="Y49" s="2"/>
      <c r="Z49" s="2"/>
      <c r="AA49" s="409"/>
      <c r="AB49" s="2250"/>
      <c r="AC49" s="2251"/>
      <c r="AD49" s="2251"/>
      <c r="AE49" s="2251"/>
      <c r="AF49" s="2252"/>
    </row>
    <row r="50" spans="1:40" s="497" customFormat="1" ht="15" customHeight="1">
      <c r="A50" s="2"/>
      <c r="B50" s="2"/>
      <c r="C50" s="2"/>
      <c r="D50" s="272"/>
      <c r="E50" s="2261" t="s">
        <v>1474</v>
      </c>
      <c r="F50" s="2261"/>
      <c r="G50" s="2261"/>
      <c r="H50" s="2261"/>
      <c r="I50" s="2261"/>
      <c r="J50" s="2261"/>
      <c r="K50" s="2261"/>
      <c r="L50" s="2261"/>
      <c r="M50" s="2261"/>
      <c r="N50" s="2261"/>
      <c r="O50" s="2261"/>
      <c r="P50" s="2261"/>
      <c r="Q50" s="2261"/>
      <c r="R50" s="2261"/>
      <c r="S50" s="2261"/>
      <c r="T50" s="2261"/>
      <c r="U50" s="2261"/>
      <c r="V50" s="2261"/>
      <c r="W50" s="2261"/>
      <c r="X50" s="2261"/>
      <c r="Y50" s="2261"/>
      <c r="Z50" s="2261"/>
      <c r="AA50" s="755"/>
      <c r="AB50" s="755"/>
      <c r="AC50" s="755"/>
      <c r="AD50" s="755"/>
      <c r="AE50" s="755"/>
      <c r="AF50" s="755"/>
      <c r="AG50" s="2"/>
      <c r="AH50" s="2"/>
      <c r="AI50" s="2"/>
      <c r="AJ50" s="2"/>
      <c r="AK50" s="2"/>
      <c r="AL50" s="2"/>
      <c r="AM50" s="2"/>
      <c r="AN50" s="2"/>
    </row>
    <row r="51" spans="1:40" s="497" customFormat="1" ht="12" customHeight="1">
      <c r="A51" s="2"/>
      <c r="B51" s="2"/>
      <c r="C51" s="2"/>
      <c r="D51" s="272"/>
      <c r="E51" s="2261"/>
      <c r="F51" s="2261"/>
      <c r="G51" s="2261"/>
      <c r="H51" s="2261"/>
      <c r="I51" s="2261"/>
      <c r="J51" s="2261"/>
      <c r="K51" s="2261"/>
      <c r="L51" s="2261"/>
      <c r="M51" s="2261"/>
      <c r="N51" s="2261"/>
      <c r="O51" s="2261"/>
      <c r="P51" s="2261"/>
      <c r="Q51" s="2261"/>
      <c r="R51" s="2261"/>
      <c r="S51" s="2261"/>
      <c r="T51" s="2261"/>
      <c r="U51" s="2261"/>
      <c r="V51" s="2261"/>
      <c r="W51" s="2261"/>
      <c r="X51" s="2261"/>
      <c r="Y51" s="2261"/>
      <c r="Z51" s="226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1">
        <f>ROUND(IF(ISERROR((AB48/AB49)),0,(AB48/AB49)),0)</f>
        <v>0</v>
      </c>
      <c r="AC53" s="2232"/>
      <c r="AD53" s="2232"/>
      <c r="AE53" s="2232"/>
      <c r="AF53" s="2233"/>
    </row>
    <row r="54" spans="1:40" ht="12.75" customHeight="1">
      <c r="D54" s="6" t="s">
        <v>618</v>
      </c>
      <c r="AB54" s="2231">
        <f>(AB53/10)</f>
        <v>0</v>
      </c>
      <c r="AC54" s="2232"/>
      <c r="AD54" s="2232"/>
      <c r="AE54" s="2232"/>
      <c r="AF54" s="2233"/>
    </row>
    <row r="55" spans="1:40" ht="12.75">
      <c r="D55" s="6" t="s">
        <v>378</v>
      </c>
      <c r="AB55" s="2258">
        <f>(IF((Y41&lt;AB54),Y41,AB54))</f>
        <v>0</v>
      </c>
      <c r="AC55" s="2259"/>
      <c r="AD55" s="2259"/>
      <c r="AE55" s="2259"/>
      <c r="AF55" s="2260"/>
    </row>
    <row r="56" spans="1:40" ht="12.75">
      <c r="D56" s="6" t="s">
        <v>118</v>
      </c>
      <c r="AB56" s="2231">
        <f>ROUND((10*AB55*AB49),0)</f>
        <v>0</v>
      </c>
      <c r="AC56" s="2232"/>
      <c r="AD56" s="2232"/>
      <c r="AE56" s="2232"/>
      <c r="AF56" s="22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9">
        <f>AB48-AB56</f>
        <v>35751101</v>
      </c>
      <c r="AC58" s="2229"/>
      <c r="AD58" s="2229"/>
      <c r="AE58" s="2229"/>
      <c r="AF58" s="222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6" t="s">
        <v>1916</v>
      </c>
      <c r="B60" s="2226"/>
      <c r="C60" s="2226"/>
      <c r="D60" s="2226"/>
      <c r="E60" s="2226"/>
      <c r="F60" s="2226"/>
      <c r="G60" s="2226"/>
      <c r="H60" s="2226"/>
      <c r="I60" s="2226"/>
      <c r="J60" s="2226"/>
      <c r="K60" s="2226"/>
      <c r="L60" s="2226"/>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row>
    <row r="61" spans="1:40" ht="13.7" customHeight="1" thickTop="1">
      <c r="A61" s="2228"/>
      <c r="B61" s="2228"/>
      <c r="C61" s="2228"/>
      <c r="D61" s="2228"/>
      <c r="E61" s="2228"/>
      <c r="F61" s="2228"/>
      <c r="G61" s="2228"/>
      <c r="H61" s="2228"/>
      <c r="I61" s="2228"/>
      <c r="J61" s="2228"/>
      <c r="K61" s="2228"/>
      <c r="L61" s="2228"/>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30" t="s">
        <v>330</v>
      </c>
      <c r="Z62" s="2230"/>
      <c r="AA62" s="2230"/>
      <c r="AB62" s="2230"/>
      <c r="AC62" s="2230"/>
      <c r="AD62" s="2230" t="s">
        <v>46</v>
      </c>
      <c r="AE62" s="2230"/>
      <c r="AF62" s="2230"/>
      <c r="AG62" s="2230"/>
      <c r="AH62" s="2230"/>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2086">
        <f>Y28</f>
        <v>0</v>
      </c>
      <c r="Z63" s="2253"/>
      <c r="AA63" s="2253"/>
      <c r="AB63" s="2253"/>
      <c r="AC63" s="2253"/>
      <c r="AD63" s="2086">
        <f>AI28</f>
        <v>-2549245</v>
      </c>
      <c r="AE63" s="2253"/>
      <c r="AF63" s="2253"/>
      <c r="AG63" s="2253"/>
      <c r="AH63" s="2253"/>
    </row>
    <row r="64" spans="1:40" ht="15" customHeight="1">
      <c r="C64" s="6"/>
      <c r="E64" s="2227" t="s">
        <v>1394</v>
      </c>
      <c r="F64" s="2227"/>
      <c r="G64" s="2227"/>
      <c r="H64" s="2227"/>
      <c r="I64" s="2227"/>
      <c r="J64" s="2227"/>
      <c r="K64" s="2227"/>
      <c r="L64" s="2227"/>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row>
    <row r="65" spans="1:40" ht="24.4" customHeight="1">
      <c r="C65" s="6"/>
      <c r="E65" s="2227"/>
      <c r="F65" s="2227"/>
      <c r="G65" s="2227"/>
      <c r="H65" s="2227"/>
      <c r="I65" s="2227"/>
      <c r="J65" s="2227"/>
      <c r="K65" s="2227"/>
      <c r="L65" s="2227"/>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9">
        <v>0.3</v>
      </c>
      <c r="Z66" s="2249"/>
      <c r="AA66" s="2249"/>
      <c r="AB66" s="2249"/>
      <c r="AC66" s="2249"/>
      <c r="AD66" s="2249">
        <v>0.13</v>
      </c>
      <c r="AE66" s="2249"/>
      <c r="AF66" s="2249"/>
      <c r="AG66" s="2249"/>
      <c r="AH66" s="2249"/>
    </row>
    <row r="67" spans="1:40" ht="12.75">
      <c r="C67" s="6"/>
      <c r="D67" s="6" t="s">
        <v>1024</v>
      </c>
      <c r="Y67" s="2086">
        <f>ROUND(Y63*Y66,0)</f>
        <v>0</v>
      </c>
      <c r="Z67" s="2253"/>
      <c r="AA67" s="2253"/>
      <c r="AB67" s="2253"/>
      <c r="AC67" s="2253"/>
      <c r="AD67" s="2086" t="str">
        <f>IF(OR(Application!D211="At-Risk",Application!D211="At-Risk/Located in Rural Census Tract",Application!D214="At-Risk"),ROUND(AD63*AD66,0),"$0")</f>
        <v>$0</v>
      </c>
      <c r="AE67" s="2254"/>
      <c r="AF67" s="2254"/>
      <c r="AG67" s="2254"/>
      <c r="AH67" s="225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0"/>
      <c r="AC70" s="2251"/>
      <c r="AD70" s="2251"/>
      <c r="AE70" s="2251"/>
      <c r="AF70" s="2252"/>
      <c r="AG70" s="2"/>
      <c r="AH70" s="2"/>
      <c r="AI70" s="2"/>
      <c r="AJ70" s="2"/>
      <c r="AK70" s="2"/>
      <c r="AL70" s="2"/>
      <c r="AM70" s="2"/>
      <c r="AN70" s="2"/>
    </row>
    <row r="71" spans="1:40" ht="12.75" customHeight="1">
      <c r="A71" s="330"/>
      <c r="B71" s="2"/>
      <c r="C71" s="330"/>
      <c r="D71" s="330"/>
      <c r="E71" s="2255" t="s">
        <v>1911</v>
      </c>
      <c r="F71" s="2255"/>
      <c r="G71" s="2255"/>
      <c r="H71" s="2255"/>
      <c r="I71" s="2255"/>
      <c r="J71" s="2255"/>
      <c r="K71" s="2255"/>
      <c r="L71" s="2255"/>
      <c r="M71" s="2255"/>
      <c r="N71" s="2255"/>
      <c r="O71" s="2255"/>
      <c r="P71" s="2255"/>
      <c r="Q71" s="2255"/>
      <c r="R71" s="2255"/>
      <c r="S71" s="2255"/>
      <c r="T71" s="2255"/>
      <c r="U71" s="2255"/>
      <c r="V71" s="2255"/>
      <c r="W71" s="2255"/>
      <c r="X71" s="2255"/>
      <c r="Y71" s="2255"/>
      <c r="Z71" s="2255"/>
      <c r="AA71" s="777"/>
      <c r="AB71" s="777"/>
      <c r="AC71" s="777"/>
      <c r="AG71" s="2"/>
      <c r="AH71" s="2"/>
      <c r="AI71" s="2"/>
      <c r="AJ71" s="2"/>
      <c r="AK71" s="2"/>
      <c r="AL71" s="2"/>
      <c r="AM71" s="2"/>
      <c r="AN71" s="2"/>
    </row>
    <row r="72" spans="1:40" ht="12.75" customHeight="1">
      <c r="A72" s="330"/>
      <c r="B72" s="2"/>
      <c r="C72" s="330"/>
      <c r="D72" s="330"/>
      <c r="E72" s="2255"/>
      <c r="F72" s="2255"/>
      <c r="G72" s="2255"/>
      <c r="H72" s="2255"/>
      <c r="I72" s="2255"/>
      <c r="J72" s="2255"/>
      <c r="K72" s="2255"/>
      <c r="L72" s="2255"/>
      <c r="M72" s="2255"/>
      <c r="N72" s="2255"/>
      <c r="O72" s="2255"/>
      <c r="P72" s="2255"/>
      <c r="Q72" s="2255"/>
      <c r="R72" s="2255"/>
      <c r="S72" s="2255"/>
      <c r="T72" s="2255"/>
      <c r="U72" s="2255"/>
      <c r="V72" s="2255"/>
      <c r="W72" s="2255"/>
      <c r="X72" s="2255"/>
      <c r="Y72" s="2255"/>
      <c r="Z72" s="2255"/>
      <c r="AA72" s="777"/>
      <c r="AB72" s="777"/>
      <c r="AC72" s="777"/>
      <c r="AG72" s="2"/>
      <c r="AH72" s="2"/>
      <c r="AI72" s="2"/>
      <c r="AJ72" s="2"/>
      <c r="AK72" s="2"/>
      <c r="AL72" s="2"/>
      <c r="AM72" s="2"/>
      <c r="AN72" s="2"/>
    </row>
    <row r="73" spans="1:40" ht="12" customHeight="1">
      <c r="A73" s="330"/>
      <c r="B73" s="2"/>
      <c r="C73" s="330"/>
      <c r="D73" s="330"/>
      <c r="E73" s="2255"/>
      <c r="F73" s="2255"/>
      <c r="G73" s="2255"/>
      <c r="H73" s="2255"/>
      <c r="I73" s="2255"/>
      <c r="J73" s="2255"/>
      <c r="K73" s="2255"/>
      <c r="L73" s="2255"/>
      <c r="M73" s="2255"/>
      <c r="N73" s="2255"/>
      <c r="O73" s="2255"/>
      <c r="P73" s="2255"/>
      <c r="Q73" s="2255"/>
      <c r="R73" s="2255"/>
      <c r="S73" s="2255"/>
      <c r="T73" s="2255"/>
      <c r="U73" s="2255"/>
      <c r="V73" s="2255"/>
      <c r="W73" s="2255"/>
      <c r="X73" s="2255"/>
      <c r="Y73" s="2255"/>
      <c r="Z73" s="225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8">
        <f>ROUND(IF(ISERROR((AB58/AB70)),0,(AB58/AB70)),0)</f>
        <v>0</v>
      </c>
      <c r="AC75" s="2248"/>
      <c r="AD75" s="2248"/>
      <c r="AE75" s="2248"/>
      <c r="AF75" s="2248"/>
    </row>
    <row r="76" spans="1:40" ht="12.75" customHeight="1">
      <c r="C76" s="6"/>
      <c r="D76" s="6" t="s">
        <v>116</v>
      </c>
      <c r="AB76" s="2245">
        <f>IF((Y67+AD67&lt;AB75),Y67+AD67,AB75)</f>
        <v>0</v>
      </c>
      <c r="AC76" s="2246"/>
      <c r="AD76" s="2246"/>
      <c r="AE76" s="2246"/>
      <c r="AF76" s="2247"/>
    </row>
    <row r="77" spans="1:40" ht="12.75" customHeight="1">
      <c r="C77" s="6"/>
      <c r="D77" s="6" t="s">
        <v>1025</v>
      </c>
      <c r="AB77" s="2244">
        <f>AB76*AB70</f>
        <v>0</v>
      </c>
      <c r="AC77" s="2244"/>
      <c r="AD77" s="2244"/>
      <c r="AE77" s="2244"/>
      <c r="AF77" s="2244"/>
    </row>
    <row r="78" spans="1:40" ht="12.75" customHeight="1">
      <c r="C78" s="6"/>
      <c r="D78" s="6"/>
      <c r="AB78" s="908"/>
      <c r="AC78" s="908"/>
      <c r="AD78" s="908"/>
      <c r="AE78" s="908"/>
      <c r="AF78" s="908"/>
    </row>
    <row r="79" spans="1:40" ht="12.75" customHeight="1">
      <c r="A79" s="1"/>
      <c r="B79" s="1"/>
      <c r="C79" s="1"/>
      <c r="D79" s="6" t="s">
        <v>117</v>
      </c>
      <c r="AB79" s="2229">
        <f>AB48-(AB56+AB77)</f>
        <v>35751101</v>
      </c>
      <c r="AC79" s="2229"/>
      <c r="AD79" s="2229"/>
      <c r="AE79" s="2229"/>
      <c r="AF79" s="222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3" t="s">
        <v>1475</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3" t="s">
        <v>1759</v>
      </c>
      <c r="U7" s="2243"/>
      <c r="V7" s="2243"/>
      <c r="W7" s="2243"/>
      <c r="X7" s="2243"/>
      <c r="Y7" s="2243" t="s">
        <v>1914</v>
      </c>
      <c r="Z7" s="2243"/>
      <c r="AA7" s="2243"/>
      <c r="AB7" s="2243"/>
      <c r="AC7" s="2243"/>
      <c r="AD7" s="2243" t="s">
        <v>1481</v>
      </c>
      <c r="AE7" s="2243"/>
      <c r="AF7" s="2243"/>
      <c r="AG7" s="2243"/>
      <c r="AH7" s="2243"/>
      <c r="AI7" s="2243" t="s">
        <v>1915</v>
      </c>
      <c r="AJ7" s="2243"/>
      <c r="AK7" s="2243"/>
      <c r="AL7" s="2243"/>
      <c r="AM7" s="2243"/>
    </row>
    <row r="8" spans="1:40" ht="12.75" customHeight="1">
      <c r="B8" s="337"/>
      <c r="C8" s="1"/>
      <c r="D8" s="1"/>
      <c r="E8" s="1"/>
      <c r="F8" s="1"/>
      <c r="G8" s="1"/>
      <c r="H8" s="1"/>
      <c r="I8" s="1"/>
      <c r="J8" s="1"/>
      <c r="K8" s="1"/>
      <c r="L8" s="1"/>
      <c r="M8" s="1"/>
      <c r="N8" s="1"/>
      <c r="O8" s="1"/>
      <c r="P8" s="1"/>
      <c r="Q8" s="1"/>
      <c r="R8" s="1"/>
      <c r="S8" s="1"/>
      <c r="T8" s="2243"/>
      <c r="U8" s="2243"/>
      <c r="V8" s="2243"/>
      <c r="W8" s="2243"/>
      <c r="X8" s="2243"/>
      <c r="Y8" s="2243"/>
      <c r="Z8" s="2243"/>
      <c r="AA8" s="2243"/>
      <c r="AB8" s="2243"/>
      <c r="AC8" s="2243"/>
      <c r="AD8" s="2243"/>
      <c r="AE8" s="2243"/>
      <c r="AF8" s="2243"/>
      <c r="AG8" s="2243"/>
      <c r="AH8" s="2243"/>
      <c r="AI8" s="2243"/>
      <c r="AJ8" s="2243"/>
      <c r="AK8" s="2243"/>
      <c r="AL8" s="2243"/>
      <c r="AM8" s="2243"/>
    </row>
    <row r="9" spans="1:40" ht="12.75">
      <c r="B9" s="337"/>
      <c r="C9" s="1"/>
      <c r="D9" s="1"/>
      <c r="E9" s="1"/>
      <c r="F9" s="1"/>
      <c r="G9" s="1"/>
      <c r="H9" s="1"/>
      <c r="I9" s="1"/>
      <c r="J9" s="1"/>
      <c r="K9" s="1"/>
      <c r="L9" s="1"/>
      <c r="M9" s="1"/>
      <c r="N9" s="1"/>
      <c r="O9" s="1"/>
      <c r="P9" s="1"/>
      <c r="Q9" s="1"/>
      <c r="R9" s="1"/>
      <c r="S9" s="1"/>
      <c r="T9" s="2243"/>
      <c r="U9" s="2243"/>
      <c r="V9" s="2243"/>
      <c r="W9" s="2243"/>
      <c r="X9" s="2243"/>
      <c r="Y9" s="2243"/>
      <c r="Z9" s="2243"/>
      <c r="AA9" s="2243"/>
      <c r="AB9" s="2243"/>
      <c r="AC9" s="2243"/>
      <c r="AD9" s="2243"/>
      <c r="AE9" s="2243"/>
      <c r="AF9" s="2243"/>
      <c r="AG9" s="2243"/>
      <c r="AH9" s="2243"/>
      <c r="AI9" s="2243"/>
      <c r="AJ9" s="2243"/>
      <c r="AK9" s="2243"/>
      <c r="AL9" s="2243"/>
      <c r="AM9" s="2243"/>
    </row>
    <row r="10" spans="1:40" ht="41.45" customHeight="1">
      <c r="B10" s="277"/>
      <c r="C10" s="278"/>
      <c r="D10" s="278"/>
      <c r="E10" s="278"/>
      <c r="F10" s="278"/>
      <c r="G10" s="278"/>
      <c r="H10" s="278"/>
      <c r="I10" s="278"/>
      <c r="J10" s="278"/>
      <c r="K10" s="278"/>
      <c r="L10" s="278"/>
      <c r="M10" s="278"/>
      <c r="N10" s="278"/>
      <c r="O10" s="278"/>
      <c r="P10" s="278"/>
      <c r="Q10" s="278"/>
      <c r="R10" s="278"/>
      <c r="S10" s="278"/>
      <c r="T10" s="2243"/>
      <c r="U10" s="2243"/>
      <c r="V10" s="2243"/>
      <c r="W10" s="2243"/>
      <c r="X10" s="2243"/>
      <c r="Y10" s="2243"/>
      <c r="Z10" s="2243"/>
      <c r="AA10" s="2243"/>
      <c r="AB10" s="2243"/>
      <c r="AC10" s="2243"/>
      <c r="AD10" s="2243"/>
      <c r="AE10" s="2243"/>
      <c r="AF10" s="2243"/>
      <c r="AG10" s="2243"/>
      <c r="AH10" s="2243"/>
      <c r="AI10" s="2243"/>
      <c r="AJ10" s="2243"/>
      <c r="AK10" s="2243"/>
      <c r="AL10" s="2243"/>
      <c r="AM10" s="2243"/>
    </row>
    <row r="11" spans="1:40" ht="12.75">
      <c r="B11" s="2240" t="s">
        <v>563</v>
      </c>
      <c r="C11" s="2241"/>
      <c r="D11" s="2241"/>
      <c r="E11" s="2241"/>
      <c r="F11" s="2241"/>
      <c r="G11" s="2241"/>
      <c r="H11" s="2241"/>
      <c r="I11" s="2241"/>
      <c r="J11" s="2241"/>
      <c r="K11" s="2241"/>
      <c r="L11" s="2241"/>
      <c r="M11" s="2241"/>
      <c r="N11" s="2241"/>
      <c r="O11" s="2241"/>
      <c r="P11" s="2241"/>
      <c r="Q11" s="2241"/>
      <c r="R11" s="2241"/>
      <c r="S11" s="2242"/>
      <c r="T11" s="2280">
        <f>IF('Sources and Basis Breakdown'!F105=0,'Sources and Basis Breakdown'!E105,'Sources and Basis Breakdown'!F105)</f>
        <v>23866844</v>
      </c>
      <c r="U11" s="2268"/>
      <c r="V11" s="2268"/>
      <c r="W11" s="2268"/>
      <c r="X11" s="2268"/>
      <c r="Y11" s="2267">
        <f>IF('Sources and Basis Breakdown'!G105+'Sources and Basis Breakdown'!F105='Sources and Basis Breakdown'!E105,'Sources and Basis Breakdown'!G105,0)</f>
        <v>0</v>
      </c>
      <c r="Z11" s="2268"/>
      <c r="AA11" s="2268"/>
      <c r="AB11" s="2268"/>
      <c r="AC11" s="2268"/>
      <c r="AD11" s="2268">
        <f>IF('Sources and Basis Breakdown'!I105=0,'Sources and Basis Breakdown'!H105,'Sources and Basis Breakdown'!I105)</f>
        <v>0</v>
      </c>
      <c r="AE11" s="2268"/>
      <c r="AF11" s="2268"/>
      <c r="AG11" s="2268"/>
      <c r="AH11" s="2268"/>
      <c r="AI11" s="2268">
        <f>IF('Sources and Basis Breakdown'!I105+'Sources and Basis Breakdown'!J105='Sources and Basis Breakdown'!H105,'Sources and Basis Breakdown'!J105,0)</f>
        <v>0</v>
      </c>
      <c r="AJ11" s="2268"/>
      <c r="AK11" s="2268"/>
      <c r="AL11" s="2268"/>
      <c r="AM11" s="2268"/>
    </row>
    <row r="12" spans="1:40" ht="12.75">
      <c r="B12" s="2273" t="s">
        <v>493</v>
      </c>
      <c r="C12" s="2274"/>
      <c r="D12" s="2274"/>
      <c r="E12" s="2274"/>
      <c r="F12" s="2274"/>
      <c r="G12" s="2274"/>
      <c r="H12" s="2274"/>
      <c r="I12" s="2274"/>
      <c r="J12" s="2274"/>
      <c r="K12" s="2274"/>
      <c r="L12" s="2274"/>
      <c r="M12" s="2274"/>
      <c r="N12" s="2274"/>
      <c r="O12" s="2274"/>
      <c r="P12" s="2274"/>
      <c r="Q12" s="2274"/>
      <c r="R12" s="2274"/>
      <c r="S12" s="2275"/>
      <c r="T12" s="2270"/>
      <c r="U12" s="2271"/>
      <c r="V12" s="2271"/>
      <c r="W12" s="2271"/>
      <c r="X12" s="2272"/>
      <c r="Y12" s="2270"/>
      <c r="Z12" s="2271"/>
      <c r="AA12" s="2271"/>
      <c r="AB12" s="2271"/>
      <c r="AC12" s="2272"/>
      <c r="AD12" s="2270"/>
      <c r="AE12" s="2271"/>
      <c r="AF12" s="2271"/>
      <c r="AG12" s="2271"/>
      <c r="AH12" s="2272"/>
      <c r="AI12" s="2270"/>
      <c r="AJ12" s="2271"/>
      <c r="AK12" s="2271"/>
      <c r="AL12" s="2271"/>
      <c r="AM12" s="2272"/>
    </row>
    <row r="13" spans="1:40" ht="12.75">
      <c r="B13" s="11"/>
      <c r="C13" s="2276" t="s">
        <v>1876</v>
      </c>
      <c r="D13" s="2277"/>
      <c r="E13" s="2277"/>
      <c r="F13" s="2277"/>
      <c r="G13" s="2277"/>
      <c r="H13" s="2277"/>
      <c r="I13" s="2277"/>
      <c r="J13" s="2277"/>
      <c r="K13" s="2277"/>
      <c r="L13" s="2277"/>
      <c r="M13" s="2277"/>
      <c r="N13" s="2277"/>
      <c r="O13" s="2277"/>
      <c r="P13" s="2277"/>
      <c r="Q13" s="2277"/>
      <c r="R13" s="2277"/>
      <c r="S13" s="2278"/>
      <c r="T13" s="2269">
        <f>'Basis &amp; Credits'!T13</f>
        <v>0</v>
      </c>
      <c r="U13" s="2266"/>
      <c r="V13" s="2266"/>
      <c r="W13" s="2266"/>
      <c r="X13" s="2266"/>
      <c r="Y13" s="2269">
        <f>'Basis &amp; Credits'!Y13</f>
        <v>0</v>
      </c>
      <c r="Z13" s="2266"/>
      <c r="AA13" s="2266"/>
      <c r="AB13" s="2266"/>
      <c r="AC13" s="2266"/>
      <c r="AD13" s="2266">
        <f>'Basis &amp; Credits'!AD13</f>
        <v>0</v>
      </c>
      <c r="AE13" s="2266"/>
      <c r="AF13" s="2266"/>
      <c r="AG13" s="2266"/>
      <c r="AH13" s="2266"/>
      <c r="AI13" s="2266">
        <f>'Basis &amp; Credits'!AI13</f>
        <v>0</v>
      </c>
      <c r="AJ13" s="2266"/>
      <c r="AK13" s="2266"/>
      <c r="AL13" s="2266"/>
      <c r="AM13" s="2266"/>
    </row>
    <row r="14" spans="1:40" ht="12.75">
      <c r="B14" s="11"/>
      <c r="C14" s="2277" t="s">
        <v>833</v>
      </c>
      <c r="D14" s="2277"/>
      <c r="E14" s="2277"/>
      <c r="F14" s="2277"/>
      <c r="G14" s="2277"/>
      <c r="H14" s="2277"/>
      <c r="I14" s="2277"/>
      <c r="J14" s="2277"/>
      <c r="K14" s="2277"/>
      <c r="L14" s="2277"/>
      <c r="M14" s="2277"/>
      <c r="N14" s="2277"/>
      <c r="O14" s="2277"/>
      <c r="P14" s="2277"/>
      <c r="Q14" s="2277"/>
      <c r="R14" s="2277"/>
      <c r="S14" s="2278"/>
      <c r="T14" s="1662">
        <f>'Basis &amp; Credits'!T14</f>
        <v>0</v>
      </c>
      <c r="U14" s="1757"/>
      <c r="V14" s="1757"/>
      <c r="W14" s="1757"/>
      <c r="X14" s="1757"/>
      <c r="Y14" s="1662">
        <f>'Basis &amp; Credits'!Y14</f>
        <v>0</v>
      </c>
      <c r="Z14" s="1757"/>
      <c r="AA14" s="1757"/>
      <c r="AB14" s="1757"/>
      <c r="AC14" s="1757"/>
      <c r="AD14" s="1757">
        <f>'Basis &amp; Credits'!AD14</f>
        <v>0</v>
      </c>
      <c r="AE14" s="1757"/>
      <c r="AF14" s="1757"/>
      <c r="AG14" s="1757"/>
      <c r="AH14" s="1757"/>
      <c r="AI14" s="1757">
        <f>'Basis &amp; Credits'!AI14</f>
        <v>0</v>
      </c>
      <c r="AJ14" s="1757"/>
      <c r="AK14" s="1757"/>
      <c r="AL14" s="1757"/>
      <c r="AM14" s="1757"/>
    </row>
    <row r="15" spans="1:40" ht="12.75">
      <c r="B15" s="11"/>
      <c r="C15" s="2277" t="s">
        <v>834</v>
      </c>
      <c r="D15" s="2277"/>
      <c r="E15" s="2277"/>
      <c r="F15" s="2277"/>
      <c r="G15" s="2277"/>
      <c r="H15" s="2277"/>
      <c r="I15" s="2277"/>
      <c r="J15" s="2277"/>
      <c r="K15" s="2277"/>
      <c r="L15" s="2277"/>
      <c r="M15" s="2277"/>
      <c r="N15" s="2277"/>
      <c r="O15" s="2277"/>
      <c r="P15" s="2277"/>
      <c r="Q15" s="2277"/>
      <c r="R15" s="2277"/>
      <c r="S15" s="2278"/>
      <c r="T15" s="1662">
        <f>'Basis &amp; Credits'!T15</f>
        <v>0</v>
      </c>
      <c r="U15" s="1757"/>
      <c r="V15" s="1757"/>
      <c r="W15" s="1757"/>
      <c r="X15" s="1757"/>
      <c r="Y15" s="1662">
        <f>'Basis &amp; Credits'!Y15</f>
        <v>0</v>
      </c>
      <c r="Z15" s="1757"/>
      <c r="AA15" s="1757"/>
      <c r="AB15" s="1757"/>
      <c r="AC15" s="1757"/>
      <c r="AD15" s="1757">
        <f>'Basis &amp; Credits'!AD15</f>
        <v>0</v>
      </c>
      <c r="AE15" s="1757"/>
      <c r="AF15" s="1757"/>
      <c r="AG15" s="1757"/>
      <c r="AH15" s="1757"/>
      <c r="AI15" s="1757">
        <f>'Basis &amp; Credits'!AI15</f>
        <v>0</v>
      </c>
      <c r="AJ15" s="1757"/>
      <c r="AK15" s="1757"/>
      <c r="AL15" s="1757"/>
      <c r="AM15" s="1757"/>
    </row>
    <row r="16" spans="1:40" ht="12.75">
      <c r="B16" s="11"/>
      <c r="C16" s="2276" t="s">
        <v>1096</v>
      </c>
      <c r="D16" s="2276"/>
      <c r="E16" s="2276"/>
      <c r="F16" s="2276"/>
      <c r="G16" s="2276"/>
      <c r="H16" s="2276"/>
      <c r="I16" s="2276"/>
      <c r="J16" s="2276"/>
      <c r="K16" s="2276"/>
      <c r="L16" s="2276"/>
      <c r="M16" s="2276"/>
      <c r="N16" s="2276"/>
      <c r="O16" s="2276"/>
      <c r="P16" s="2276"/>
      <c r="Q16" s="2276"/>
      <c r="R16" s="2276"/>
      <c r="S16" s="2279"/>
      <c r="T16" s="1662">
        <f>'Basis &amp; Credits'!T16</f>
        <v>117549</v>
      </c>
      <c r="U16" s="1757"/>
      <c r="V16" s="1757"/>
      <c r="W16" s="1757"/>
      <c r="X16" s="1757"/>
      <c r="Y16" s="1662">
        <f>'Basis &amp; Credits'!Y16</f>
        <v>0</v>
      </c>
      <c r="Z16" s="1757"/>
      <c r="AA16" s="1757"/>
      <c r="AB16" s="1757"/>
      <c r="AC16" s="1757"/>
      <c r="AD16" s="1757">
        <f>'Basis &amp; Credits'!AD16</f>
        <v>0</v>
      </c>
      <c r="AE16" s="1757"/>
      <c r="AF16" s="1757"/>
      <c r="AG16" s="1757"/>
      <c r="AH16" s="1757"/>
      <c r="AI16" s="1757">
        <f>'Basis &amp; Credits'!AI16</f>
        <v>0</v>
      </c>
      <c r="AJ16" s="1757"/>
      <c r="AK16" s="1757"/>
      <c r="AL16" s="1757"/>
      <c r="AM16" s="1757"/>
    </row>
    <row r="17" spans="1:39" ht="12.75">
      <c r="B17" s="11"/>
      <c r="C17" s="2277" t="s">
        <v>835</v>
      </c>
      <c r="D17" s="2277"/>
      <c r="E17" s="2277"/>
      <c r="F17" s="2277"/>
      <c r="G17" s="2277"/>
      <c r="H17" s="2277"/>
      <c r="I17" s="2277"/>
      <c r="J17" s="2277"/>
      <c r="K17" s="2277"/>
      <c r="L17" s="2277"/>
      <c r="M17" s="2277"/>
      <c r="N17" s="2277"/>
      <c r="O17" s="2277"/>
      <c r="P17" s="2277"/>
      <c r="Q17" s="2277"/>
      <c r="R17" s="2277"/>
      <c r="S17" s="2278"/>
      <c r="T17" s="1662">
        <f>'Basis &amp; Credits'!T17</f>
        <v>0</v>
      </c>
      <c r="U17" s="1757"/>
      <c r="V17" s="1757"/>
      <c r="W17" s="1757"/>
      <c r="X17" s="1757"/>
      <c r="Y17" s="1662">
        <f>'Basis &amp; Credits'!Y17</f>
        <v>0</v>
      </c>
      <c r="Z17" s="1757"/>
      <c r="AA17" s="1757"/>
      <c r="AB17" s="1757"/>
      <c r="AC17" s="1757"/>
      <c r="AD17" s="1757">
        <f>'Basis &amp; Credits'!AD17</f>
        <v>0</v>
      </c>
      <c r="AE17" s="1757"/>
      <c r="AF17" s="1757"/>
      <c r="AG17" s="1757"/>
      <c r="AH17" s="1757"/>
      <c r="AI17" s="1757">
        <f>'Basis &amp; Credits'!AI17</f>
        <v>0</v>
      </c>
      <c r="AJ17" s="1757"/>
      <c r="AK17" s="1757"/>
      <c r="AL17" s="1757"/>
      <c r="AM17" s="1757"/>
    </row>
    <row r="18" spans="1:39" ht="12.75">
      <c r="B18" s="903"/>
      <c r="C18" s="2276" t="s">
        <v>1486</v>
      </c>
      <c r="D18" s="2277"/>
      <c r="E18" s="2277"/>
      <c r="F18" s="2277"/>
      <c r="G18" s="2277"/>
      <c r="H18" s="2277"/>
      <c r="I18" s="2277"/>
      <c r="J18" s="2277"/>
      <c r="K18" s="2277"/>
      <c r="L18" s="2277"/>
      <c r="M18" s="2277"/>
      <c r="N18" s="2277"/>
      <c r="O18" s="2277"/>
      <c r="P18" s="2277"/>
      <c r="Q18" s="2277"/>
      <c r="R18" s="2277"/>
      <c r="S18" s="2278"/>
      <c r="T18" s="1660">
        <f>'Basis &amp; Credits'!T18</f>
        <v>0</v>
      </c>
      <c r="U18" s="1661"/>
      <c r="V18" s="1661"/>
      <c r="W18" s="1661"/>
      <c r="X18" s="1662"/>
      <c r="Y18" s="1662">
        <f>'Basis &amp; Credits'!Y18</f>
        <v>0</v>
      </c>
      <c r="Z18" s="1757"/>
      <c r="AA18" s="1757"/>
      <c r="AB18" s="1757"/>
      <c r="AC18" s="1757"/>
      <c r="AD18" s="1757">
        <f>'Basis &amp; Credits'!AD18</f>
        <v>0</v>
      </c>
      <c r="AE18" s="1757"/>
      <c r="AF18" s="1757"/>
      <c r="AG18" s="1757"/>
      <c r="AH18" s="1757"/>
      <c r="AI18" s="1757">
        <f>'Basis &amp; Credits'!AI18</f>
        <v>0</v>
      </c>
      <c r="AJ18" s="1757"/>
      <c r="AK18" s="1757"/>
      <c r="AL18" s="1757"/>
      <c r="AM18" s="1757"/>
    </row>
    <row r="19" spans="1:39" ht="12.75">
      <c r="B19" s="745"/>
      <c r="C19" s="1673" t="str">
        <f>'Basis &amp; Credits'!C19:S19</f>
        <v>Subtract (specify other ineligible amounts):</v>
      </c>
      <c r="D19" s="1673"/>
      <c r="E19" s="1673"/>
      <c r="F19" s="1673"/>
      <c r="G19" s="1673"/>
      <c r="H19" s="1673"/>
      <c r="I19" s="1673"/>
      <c r="J19" s="1673"/>
      <c r="K19" s="1673"/>
      <c r="L19" s="1673"/>
      <c r="M19" s="1673"/>
      <c r="N19" s="1673"/>
      <c r="O19" s="1673"/>
      <c r="P19" s="1673"/>
      <c r="Q19" s="1673"/>
      <c r="R19" s="1673"/>
      <c r="S19" s="1674"/>
      <c r="T19" s="1662">
        <f>'Basis &amp; Credits'!T19</f>
        <v>0</v>
      </c>
      <c r="U19" s="1757"/>
      <c r="V19" s="1757"/>
      <c r="W19" s="1757"/>
      <c r="X19" s="1757"/>
      <c r="Y19" s="1662">
        <f>'Basis &amp; Credits'!Y19</f>
        <v>0</v>
      </c>
      <c r="Z19" s="1757"/>
      <c r="AA19" s="1757"/>
      <c r="AB19" s="1757"/>
      <c r="AC19" s="1757"/>
      <c r="AD19" s="1757">
        <f>'Basis &amp; Credits'!AD19</f>
        <v>0</v>
      </c>
      <c r="AE19" s="1757"/>
      <c r="AF19" s="1757"/>
      <c r="AG19" s="1757"/>
      <c r="AH19" s="1757"/>
      <c r="AI19" s="1757">
        <f>'Basis &amp; Credits'!AI19</f>
        <v>0</v>
      </c>
      <c r="AJ19" s="1757"/>
      <c r="AK19" s="1757"/>
      <c r="AL19" s="1757"/>
      <c r="AM19" s="1757"/>
    </row>
    <row r="20" spans="1:39" ht="12.75">
      <c r="B20" s="2240" t="s">
        <v>836</v>
      </c>
      <c r="C20" s="2241"/>
      <c r="D20" s="2241"/>
      <c r="E20" s="2241"/>
      <c r="F20" s="2241"/>
      <c r="G20" s="2241"/>
      <c r="H20" s="2241"/>
      <c r="I20" s="2241"/>
      <c r="J20" s="2241"/>
      <c r="K20" s="2241"/>
      <c r="L20" s="2241"/>
      <c r="M20" s="2241"/>
      <c r="N20" s="2241"/>
      <c r="O20" s="2241"/>
      <c r="P20" s="2241"/>
      <c r="Q20" s="2241"/>
      <c r="R20" s="2241"/>
      <c r="S20" s="2242"/>
      <c r="T20" s="2235">
        <f>SUM(T13:X19)</f>
        <v>117549</v>
      </c>
      <c r="U20" s="2236"/>
      <c r="V20" s="2236"/>
      <c r="W20" s="2236"/>
      <c r="X20" s="2236"/>
      <c r="Y20" s="2235">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40" t="s">
        <v>1875</v>
      </c>
      <c r="C21" s="2241"/>
      <c r="D21" s="2241"/>
      <c r="E21" s="2241"/>
      <c r="F21" s="2241"/>
      <c r="G21" s="2241"/>
      <c r="H21" s="2241"/>
      <c r="I21" s="2241"/>
      <c r="J21" s="2241"/>
      <c r="K21" s="2241"/>
      <c r="L21" s="2241"/>
      <c r="M21" s="2241"/>
      <c r="N21" s="2241"/>
      <c r="O21" s="2241"/>
      <c r="P21" s="2241"/>
      <c r="Q21" s="2241"/>
      <c r="R21" s="2241"/>
      <c r="S21" s="2242"/>
      <c r="T21" s="1662">
        <f>'Basis &amp; Credits'!T21</f>
        <v>2549245</v>
      </c>
      <c r="U21" s="1757"/>
      <c r="V21" s="1757"/>
      <c r="W21" s="1757"/>
      <c r="X21" s="1757"/>
      <c r="Y21" s="1662">
        <f>'Basis &amp; Credits'!Y21</f>
        <v>0</v>
      </c>
      <c r="Z21" s="1757"/>
      <c r="AA21" s="1757"/>
      <c r="AB21" s="1757"/>
      <c r="AC21" s="1757"/>
      <c r="AD21" s="1757">
        <f>'Basis &amp; Credits'!AD21</f>
        <v>0</v>
      </c>
      <c r="AE21" s="1757"/>
      <c r="AF21" s="1757"/>
      <c r="AG21" s="1757"/>
      <c r="AH21" s="1757"/>
      <c r="AI21" s="1757">
        <f>'Basis &amp; Credits'!AI21</f>
        <v>0</v>
      </c>
      <c r="AJ21" s="1757"/>
      <c r="AK21" s="1757"/>
      <c r="AL21" s="1757"/>
      <c r="AM21" s="1757"/>
    </row>
    <row r="22" spans="1:39" ht="12.75">
      <c r="B22" s="2240" t="s">
        <v>837</v>
      </c>
      <c r="C22" s="2241"/>
      <c r="D22" s="2241"/>
      <c r="E22" s="2241"/>
      <c r="F22" s="2241"/>
      <c r="G22" s="2241"/>
      <c r="H22" s="2241"/>
      <c r="I22" s="2241"/>
      <c r="J22" s="2241"/>
      <c r="K22" s="2241"/>
      <c r="L22" s="2241"/>
      <c r="M22" s="2241"/>
      <c r="N22" s="2241"/>
      <c r="O22" s="2241"/>
      <c r="P22" s="2241"/>
      <c r="Q22" s="2241"/>
      <c r="R22" s="2241"/>
      <c r="S22" s="2242"/>
      <c r="T22" s="2281">
        <f>(T20+T21)*-1</f>
        <v>-2666794</v>
      </c>
      <c r="U22" s="2282"/>
      <c r="V22" s="2282"/>
      <c r="W22" s="2282"/>
      <c r="X22" s="2282"/>
      <c r="Y22" s="2281">
        <f>(Y20+Y21)*-1</f>
        <v>0</v>
      </c>
      <c r="Z22" s="2282"/>
      <c r="AA22" s="2282"/>
      <c r="AB22" s="2282"/>
      <c r="AC22" s="2282"/>
      <c r="AD22" s="2281">
        <f>(AD20+AD21)*-1</f>
        <v>0</v>
      </c>
      <c r="AE22" s="2282"/>
      <c r="AF22" s="2282"/>
      <c r="AG22" s="2282"/>
      <c r="AH22" s="2282"/>
      <c r="AI22" s="2281">
        <f>(AI20+AI21)*-1</f>
        <v>0</v>
      </c>
      <c r="AJ22" s="2282"/>
      <c r="AK22" s="2282"/>
      <c r="AL22" s="2282"/>
      <c r="AM22" s="2282"/>
    </row>
    <row r="23" spans="1:39" ht="12.75">
      <c r="A23" s="2"/>
      <c r="B23" s="2300" t="s">
        <v>838</v>
      </c>
      <c r="C23" s="2301"/>
      <c r="D23" s="2301"/>
      <c r="E23" s="2301"/>
      <c r="F23" s="2301"/>
      <c r="G23" s="2301"/>
      <c r="H23" s="2301"/>
      <c r="I23" s="2301"/>
      <c r="J23" s="2301"/>
      <c r="K23" s="2301"/>
      <c r="L23" s="2301"/>
      <c r="M23" s="2301"/>
      <c r="N23" s="2301"/>
      <c r="O23" s="2301"/>
      <c r="P23" s="2301"/>
      <c r="Q23" s="2301"/>
      <c r="R23" s="2301"/>
      <c r="S23" s="2302"/>
      <c r="T23" s="2235">
        <f>T11+T22</f>
        <v>21200050</v>
      </c>
      <c r="U23" s="2236"/>
      <c r="V23" s="2236"/>
      <c r="W23" s="2236"/>
      <c r="X23" s="2236"/>
      <c r="Y23" s="2235">
        <f>Y11+Y22</f>
        <v>0</v>
      </c>
      <c r="Z23" s="2236"/>
      <c r="AA23" s="2236"/>
      <c r="AB23" s="2236"/>
      <c r="AC23" s="2236"/>
      <c r="AD23" s="2235">
        <f>AD11+AD22</f>
        <v>0</v>
      </c>
      <c r="AE23" s="2236"/>
      <c r="AF23" s="2236"/>
      <c r="AG23" s="2236"/>
      <c r="AH23" s="2236"/>
      <c r="AI23" s="2235">
        <f>AI11+AI22</f>
        <v>0</v>
      </c>
      <c r="AJ23" s="2236"/>
      <c r="AK23" s="2236"/>
      <c r="AL23" s="2236"/>
      <c r="AM23" s="2236"/>
    </row>
    <row r="24" spans="1:39" ht="12.75">
      <c r="B24" s="2240" t="s">
        <v>1318</v>
      </c>
      <c r="C24" s="2241"/>
      <c r="D24" s="2241"/>
      <c r="E24" s="2241"/>
      <c r="F24" s="2241"/>
      <c r="G24" s="2241"/>
      <c r="H24" s="2241"/>
      <c r="I24" s="2241"/>
      <c r="J24" s="2241"/>
      <c r="K24" s="2241"/>
      <c r="L24" s="2241"/>
      <c r="M24" s="2241"/>
      <c r="N24" s="2241"/>
      <c r="O24" s="2241"/>
      <c r="P24" s="2241"/>
      <c r="Q24" s="2241"/>
      <c r="R24" s="2241"/>
      <c r="S24" s="2242"/>
      <c r="T24" s="2303">
        <f>Application!AD993</f>
        <v>0</v>
      </c>
      <c r="U24" s="2304"/>
      <c r="V24" s="2304"/>
      <c r="W24" s="2304"/>
      <c r="X24" s="2304"/>
      <c r="Y24" s="2304"/>
      <c r="Z24" s="2304"/>
      <c r="AA24" s="2304"/>
      <c r="AB24" s="2304"/>
      <c r="AC24" s="2304"/>
      <c r="AD24" s="2304"/>
      <c r="AE24" s="2304"/>
      <c r="AF24" s="2304"/>
      <c r="AG24" s="2304"/>
      <c r="AH24" s="2304"/>
      <c r="AI24" s="2304"/>
      <c r="AJ24" s="2304"/>
      <c r="AK24" s="2304"/>
      <c r="AL24" s="2304"/>
      <c r="AM24" s="2235"/>
    </row>
    <row r="25" spans="1:39" ht="12.75">
      <c r="B25" s="2294" t="s">
        <v>1913</v>
      </c>
      <c r="C25" s="2295"/>
      <c r="D25" s="2295"/>
      <c r="E25" s="2295"/>
      <c r="F25" s="2295"/>
      <c r="G25" s="2295"/>
      <c r="H25" s="2295"/>
      <c r="I25" s="2295"/>
      <c r="J25" s="2295"/>
      <c r="K25" s="2295"/>
      <c r="L25" s="2295"/>
      <c r="M25" s="2295"/>
      <c r="N25" s="2295"/>
      <c r="O25" s="2295"/>
      <c r="P25" s="2295"/>
      <c r="Q25" s="2295"/>
      <c r="R25" s="2295"/>
      <c r="S25" s="2296"/>
      <c r="T25" s="2287">
        <v>1</v>
      </c>
      <c r="U25" s="2288"/>
      <c r="V25" s="2288"/>
      <c r="W25" s="2288"/>
      <c r="X25" s="2288"/>
      <c r="Y25" s="2287">
        <v>1</v>
      </c>
      <c r="Z25" s="2288"/>
      <c r="AA25" s="2288"/>
      <c r="AB25" s="2288"/>
      <c r="AC25" s="2289"/>
      <c r="AD25" s="2287">
        <v>1</v>
      </c>
      <c r="AE25" s="2288"/>
      <c r="AF25" s="2288"/>
      <c r="AG25" s="2288"/>
      <c r="AH25" s="2289"/>
      <c r="AI25" s="2287">
        <v>1</v>
      </c>
      <c r="AJ25" s="2288"/>
      <c r="AK25" s="2288"/>
      <c r="AL25" s="2288"/>
      <c r="AM25" s="2289"/>
    </row>
    <row r="26" spans="1:39" ht="12.75">
      <c r="B26" s="2240" t="s">
        <v>839</v>
      </c>
      <c r="C26" s="2241"/>
      <c r="D26" s="2241"/>
      <c r="E26" s="2241"/>
      <c r="F26" s="2241"/>
      <c r="G26" s="2241"/>
      <c r="H26" s="2241"/>
      <c r="I26" s="2241"/>
      <c r="J26" s="2241"/>
      <c r="K26" s="2241"/>
      <c r="L26" s="2241"/>
      <c r="M26" s="2241"/>
      <c r="N26" s="2241"/>
      <c r="O26" s="2241"/>
      <c r="P26" s="2241"/>
      <c r="Q26" s="2241"/>
      <c r="R26" s="2241"/>
      <c r="S26" s="2242"/>
      <c r="T26" s="2290">
        <f>T23*T25</f>
        <v>21200050</v>
      </c>
      <c r="U26" s="2291"/>
      <c r="V26" s="2291"/>
      <c r="W26" s="2291"/>
      <c r="X26" s="2291"/>
      <c r="Y26" s="2290">
        <f>Y23*Y25</f>
        <v>0</v>
      </c>
      <c r="Z26" s="2291"/>
      <c r="AA26" s="2291"/>
      <c r="AB26" s="2291"/>
      <c r="AC26" s="2291"/>
      <c r="AD26" s="2290">
        <f>AD23*AD25</f>
        <v>0</v>
      </c>
      <c r="AE26" s="2291"/>
      <c r="AF26" s="2291"/>
      <c r="AG26" s="2291"/>
      <c r="AH26" s="2291"/>
      <c r="AI26" s="2290">
        <f>AI23*AI25</f>
        <v>0</v>
      </c>
      <c r="AJ26" s="2291"/>
      <c r="AK26" s="2291"/>
      <c r="AL26" s="2291"/>
      <c r="AM26" s="2291"/>
    </row>
    <row r="27" spans="1:39" ht="12.75">
      <c r="A27" s="7"/>
      <c r="B27" s="2297" t="s">
        <v>957</v>
      </c>
      <c r="C27" s="2298"/>
      <c r="D27" s="2298"/>
      <c r="E27" s="2298"/>
      <c r="F27" s="2298"/>
      <c r="G27" s="2298"/>
      <c r="H27" s="2298"/>
      <c r="I27" s="2298"/>
      <c r="J27" s="2298"/>
      <c r="K27" s="2298"/>
      <c r="L27" s="2298"/>
      <c r="M27" s="2298"/>
      <c r="N27" s="2298"/>
      <c r="O27" s="2298"/>
      <c r="P27" s="2298"/>
      <c r="Q27" s="2298"/>
      <c r="R27" s="2298"/>
      <c r="S27" s="2299"/>
      <c r="T27" s="2285">
        <f>Application!AG438</f>
        <v>1</v>
      </c>
      <c r="U27" s="2286"/>
      <c r="V27" s="2286"/>
      <c r="W27" s="2286"/>
      <c r="X27" s="2286"/>
      <c r="Y27" s="2285">
        <f>Application!AG438</f>
        <v>1</v>
      </c>
      <c r="Z27" s="2286"/>
      <c r="AA27" s="2286"/>
      <c r="AB27" s="2286"/>
      <c r="AC27" s="2286"/>
      <c r="AD27" s="2285">
        <f>Application!AG438</f>
        <v>1</v>
      </c>
      <c r="AE27" s="2286"/>
      <c r="AF27" s="2286"/>
      <c r="AG27" s="2286"/>
      <c r="AH27" s="2286"/>
      <c r="AI27" s="2285">
        <f>Application!AG438</f>
        <v>1</v>
      </c>
      <c r="AJ27" s="2286"/>
      <c r="AK27" s="2286"/>
      <c r="AL27" s="2286"/>
      <c r="AM27" s="2286"/>
    </row>
    <row r="28" spans="1:39" ht="12.75" customHeight="1">
      <c r="A28" s="6"/>
      <c r="B28" s="2240" t="s">
        <v>917</v>
      </c>
      <c r="C28" s="2241"/>
      <c r="D28" s="2241"/>
      <c r="E28" s="2241"/>
      <c r="F28" s="2241"/>
      <c r="G28" s="2241"/>
      <c r="H28" s="2241"/>
      <c r="I28" s="2241"/>
      <c r="J28" s="2241"/>
      <c r="K28" s="2241"/>
      <c r="L28" s="2241"/>
      <c r="M28" s="2241"/>
      <c r="N28" s="2241"/>
      <c r="O28" s="2241"/>
      <c r="P28" s="2241"/>
      <c r="Q28" s="2241"/>
      <c r="R28" s="2241"/>
      <c r="S28" s="2242"/>
      <c r="T28" s="1817">
        <f>IF(ISERROR((T26*T27)),0,(T26*T27))</f>
        <v>21200050</v>
      </c>
      <c r="U28" s="2257"/>
      <c r="V28" s="2257"/>
      <c r="W28" s="2257"/>
      <c r="X28" s="2257"/>
      <c r="Y28" s="1817">
        <f>IF(ISERROR((Y26*Y27)),0,(Y26*Y27))</f>
        <v>0</v>
      </c>
      <c r="Z28" s="2257"/>
      <c r="AA28" s="2257"/>
      <c r="AB28" s="2257"/>
      <c r="AC28" s="2257"/>
      <c r="AD28" s="1817">
        <f>IF(ISERROR((AD26*AD27)),0,(AD26*AD27))</f>
        <v>0</v>
      </c>
      <c r="AE28" s="2257"/>
      <c r="AF28" s="2257"/>
      <c r="AG28" s="2257"/>
      <c r="AH28" s="2257"/>
      <c r="AI28" s="1817">
        <f>IF(ISERROR((AI26*AI27)),0,(AI26*AI27))</f>
        <v>0</v>
      </c>
      <c r="AJ28" s="2257"/>
      <c r="AK28" s="2257"/>
      <c r="AL28" s="2257"/>
      <c r="AM28" s="2257"/>
    </row>
    <row r="29" spans="1:39" ht="12.75">
      <c r="B29" s="2240" t="s">
        <v>685</v>
      </c>
      <c r="C29" s="2241"/>
      <c r="D29" s="2241"/>
      <c r="E29" s="2241"/>
      <c r="F29" s="2241"/>
      <c r="G29" s="2241"/>
      <c r="H29" s="2241"/>
      <c r="I29" s="2241"/>
      <c r="J29" s="2241"/>
      <c r="K29" s="2241"/>
      <c r="L29" s="2241"/>
      <c r="M29" s="2241"/>
      <c r="N29" s="2241"/>
      <c r="O29" s="2241"/>
      <c r="P29" s="2241"/>
      <c r="Q29" s="2241"/>
      <c r="R29" s="2241"/>
      <c r="S29" s="2242"/>
      <c r="T29" s="2303">
        <f>T28+Y28+AD28+AI28</f>
        <v>21200050</v>
      </c>
      <c r="U29" s="2304"/>
      <c r="V29" s="2304"/>
      <c r="W29" s="2304"/>
      <c r="X29" s="2304"/>
      <c r="Y29" s="2304"/>
      <c r="Z29" s="2304"/>
      <c r="AA29" s="2304"/>
      <c r="AB29" s="2304"/>
      <c r="AC29" s="2304"/>
      <c r="AD29" s="2304"/>
      <c r="AE29" s="2304"/>
      <c r="AF29" s="2304"/>
      <c r="AG29" s="2304"/>
      <c r="AH29" s="2304"/>
      <c r="AI29" s="2304"/>
      <c r="AJ29" s="2304"/>
      <c r="AK29" s="2304"/>
      <c r="AL29" s="2304"/>
      <c r="AM29" s="2235"/>
    </row>
    <row r="30" spans="1:39" ht="12.75" customHeight="1">
      <c r="B30" s="2673"/>
      <c r="C30" s="2673"/>
      <c r="D30" s="2673"/>
      <c r="E30" s="2673"/>
      <c r="F30" s="2673"/>
      <c r="G30" s="2673"/>
      <c r="H30" s="2673"/>
      <c r="I30" s="2673"/>
      <c r="J30" s="2673"/>
      <c r="K30" s="2673"/>
      <c r="L30" s="2673"/>
      <c r="M30" s="2673"/>
      <c r="N30" s="2673"/>
      <c r="O30" s="2673"/>
      <c r="P30" s="2673"/>
      <c r="Q30" s="2673"/>
      <c r="R30" s="2673"/>
      <c r="S30" s="2673"/>
      <c r="T30" s="2673"/>
      <c r="U30" s="2673"/>
      <c r="V30" s="2673"/>
      <c r="W30" s="2673"/>
      <c r="X30" s="2673"/>
      <c r="Y30" s="2673"/>
      <c r="Z30" s="2673"/>
      <c r="AA30" s="2673"/>
      <c r="AB30" s="2673"/>
      <c r="AC30" s="2673"/>
      <c r="AD30" s="2673"/>
      <c r="AE30" s="2673"/>
      <c r="AF30" s="2673"/>
      <c r="AG30" s="2673"/>
      <c r="AH30" s="2673"/>
      <c r="AI30" s="2673"/>
      <c r="AJ30" s="2673"/>
      <c r="AK30" s="2673"/>
      <c r="AL30" s="2673"/>
      <c r="AM30" s="267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3" t="s">
        <v>1758</v>
      </c>
      <c r="Z35" s="2243"/>
      <c r="AA35" s="2243"/>
      <c r="AB35" s="2243"/>
      <c r="AC35" s="2243"/>
      <c r="AD35" s="2225" t="s">
        <v>46</v>
      </c>
      <c r="AE35" s="2225"/>
      <c r="AF35" s="2225"/>
      <c r="AG35" s="2225"/>
      <c r="AH35" s="222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3"/>
      <c r="Z36" s="2243"/>
      <c r="AA36" s="2243"/>
      <c r="AB36" s="2243"/>
      <c r="AC36" s="2243"/>
      <c r="AD36" s="2225"/>
      <c r="AE36" s="2225"/>
      <c r="AF36" s="2225"/>
      <c r="AG36" s="2225"/>
      <c r="AH36" s="222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3"/>
      <c r="Z37" s="2243"/>
      <c r="AA37" s="2243"/>
      <c r="AB37" s="2243"/>
      <c r="AC37" s="2243"/>
      <c r="AD37" s="2225"/>
      <c r="AE37" s="2225"/>
      <c r="AF37" s="2225"/>
      <c r="AG37" s="2225"/>
      <c r="AH37" s="2225"/>
    </row>
    <row r="38" spans="1:40" ht="12.75" customHeight="1">
      <c r="A38" s="6"/>
      <c r="B38" s="2240" t="s">
        <v>917</v>
      </c>
      <c r="C38" s="2241"/>
      <c r="D38" s="2241"/>
      <c r="E38" s="2241"/>
      <c r="F38" s="2241"/>
      <c r="G38" s="2241"/>
      <c r="H38" s="2241"/>
      <c r="I38" s="2241"/>
      <c r="J38" s="2241"/>
      <c r="K38" s="2241"/>
      <c r="L38" s="2241"/>
      <c r="M38" s="2241"/>
      <c r="N38" s="2241"/>
      <c r="O38" s="2241"/>
      <c r="P38" s="2241"/>
      <c r="Q38" s="2241"/>
      <c r="R38" s="2241"/>
      <c r="S38" s="2241"/>
      <c r="T38" s="2241"/>
      <c r="U38" s="2241"/>
      <c r="V38" s="2241"/>
      <c r="W38" s="2241"/>
      <c r="X38" s="2242"/>
      <c r="Y38" s="2236">
        <f>IF(T24&gt;=(T23+Y23+AD23+AI23),T28+Y28,0)</f>
        <v>0</v>
      </c>
      <c r="Z38" s="2236"/>
      <c r="AA38" s="2236"/>
      <c r="AB38" s="2236"/>
      <c r="AC38" s="2236"/>
      <c r="AD38" s="2236">
        <f>IF(T24&gt;=(T23+Y23+AD23+AI23),AD28+AI28,0)</f>
        <v>0</v>
      </c>
      <c r="AE38" s="2236"/>
      <c r="AF38" s="2236"/>
      <c r="AG38" s="2236"/>
      <c r="AH38" s="2236"/>
    </row>
    <row r="39" spans="1:40" ht="12.75">
      <c r="B39" s="2240" t="s">
        <v>829</v>
      </c>
      <c r="C39" s="2241"/>
      <c r="D39" s="2241"/>
      <c r="E39" s="2241"/>
      <c r="F39" s="2241"/>
      <c r="G39" s="2241"/>
      <c r="H39" s="2241"/>
      <c r="I39" s="2241"/>
      <c r="J39" s="2241"/>
      <c r="K39" s="2241"/>
      <c r="L39" s="2241"/>
      <c r="M39" s="2241"/>
      <c r="N39" s="2241"/>
      <c r="O39" s="2241"/>
      <c r="P39" s="2241"/>
      <c r="Q39" s="2241"/>
      <c r="R39" s="2241"/>
      <c r="S39" s="2241"/>
      <c r="T39" s="2241"/>
      <c r="U39" s="2241"/>
      <c r="V39" s="2241"/>
      <c r="W39" s="2241"/>
      <c r="X39" s="2242"/>
      <c r="Y39" s="2674">
        <v>0.09</v>
      </c>
      <c r="Z39" s="2674"/>
      <c r="AA39" s="2674"/>
      <c r="AB39" s="2674"/>
      <c r="AC39" s="2674"/>
      <c r="AD39" s="2674">
        <f>'Basis &amp; Credits'!AD39:AH39</f>
        <v>0.04</v>
      </c>
      <c r="AE39" s="2674"/>
      <c r="AF39" s="2674"/>
      <c r="AG39" s="2674"/>
      <c r="AH39" s="2674"/>
    </row>
    <row r="40" spans="1:40" ht="12.75" customHeight="1">
      <c r="A40" s="6"/>
      <c r="B40" s="2240" t="s">
        <v>26</v>
      </c>
      <c r="C40" s="2241"/>
      <c r="D40" s="2241"/>
      <c r="E40" s="2241"/>
      <c r="F40" s="2241"/>
      <c r="G40" s="2241"/>
      <c r="H40" s="2241"/>
      <c r="I40" s="2241"/>
      <c r="J40" s="2241"/>
      <c r="K40" s="2241"/>
      <c r="L40" s="2241"/>
      <c r="M40" s="2241"/>
      <c r="N40" s="2241"/>
      <c r="O40" s="2241"/>
      <c r="P40" s="2241"/>
      <c r="Q40" s="2241"/>
      <c r="R40" s="2241"/>
      <c r="S40" s="2241"/>
      <c r="T40" s="2241"/>
      <c r="U40" s="2241"/>
      <c r="V40" s="2241"/>
      <c r="W40" s="2241"/>
      <c r="X40" s="2242"/>
      <c r="Y40" s="2236">
        <f>ROUND(Y38*Y39,0)</f>
        <v>0</v>
      </c>
      <c r="Z40" s="2236"/>
      <c r="AA40" s="2236"/>
      <c r="AB40" s="2236"/>
      <c r="AC40" s="2236"/>
      <c r="AD40" s="2235">
        <f>ROUND(AD38*AD39,0)</f>
        <v>0</v>
      </c>
      <c r="AE40" s="2236"/>
      <c r="AF40" s="2236"/>
      <c r="AG40" s="2236"/>
      <c r="AH40" s="2236"/>
    </row>
    <row r="41" spans="1:40" ht="12.75">
      <c r="B41" s="2240" t="s">
        <v>679</v>
      </c>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2"/>
      <c r="Y41" s="2237">
        <f>IF((Y40+AD40)&gt;2500000,2500000,Y40+AD40)</f>
        <v>0</v>
      </c>
      <c r="Z41" s="2238"/>
      <c r="AA41" s="2238"/>
      <c r="AB41" s="2238"/>
      <c r="AC41" s="2238"/>
      <c r="AD41" s="2238"/>
      <c r="AE41" s="2238"/>
      <c r="AF41" s="2238"/>
      <c r="AG41" s="2238"/>
      <c r="AH41" s="2239"/>
    </row>
    <row r="42" spans="1:40" ht="12.75" customHeight="1">
      <c r="A42" s="6"/>
      <c r="B42" s="2256" t="s">
        <v>1257</v>
      </c>
      <c r="C42" s="2256"/>
      <c r="D42" s="2256"/>
      <c r="E42" s="2256"/>
      <c r="F42" s="2256"/>
      <c r="G42" s="2256"/>
      <c r="H42" s="2256"/>
      <c r="I42" s="2256"/>
      <c r="J42" s="2256"/>
      <c r="K42" s="2256"/>
      <c r="L42" s="2256"/>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31">
        <f>'Sources and Uses Budget'!B104-'Sources and Uses Budget'!$B$15</f>
        <v>35751101</v>
      </c>
      <c r="AC46" s="2232"/>
      <c r="AD46" s="2232"/>
      <c r="AE46" s="2232"/>
      <c r="AF46" s="2233"/>
    </row>
    <row r="47" spans="1:40" ht="12.75" customHeight="1">
      <c r="D47" s="6" t="s">
        <v>911</v>
      </c>
      <c r="AB47" s="2231">
        <f>Application!AG644-MIN('Sources and Uses Budget'!B15,Application!AG385)</f>
        <v>0</v>
      </c>
      <c r="AC47" s="2232"/>
      <c r="AD47" s="2232"/>
      <c r="AE47" s="2232"/>
      <c r="AF47" s="2233"/>
    </row>
    <row r="48" spans="1:40" ht="12.75">
      <c r="D48" s="6" t="s">
        <v>419</v>
      </c>
      <c r="AB48" s="2231">
        <f>AB46-AB47</f>
        <v>35751101</v>
      </c>
      <c r="AC48" s="2232"/>
      <c r="AD48" s="2232"/>
      <c r="AE48" s="2232"/>
      <c r="AF48" s="2233"/>
    </row>
    <row r="49" spans="1:40" ht="12.75">
      <c r="D49" s="6" t="s">
        <v>950</v>
      </c>
      <c r="X49" s="2"/>
      <c r="Y49" s="2"/>
      <c r="Z49" s="2"/>
      <c r="AA49" s="409"/>
      <c r="AB49" s="2250"/>
      <c r="AC49" s="2251"/>
      <c r="AD49" s="2251"/>
      <c r="AE49" s="2251"/>
      <c r="AF49" s="2252"/>
    </row>
    <row r="50" spans="1:40" s="497" customFormat="1" ht="15" customHeight="1">
      <c r="A50" s="2"/>
      <c r="B50" s="2"/>
      <c r="C50" s="2"/>
      <c r="D50" s="272"/>
      <c r="E50" s="2261" t="s">
        <v>1474</v>
      </c>
      <c r="F50" s="2261"/>
      <c r="G50" s="2261"/>
      <c r="H50" s="2261"/>
      <c r="I50" s="2261"/>
      <c r="J50" s="2261"/>
      <c r="K50" s="2261"/>
      <c r="L50" s="2261"/>
      <c r="M50" s="2261"/>
      <c r="N50" s="2261"/>
      <c r="O50" s="2261"/>
      <c r="P50" s="2261"/>
      <c r="Q50" s="2261"/>
      <c r="R50" s="2261"/>
      <c r="S50" s="2261"/>
      <c r="T50" s="2261"/>
      <c r="U50" s="2261"/>
      <c r="V50" s="2261"/>
      <c r="W50" s="2261"/>
      <c r="X50" s="2261"/>
      <c r="Y50" s="2261"/>
      <c r="Z50" s="2261"/>
      <c r="AA50" s="755"/>
      <c r="AB50" s="755"/>
      <c r="AC50" s="755"/>
      <c r="AD50" s="755"/>
      <c r="AE50" s="755"/>
      <c r="AF50" s="755"/>
      <c r="AG50" s="2"/>
      <c r="AH50" s="2"/>
      <c r="AI50" s="2"/>
      <c r="AJ50" s="2"/>
      <c r="AK50" s="2"/>
      <c r="AL50" s="2"/>
      <c r="AM50" s="2"/>
      <c r="AN50" s="2"/>
    </row>
    <row r="51" spans="1:40" s="497" customFormat="1" ht="12" customHeight="1">
      <c r="A51" s="2"/>
      <c r="B51" s="2"/>
      <c r="C51" s="2"/>
      <c r="D51" s="272"/>
      <c r="E51" s="2261"/>
      <c r="F51" s="2261"/>
      <c r="G51" s="2261"/>
      <c r="H51" s="2261"/>
      <c r="I51" s="2261"/>
      <c r="J51" s="2261"/>
      <c r="K51" s="2261"/>
      <c r="L51" s="2261"/>
      <c r="M51" s="2261"/>
      <c r="N51" s="2261"/>
      <c r="O51" s="2261"/>
      <c r="P51" s="2261"/>
      <c r="Q51" s="2261"/>
      <c r="R51" s="2261"/>
      <c r="S51" s="2261"/>
      <c r="T51" s="2261"/>
      <c r="U51" s="2261"/>
      <c r="V51" s="2261"/>
      <c r="W51" s="2261"/>
      <c r="X51" s="2261"/>
      <c r="Y51" s="2261"/>
      <c r="Z51" s="226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1">
        <f>ROUND(IF(ISERROR((AB48/AB49)),0,(AB48/AB49)),0)</f>
        <v>0</v>
      </c>
      <c r="AC53" s="2232"/>
      <c r="AD53" s="2232"/>
      <c r="AE53" s="2232"/>
      <c r="AF53" s="2233"/>
    </row>
    <row r="54" spans="1:40" ht="12.75" customHeight="1">
      <c r="D54" s="6" t="s">
        <v>618</v>
      </c>
      <c r="AB54" s="2231">
        <f>(AB53/10)</f>
        <v>0</v>
      </c>
      <c r="AC54" s="2232"/>
      <c r="AD54" s="2232"/>
      <c r="AE54" s="2232"/>
      <c r="AF54" s="2233"/>
    </row>
    <row r="55" spans="1:40" ht="12.75">
      <c r="D55" s="6" t="s">
        <v>378</v>
      </c>
      <c r="AB55" s="2258">
        <f>(IF((Y41&lt;AB54),Y41,AB54))</f>
        <v>0</v>
      </c>
      <c r="AC55" s="2259"/>
      <c r="AD55" s="2259"/>
      <c r="AE55" s="2259"/>
      <c r="AF55" s="2260"/>
    </row>
    <row r="56" spans="1:40" ht="12.75">
      <c r="D56" s="6" t="s">
        <v>118</v>
      </c>
      <c r="AB56" s="2231">
        <f>ROUND((10*AB55*AB49),0)</f>
        <v>0</v>
      </c>
      <c r="AC56" s="2232"/>
      <c r="AD56" s="2232"/>
      <c r="AE56" s="2232"/>
      <c r="AF56" s="22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9">
        <f>AB48-AB56</f>
        <v>35751101</v>
      </c>
      <c r="AC58" s="2229"/>
      <c r="AD58" s="2229"/>
      <c r="AE58" s="2229"/>
      <c r="AF58" s="222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6" t="s">
        <v>1916</v>
      </c>
      <c r="B60" s="2226"/>
      <c r="C60" s="2226"/>
      <c r="D60" s="2226"/>
      <c r="E60" s="2226"/>
      <c r="F60" s="2226"/>
      <c r="G60" s="2226"/>
      <c r="H60" s="2226"/>
      <c r="I60" s="2226"/>
      <c r="J60" s="2226"/>
      <c r="K60" s="2226"/>
      <c r="L60" s="2226"/>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row>
    <row r="61" spans="1:40" ht="13.7" customHeight="1" thickTop="1">
      <c r="A61" s="2228"/>
      <c r="B61" s="2228"/>
      <c r="C61" s="2228"/>
      <c r="D61" s="2228"/>
      <c r="E61" s="2228"/>
      <c r="F61" s="2228"/>
      <c r="G61" s="2228"/>
      <c r="H61" s="2228"/>
      <c r="I61" s="2228"/>
      <c r="J61" s="2228"/>
      <c r="K61" s="2228"/>
      <c r="L61" s="2228"/>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30" t="s">
        <v>330</v>
      </c>
      <c r="Z62" s="2230"/>
      <c r="AA62" s="2230"/>
      <c r="AB62" s="2230"/>
      <c r="AC62" s="2230"/>
      <c r="AD62" s="2230" t="s">
        <v>46</v>
      </c>
      <c r="AE62" s="2230"/>
      <c r="AF62" s="2230"/>
      <c r="AG62" s="2230"/>
      <c r="AH62" s="2230"/>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2086">
        <f>Y28</f>
        <v>0</v>
      </c>
      <c r="Z63" s="2253"/>
      <c r="AA63" s="2253"/>
      <c r="AB63" s="2253"/>
      <c r="AC63" s="2253"/>
      <c r="AD63" s="2086">
        <f>AI28</f>
        <v>0</v>
      </c>
      <c r="AE63" s="2253"/>
      <c r="AF63" s="2253"/>
      <c r="AG63" s="2253"/>
      <c r="AH63" s="2253"/>
    </row>
    <row r="64" spans="1:40" ht="15" customHeight="1">
      <c r="C64" s="6"/>
      <c r="E64" s="2227" t="s">
        <v>1394</v>
      </c>
      <c r="F64" s="2227"/>
      <c r="G64" s="2227"/>
      <c r="H64" s="2227"/>
      <c r="I64" s="2227"/>
      <c r="J64" s="2227"/>
      <c r="K64" s="2227"/>
      <c r="L64" s="2227"/>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row>
    <row r="65" spans="1:40" ht="24.4" customHeight="1">
      <c r="C65" s="6"/>
      <c r="E65" s="2227"/>
      <c r="F65" s="2227"/>
      <c r="G65" s="2227"/>
      <c r="H65" s="2227"/>
      <c r="I65" s="2227"/>
      <c r="J65" s="2227"/>
      <c r="K65" s="2227"/>
      <c r="L65" s="2227"/>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9">
        <v>0.3</v>
      </c>
      <c r="Z66" s="2249"/>
      <c r="AA66" s="2249"/>
      <c r="AB66" s="2249"/>
      <c r="AC66" s="2249"/>
      <c r="AD66" s="2249">
        <v>0.13</v>
      </c>
      <c r="AE66" s="2249"/>
      <c r="AF66" s="2249"/>
      <c r="AG66" s="2249"/>
      <c r="AH66" s="2249"/>
    </row>
    <row r="67" spans="1:40" ht="12.75">
      <c r="C67" s="6"/>
      <c r="D67" s="6" t="s">
        <v>1024</v>
      </c>
      <c r="Y67" s="2086">
        <f>ROUND(Y63*Y66,0)</f>
        <v>0</v>
      </c>
      <c r="Z67" s="2253"/>
      <c r="AA67" s="2253"/>
      <c r="AB67" s="2253"/>
      <c r="AC67" s="2253"/>
      <c r="AD67" s="2086" t="str">
        <f>IF(OR(Application!D211="At-Risk",Application!D211="At-Risk/Located in Rural Census Tract",Application!D214="At-Risk"),ROUND(AD63*AD66,0),"$0")</f>
        <v>$0</v>
      </c>
      <c r="AE67" s="2254"/>
      <c r="AF67" s="2254"/>
      <c r="AG67" s="2254"/>
      <c r="AH67" s="225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0"/>
      <c r="AC70" s="2251"/>
      <c r="AD70" s="2251"/>
      <c r="AE70" s="2251"/>
      <c r="AF70" s="2252"/>
      <c r="AG70" s="2"/>
      <c r="AH70" s="2"/>
      <c r="AI70" s="2"/>
      <c r="AJ70" s="2"/>
      <c r="AK70" s="2"/>
      <c r="AL70" s="2"/>
      <c r="AM70" s="2"/>
      <c r="AN70" s="2"/>
    </row>
    <row r="71" spans="1:40" ht="12.75" customHeight="1">
      <c r="A71" s="330"/>
      <c r="B71" s="2"/>
      <c r="C71" s="330"/>
      <c r="D71" s="330"/>
      <c r="E71" s="2255" t="s">
        <v>1911</v>
      </c>
      <c r="F71" s="2255"/>
      <c r="G71" s="2255"/>
      <c r="H71" s="2255"/>
      <c r="I71" s="2255"/>
      <c r="J71" s="2255"/>
      <c r="K71" s="2255"/>
      <c r="L71" s="2255"/>
      <c r="M71" s="2255"/>
      <c r="N71" s="2255"/>
      <c r="O71" s="2255"/>
      <c r="P71" s="2255"/>
      <c r="Q71" s="2255"/>
      <c r="R71" s="2255"/>
      <c r="S71" s="2255"/>
      <c r="T71" s="2255"/>
      <c r="U71" s="2255"/>
      <c r="V71" s="2255"/>
      <c r="W71" s="2255"/>
      <c r="X71" s="2255"/>
      <c r="Y71" s="2255"/>
      <c r="Z71" s="2255"/>
      <c r="AA71" s="777"/>
      <c r="AB71" s="777"/>
      <c r="AC71" s="777"/>
      <c r="AG71" s="2"/>
      <c r="AH71" s="2"/>
      <c r="AI71" s="2"/>
      <c r="AJ71" s="2"/>
      <c r="AK71" s="2"/>
      <c r="AL71" s="2"/>
      <c r="AM71" s="2"/>
      <c r="AN71" s="2"/>
    </row>
    <row r="72" spans="1:40" ht="12.75" customHeight="1">
      <c r="A72" s="330"/>
      <c r="B72" s="2"/>
      <c r="C72" s="330"/>
      <c r="D72" s="330"/>
      <c r="E72" s="2255"/>
      <c r="F72" s="2255"/>
      <c r="G72" s="2255"/>
      <c r="H72" s="2255"/>
      <c r="I72" s="2255"/>
      <c r="J72" s="2255"/>
      <c r="K72" s="2255"/>
      <c r="L72" s="2255"/>
      <c r="M72" s="2255"/>
      <c r="N72" s="2255"/>
      <c r="O72" s="2255"/>
      <c r="P72" s="2255"/>
      <c r="Q72" s="2255"/>
      <c r="R72" s="2255"/>
      <c r="S72" s="2255"/>
      <c r="T72" s="2255"/>
      <c r="U72" s="2255"/>
      <c r="V72" s="2255"/>
      <c r="W72" s="2255"/>
      <c r="X72" s="2255"/>
      <c r="Y72" s="2255"/>
      <c r="Z72" s="2255"/>
      <c r="AA72" s="777"/>
      <c r="AB72" s="777"/>
      <c r="AC72" s="777"/>
      <c r="AG72" s="2"/>
      <c r="AH72" s="2"/>
      <c r="AI72" s="2"/>
      <c r="AJ72" s="2"/>
      <c r="AK72" s="2"/>
      <c r="AL72" s="2"/>
      <c r="AM72" s="2"/>
      <c r="AN72" s="2"/>
    </row>
    <row r="73" spans="1:40" ht="12" customHeight="1">
      <c r="A73" s="330"/>
      <c r="B73" s="2"/>
      <c r="C73" s="330"/>
      <c r="D73" s="330"/>
      <c r="E73" s="2255"/>
      <c r="F73" s="2255"/>
      <c r="G73" s="2255"/>
      <c r="H73" s="2255"/>
      <c r="I73" s="2255"/>
      <c r="J73" s="2255"/>
      <c r="K73" s="2255"/>
      <c r="L73" s="2255"/>
      <c r="M73" s="2255"/>
      <c r="N73" s="2255"/>
      <c r="O73" s="2255"/>
      <c r="P73" s="2255"/>
      <c r="Q73" s="2255"/>
      <c r="R73" s="2255"/>
      <c r="S73" s="2255"/>
      <c r="T73" s="2255"/>
      <c r="U73" s="2255"/>
      <c r="V73" s="2255"/>
      <c r="W73" s="2255"/>
      <c r="X73" s="2255"/>
      <c r="Y73" s="2255"/>
      <c r="Z73" s="225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8">
        <f>ROUND(IF(ISERROR((AB58/AB70)),0,(AB58/AB70)),0)</f>
        <v>0</v>
      </c>
      <c r="AC75" s="2248"/>
      <c r="AD75" s="2248"/>
      <c r="AE75" s="2248"/>
      <c r="AF75" s="2248"/>
    </row>
    <row r="76" spans="1:40" ht="12.75" customHeight="1">
      <c r="C76" s="6"/>
      <c r="D76" s="6" t="s">
        <v>116</v>
      </c>
      <c r="AB76" s="2245">
        <f>IF((Y67+AD67&lt;AB75),Y67+AD67,AB75)</f>
        <v>0</v>
      </c>
      <c r="AC76" s="2246"/>
      <c r="AD76" s="2246"/>
      <c r="AE76" s="2246"/>
      <c r="AF76" s="2247"/>
    </row>
    <row r="77" spans="1:40" ht="12.75" customHeight="1">
      <c r="C77" s="6"/>
      <c r="D77" s="6" t="s">
        <v>1025</v>
      </c>
      <c r="AB77" s="2244">
        <f>AB76*AB70</f>
        <v>0</v>
      </c>
      <c r="AC77" s="2244"/>
      <c r="AD77" s="2244"/>
      <c r="AE77" s="2244"/>
      <c r="AF77" s="2244"/>
    </row>
    <row r="78" spans="1:40" ht="12.75" customHeight="1">
      <c r="C78" s="6"/>
      <c r="D78" s="6"/>
      <c r="AB78" s="908"/>
      <c r="AC78" s="908"/>
      <c r="AD78" s="908"/>
      <c r="AE78" s="908"/>
      <c r="AF78" s="908"/>
    </row>
    <row r="79" spans="1:40" ht="12.75" customHeight="1">
      <c r="A79" s="1"/>
      <c r="B79" s="1"/>
      <c r="C79" s="1"/>
      <c r="D79" s="6" t="s">
        <v>117</v>
      </c>
      <c r="AB79" s="2229">
        <f>AB48-(AB56+AB77)</f>
        <v>35751101</v>
      </c>
      <c r="AC79" s="2229"/>
      <c r="AD79" s="2229"/>
      <c r="AE79" s="2229"/>
      <c r="AF79" s="222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10630000</v>
      </c>
      <c r="C5" s="505">
        <f>'Sources and Uses Budget'!C4</f>
        <v>10630000</v>
      </c>
      <c r="D5" s="505">
        <f>'Sources and Uses Budget'!C4</f>
        <v>10630000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10630000</v>
      </c>
      <c r="C9" s="507">
        <f>SUM(C5:C8)</f>
        <v>10630000</v>
      </c>
      <c r="D9" s="507">
        <f>SUM(D5:D8)</f>
        <v>10630000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773</v>
      </c>
      <c r="B13" s="507">
        <f>SUM(B9+B12)</f>
        <v>10630000</v>
      </c>
      <c r="C13" s="507">
        <f>SUM(C9+C12)</f>
        <v>10630000</v>
      </c>
      <c r="D13" s="507">
        <f>SUM(D9+D12)</f>
        <v>10630000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2847748</v>
      </c>
      <c r="C30" s="505">
        <f>'Sources and Uses Budget'!C29</f>
        <v>2847748</v>
      </c>
      <c r="D30" s="505">
        <f>'Sources and Uses Budget'!C29</f>
        <v>2847748</v>
      </c>
      <c r="E30" s="507">
        <f t="shared" si="0"/>
        <v>0</v>
      </c>
      <c r="F30" s="506"/>
      <c r="G30" s="506"/>
    </row>
    <row r="31" spans="1:7" s="876" customFormat="1" ht="12.75">
      <c r="A31" s="369" t="s">
        <v>994</v>
      </c>
      <c r="B31" s="505">
        <f>'Sources and Uses Budget'!C30</f>
        <v>11350930</v>
      </c>
      <c r="C31" s="505">
        <f>'Sources and Uses Budget'!C30</f>
        <v>11350930</v>
      </c>
      <c r="D31" s="505">
        <f>'Sources and Uses Budget'!C30</f>
        <v>11350930</v>
      </c>
      <c r="E31" s="507">
        <f t="shared" si="0"/>
        <v>0</v>
      </c>
      <c r="F31" s="506"/>
      <c r="G31" s="506"/>
    </row>
    <row r="32" spans="1:7" s="876" customFormat="1" ht="12.75">
      <c r="A32" s="369" t="s">
        <v>995</v>
      </c>
      <c r="B32" s="505">
        <f>'Sources and Uses Budget'!C31</f>
        <v>851921</v>
      </c>
      <c r="C32" s="505">
        <f>'Sources and Uses Budget'!C31</f>
        <v>851921</v>
      </c>
      <c r="D32" s="505">
        <f>'Sources and Uses Budget'!C31</f>
        <v>851921</v>
      </c>
      <c r="E32" s="507">
        <f t="shared" si="0"/>
        <v>0</v>
      </c>
      <c r="F32" s="506"/>
      <c r="G32" s="506"/>
    </row>
    <row r="33" spans="1:7" s="876" customFormat="1" ht="12.75">
      <c r="A33" s="369" t="s">
        <v>996</v>
      </c>
      <c r="B33" s="505">
        <f>'Sources and Uses Budget'!C32</f>
        <v>301012</v>
      </c>
      <c r="C33" s="505">
        <f>'Sources and Uses Budget'!C32</f>
        <v>301012</v>
      </c>
      <c r="D33" s="505">
        <f>'Sources and Uses Budget'!C32</f>
        <v>301012</v>
      </c>
      <c r="E33" s="507">
        <f t="shared" si="0"/>
        <v>0</v>
      </c>
      <c r="F33" s="506"/>
      <c r="G33" s="506"/>
    </row>
    <row r="34" spans="1:7" s="876" customFormat="1" ht="12.75">
      <c r="A34" s="369" t="s">
        <v>997</v>
      </c>
      <c r="B34" s="505">
        <f>'Sources and Uses Budget'!C33</f>
        <v>903036</v>
      </c>
      <c r="C34" s="505">
        <f>'Sources and Uses Budget'!C33</f>
        <v>903036</v>
      </c>
      <c r="D34" s="505">
        <f>'Sources and Uses Budget'!C33</f>
        <v>903036</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208059</v>
      </c>
      <c r="C36" s="505">
        <f>'Sources and Uses Budget'!C35</f>
        <v>208059</v>
      </c>
      <c r="D36" s="505">
        <f>'Sources and Uses Budget'!C35</f>
        <v>208059</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16462706</v>
      </c>
      <c r="C39" s="1454">
        <f>'Sources and Uses Budget'!C38</f>
        <v>16462706</v>
      </c>
      <c r="D39" s="1454">
        <f>'Sources and Uses Budget'!C38</f>
        <v>16462706</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325094</v>
      </c>
      <c r="C41" s="505">
        <f>'Sources and Uses Budget'!C40</f>
        <v>325094</v>
      </c>
      <c r="D41" s="505">
        <f>'Sources and Uses Budget'!C40</f>
        <v>325094</v>
      </c>
      <c r="E41" s="507">
        <f>C41-B41</f>
        <v>0</v>
      </c>
      <c r="F41" s="506"/>
      <c r="G41" s="506"/>
    </row>
    <row r="42" spans="1:7" s="876" customFormat="1" ht="12.75">
      <c r="A42" s="1448" t="s">
        <v>1005</v>
      </c>
      <c r="B42" s="505">
        <f>'Sources and Uses Budget'!C41</f>
        <v>162546</v>
      </c>
      <c r="C42" s="505">
        <f>'Sources and Uses Budget'!C41</f>
        <v>162546</v>
      </c>
      <c r="D42" s="505">
        <f>'Sources and Uses Budget'!C41</f>
        <v>162546</v>
      </c>
      <c r="E42" s="507">
        <f>C42-B42</f>
        <v>0</v>
      </c>
      <c r="F42" s="506"/>
      <c r="G42" s="506"/>
    </row>
    <row r="43" spans="1:7" s="876" customFormat="1" ht="12" customHeight="1">
      <c r="A43" s="1447" t="s">
        <v>1006</v>
      </c>
      <c r="B43" s="1454">
        <f>'Sources and Uses Budget'!C42</f>
        <v>487640</v>
      </c>
      <c r="C43" s="1454">
        <f>'Sources and Uses Budget'!C42</f>
        <v>487640</v>
      </c>
      <c r="D43" s="1454">
        <f>'Sources and Uses Budget'!C42</f>
        <v>487640</v>
      </c>
      <c r="E43" s="507">
        <f>C43-B43</f>
        <v>0</v>
      </c>
      <c r="F43" s="506"/>
      <c r="G43" s="506"/>
    </row>
    <row r="44" spans="1:7" s="876" customFormat="1" ht="12.75">
      <c r="A44" s="1447" t="s">
        <v>1007</v>
      </c>
      <c r="B44" s="505">
        <f>'Sources and Uses Budget'!C43</f>
        <v>500000</v>
      </c>
      <c r="C44" s="505">
        <f>'Sources and Uses Budget'!C43</f>
        <v>500000</v>
      </c>
      <c r="D44" s="505">
        <f>'Sources and Uses Budget'!C43</f>
        <v>500000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1432240</v>
      </c>
      <c r="C46" s="505">
        <f>'Sources and Uses Budget'!C45</f>
        <v>1432240</v>
      </c>
      <c r="D46" s="505">
        <f>'Sources and Uses Budget'!C45</f>
        <v>1432240</v>
      </c>
      <c r="E46" s="507">
        <f t="shared" si="0"/>
        <v>0</v>
      </c>
      <c r="F46" s="506"/>
      <c r="G46" s="506"/>
    </row>
    <row r="47" spans="1:7" s="876" customFormat="1" ht="12.75">
      <c r="A47" s="369" t="s">
        <v>1010</v>
      </c>
      <c r="B47" s="505">
        <f>'Sources and Uses Budget'!C46</f>
        <v>202937</v>
      </c>
      <c r="C47" s="505">
        <f>'Sources and Uses Budget'!C46</f>
        <v>202937</v>
      </c>
      <c r="D47" s="505">
        <f>'Sources and Uses Budget'!C46</f>
        <v>202937</v>
      </c>
      <c r="E47" s="507">
        <f t="shared" si="0"/>
        <v>0</v>
      </c>
      <c r="F47" s="506"/>
      <c r="G47" s="506"/>
    </row>
    <row r="48" spans="1:7" s="876" customFormat="1" ht="12.75">
      <c r="A48" s="369" t="s">
        <v>1011</v>
      </c>
      <c r="B48" s="505">
        <f>'Sources and Uses Budget'!C47</f>
        <v>35000</v>
      </c>
      <c r="C48" s="505">
        <f>'Sources and Uses Budget'!C47</f>
        <v>35000</v>
      </c>
      <c r="D48" s="505">
        <f>'Sources and Uses Budget'!C47</f>
        <v>35000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40000</v>
      </c>
      <c r="C50" s="505">
        <f>'Sources and Uses Budget'!C49</f>
        <v>40000</v>
      </c>
      <c r="D50" s="505">
        <f>'Sources and Uses Budget'!C49</f>
        <v>40000</v>
      </c>
      <c r="E50" s="507">
        <f t="shared" si="0"/>
        <v>0</v>
      </c>
      <c r="F50" s="506"/>
      <c r="G50" s="506"/>
    </row>
    <row r="51" spans="1:7" s="876" customFormat="1" ht="12.75">
      <c r="A51" s="369" t="s">
        <v>1013</v>
      </c>
      <c r="B51" s="505">
        <f>'Sources and Uses Budget'!C50</f>
        <v>212600</v>
      </c>
      <c r="C51" s="505">
        <f>'Sources and Uses Budget'!C50</f>
        <v>212600</v>
      </c>
      <c r="D51" s="505">
        <f>'Sources and Uses Budget'!C50</f>
        <v>212600</v>
      </c>
      <c r="E51" s="507">
        <f t="shared" si="0"/>
        <v>0</v>
      </c>
      <c r="F51" s="506"/>
      <c r="G51" s="506"/>
    </row>
    <row r="52" spans="1:7" s="877" customFormat="1" ht="12.75">
      <c r="A52" s="369" t="s">
        <v>1014</v>
      </c>
      <c r="B52" s="505">
        <f>'Sources and Uses Budget'!C51</f>
        <v>0</v>
      </c>
      <c r="C52" s="505">
        <f>'Sources and Uses Budget'!C51</f>
        <v>0</v>
      </c>
      <c r="D52" s="505">
        <f>'Sources and Uses Budget'!C51</f>
        <v>0</v>
      </c>
      <c r="E52" s="507">
        <f t="shared" si="0"/>
        <v>0</v>
      </c>
      <c r="F52" s="506"/>
      <c r="G52" s="506"/>
    </row>
    <row r="53" spans="1:7" s="876" customFormat="1" ht="12.75">
      <c r="A53" s="376" t="s">
        <v>589</v>
      </c>
      <c r="B53" s="505">
        <f>'Sources and Uses Budget'!C52</f>
        <v>20000</v>
      </c>
      <c r="C53" s="505">
        <f>'Sources and Uses Budget'!C52</f>
        <v>20000</v>
      </c>
      <c r="D53" s="505">
        <f>'Sources and Uses Budget'!C52</f>
        <v>20000</v>
      </c>
      <c r="E53" s="507">
        <f t="shared" si="0"/>
        <v>0</v>
      </c>
      <c r="F53" s="506"/>
      <c r="G53" s="506"/>
    </row>
    <row r="54" spans="1:7" s="876" customFormat="1" ht="12.75">
      <c r="A54" s="373" t="s">
        <v>1016</v>
      </c>
      <c r="B54" s="1454">
        <f>'Sources and Uses Budget'!C53</f>
        <v>1942777</v>
      </c>
      <c r="C54" s="1454">
        <f>'Sources and Uses Budget'!C53</f>
        <v>1942777</v>
      </c>
      <c r="D54" s="1454">
        <f>'Sources and Uses Budget'!C53</f>
        <v>1942777</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0</v>
      </c>
      <c r="C56" s="505">
        <f>'Sources and Uses Budget'!C55</f>
        <v>0</v>
      </c>
      <c r="D56" s="505">
        <f>'Sources and Uses Budget'!C55</f>
        <v>0</v>
      </c>
      <c r="E56" s="507">
        <f t="shared" si="0"/>
        <v>0</v>
      </c>
      <c r="F56" s="506"/>
      <c r="G56" s="506"/>
    </row>
    <row r="57" spans="1:7" s="876" customFormat="1" ht="12.75">
      <c r="A57" s="1448" t="s">
        <v>1011</v>
      </c>
      <c r="B57" s="505">
        <f>'Sources and Uses Budget'!C56</f>
        <v>10000</v>
      </c>
      <c r="C57" s="505">
        <f>'Sources and Uses Budget'!C56</f>
        <v>10000</v>
      </c>
      <c r="D57" s="505">
        <f>'Sources and Uses Budget'!C56</f>
        <v>10000</v>
      </c>
      <c r="E57" s="507">
        <f t="shared" si="0"/>
        <v>0</v>
      </c>
      <c r="F57" s="506"/>
      <c r="G57" s="506"/>
    </row>
    <row r="58" spans="1:7" s="876" customFormat="1" ht="12.75">
      <c r="A58" s="1448" t="s">
        <v>1015</v>
      </c>
      <c r="B58" s="505">
        <f>'Sources and Uses Budget'!C57</f>
        <v>5000</v>
      </c>
      <c r="C58" s="505">
        <f>'Sources and Uses Budget'!C57</f>
        <v>5000</v>
      </c>
      <c r="D58" s="505">
        <f>'Sources and Uses Budget'!C57</f>
        <v>5000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15000</v>
      </c>
      <c r="C62" s="1454">
        <f>'Sources and Uses Budget'!C61</f>
        <v>15000</v>
      </c>
      <c r="D62" s="1454">
        <f>'Sources and Uses Budget'!C61</f>
        <v>15000</v>
      </c>
      <c r="E62" s="507">
        <f t="shared" si="0"/>
        <v>0</v>
      </c>
      <c r="F62" s="506"/>
      <c r="G62" s="506"/>
    </row>
    <row r="63" spans="1:7" s="876" customFormat="1" ht="12.75">
      <c r="A63" s="1450" t="s">
        <v>547</v>
      </c>
      <c r="B63" s="1454">
        <f>'Sources and Uses Budget'!C62</f>
        <v>30038123</v>
      </c>
      <c r="C63" s="1454">
        <f>'Sources and Uses Budget'!C62</f>
        <v>30038123</v>
      </c>
      <c r="D63" s="1454">
        <f>'Sources and Uses Budget'!C62</f>
        <v>30038123</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65000</v>
      </c>
      <c r="C65" s="505">
        <f>'Sources and Uses Budget'!C64</f>
        <v>65000</v>
      </c>
      <c r="D65" s="505">
        <f>'Sources and Uses Budget'!C64</f>
        <v>65000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50000</v>
      </c>
      <c r="C69" s="505">
        <f>'Sources and Uses Budget'!C68</f>
        <v>50000</v>
      </c>
      <c r="D69" s="505">
        <f>'Sources and Uses Budget'!C68</f>
        <v>50000</v>
      </c>
      <c r="E69" s="507">
        <f t="shared" si="0"/>
        <v>0</v>
      </c>
      <c r="F69" s="506"/>
      <c r="G69" s="506"/>
    </row>
    <row r="70" spans="1:7" s="876" customFormat="1" ht="12.75">
      <c r="A70" s="373" t="s">
        <v>2169</v>
      </c>
      <c r="B70" s="1454">
        <f>'Sources and Uses Budget'!C69</f>
        <v>115000</v>
      </c>
      <c r="C70" s="1454">
        <f>'Sources and Uses Budget'!C69</f>
        <v>115000</v>
      </c>
      <c r="D70" s="1454">
        <f>'Sources and Uses Budget'!C69</f>
        <v>115000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30000</v>
      </c>
      <c r="C72" s="505">
        <f>'Sources and Uses Budget'!C71</f>
        <v>30000</v>
      </c>
      <c r="D72" s="505">
        <f>'Sources and Uses Budget'!C71</f>
        <v>30000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163755</v>
      </c>
      <c r="C75" s="505">
        <f>'Sources and Uses Budget'!C74</f>
        <v>163755</v>
      </c>
      <c r="D75" s="505">
        <f>'Sources and Uses Budget'!C74</f>
        <v>163755</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193755</v>
      </c>
      <c r="C77" s="1454">
        <f>'Sources and Uses Budget'!C76</f>
        <v>193755</v>
      </c>
      <c r="D77" s="1454">
        <f>'Sources and Uses Budget'!C76</f>
        <v>193755</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773135</v>
      </c>
      <c r="C79" s="505">
        <f>'Sources and Uses Budget'!C78</f>
        <v>773135</v>
      </c>
      <c r="D79" s="505">
        <f>'Sources and Uses Budget'!C78</f>
        <v>773135</v>
      </c>
      <c r="E79" s="507">
        <f t="shared" ref="E79:E105" si="2">C79-B79</f>
        <v>0</v>
      </c>
      <c r="F79" s="506"/>
      <c r="G79" s="506"/>
    </row>
    <row r="80" spans="1:7" s="876" customFormat="1" ht="12.75">
      <c r="A80" s="1448" t="s">
        <v>594</v>
      </c>
      <c r="B80" s="505">
        <f>'Sources and Uses Budget'!C79</f>
        <v>117569</v>
      </c>
      <c r="C80" s="505">
        <f>'Sources and Uses Budget'!C79</f>
        <v>117569</v>
      </c>
      <c r="D80" s="505">
        <f>'Sources and Uses Budget'!C79</f>
        <v>117569</v>
      </c>
      <c r="E80" s="507">
        <f t="shared" si="2"/>
        <v>0</v>
      </c>
      <c r="F80" s="506"/>
      <c r="G80" s="506"/>
    </row>
    <row r="81" spans="1:7" s="876" customFormat="1" ht="12.75">
      <c r="A81" s="1447" t="s">
        <v>1908</v>
      </c>
      <c r="B81" s="1454">
        <f>'Sources and Uses Budget'!C80</f>
        <v>890704</v>
      </c>
      <c r="C81" s="1454">
        <f>'Sources and Uses Budget'!C80</f>
        <v>890704</v>
      </c>
      <c r="D81" s="1454">
        <f>'Sources and Uses Budget'!C80</f>
        <v>890704</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111822</v>
      </c>
      <c r="C83" s="505">
        <f>'Sources and Uses Budget'!C82</f>
        <v>111822</v>
      </c>
      <c r="D83" s="505">
        <f>'Sources and Uses Budget'!C82</f>
        <v>111822</v>
      </c>
      <c r="E83" s="507">
        <f t="shared" si="2"/>
        <v>0</v>
      </c>
      <c r="F83" s="506"/>
      <c r="G83" s="506"/>
    </row>
    <row r="84" spans="1:7" s="876" customFormat="1" ht="12.75">
      <c r="A84" s="369" t="s">
        <v>572</v>
      </c>
      <c r="B84" s="505">
        <f>'Sources and Uses Budget'!C83</f>
        <v>7000</v>
      </c>
      <c r="C84" s="505">
        <f>'Sources and Uses Budget'!C83</f>
        <v>7000</v>
      </c>
      <c r="D84" s="505">
        <f>'Sources and Uses Budget'!C83</f>
        <v>7000</v>
      </c>
      <c r="E84" s="507">
        <f t="shared" si="2"/>
        <v>0</v>
      </c>
      <c r="F84" s="506"/>
      <c r="G84" s="506"/>
    </row>
    <row r="85" spans="1:7" s="876" customFormat="1" ht="12.75">
      <c r="A85" s="369" t="s">
        <v>573</v>
      </c>
      <c r="B85" s="505">
        <f>'Sources and Uses Budget'!C84</f>
        <v>2052077</v>
      </c>
      <c r="C85" s="505">
        <f>'Sources and Uses Budget'!C84</f>
        <v>2052077</v>
      </c>
      <c r="D85" s="505">
        <f>'Sources and Uses Budget'!C84</f>
        <v>2052077</v>
      </c>
      <c r="E85" s="507">
        <f t="shared" si="2"/>
        <v>0</v>
      </c>
      <c r="F85" s="506"/>
      <c r="G85" s="506"/>
    </row>
    <row r="86" spans="1:7" s="876" customFormat="1" ht="12.75">
      <c r="A86" s="369" t="s">
        <v>574</v>
      </c>
      <c r="B86" s="505">
        <f>'Sources and Uses Budget'!C85</f>
        <v>0</v>
      </c>
      <c r="C86" s="505">
        <f>'Sources and Uses Budget'!C85</f>
        <v>0</v>
      </c>
      <c r="D86" s="505">
        <f>'Sources and Uses Budget'!C85</f>
        <v>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30120</v>
      </c>
      <c r="C88" s="505">
        <f>'Sources and Uses Budget'!C87</f>
        <v>30120</v>
      </c>
      <c r="D88" s="505">
        <f>'Sources and Uses Budget'!C87</f>
        <v>30120</v>
      </c>
      <c r="E88" s="507">
        <f t="shared" si="2"/>
        <v>0</v>
      </c>
      <c r="F88" s="506"/>
      <c r="G88" s="506"/>
    </row>
    <row r="89" spans="1:7" s="876" customFormat="1" ht="12.75">
      <c r="A89" s="369" t="s">
        <v>577</v>
      </c>
      <c r="B89" s="505">
        <f>'Sources and Uses Budget'!C88</f>
        <v>50000</v>
      </c>
      <c r="C89" s="505">
        <f>'Sources and Uses Budget'!C88</f>
        <v>50000</v>
      </c>
      <c r="D89" s="505">
        <f>'Sources and Uses Budget'!C88</f>
        <v>50000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1423</v>
      </c>
      <c r="B91" s="505">
        <f>'Sources and Uses Budget'!C90</f>
        <v>45000</v>
      </c>
      <c r="C91" s="505">
        <f>'Sources and Uses Budget'!C90</f>
        <v>45000</v>
      </c>
      <c r="D91" s="505">
        <f>'Sources and Uses Budget'!C90</f>
        <v>45000</v>
      </c>
      <c r="E91" s="507">
        <f t="shared" si="2"/>
        <v>0</v>
      </c>
      <c r="F91" s="506"/>
      <c r="G91" s="506"/>
    </row>
    <row r="92" spans="1:7" s="876" customFormat="1" ht="12.75">
      <c r="A92" s="380" t="s">
        <v>1906</v>
      </c>
      <c r="B92" s="505">
        <f>'Sources and Uses Budget'!C91</f>
        <v>7500</v>
      </c>
      <c r="C92" s="505">
        <f>'Sources and Uses Budget'!C91</f>
        <v>7500</v>
      </c>
      <c r="D92" s="505">
        <f>'Sources and Uses Budget'!C91</f>
        <v>7500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2313519</v>
      </c>
      <c r="C96" s="1454">
        <f>'Sources and Uses Budget'!C95</f>
        <v>2313519</v>
      </c>
      <c r="D96" s="1454">
        <f>'Sources and Uses Budget'!C95</f>
        <v>2313519</v>
      </c>
      <c r="E96" s="507">
        <f t="shared" si="2"/>
        <v>0</v>
      </c>
      <c r="F96" s="506"/>
      <c r="G96" s="506"/>
    </row>
    <row r="97" spans="1:7" s="875" customFormat="1" ht="12.75">
      <c r="A97" s="373" t="s">
        <v>580</v>
      </c>
      <c r="B97" s="1454">
        <f>'Sources and Uses Budget'!C96</f>
        <v>33551101</v>
      </c>
      <c r="C97" s="1454">
        <f>'Sources and Uses Budget'!C96</f>
        <v>33551101</v>
      </c>
      <c r="D97" s="1454">
        <f>'Sources and Uses Budget'!C96</f>
        <v>33551101</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35751101</v>
      </c>
      <c r="C105" s="1454">
        <f>'Sources and Uses Budget'!C104</f>
        <v>35751101</v>
      </c>
      <c r="D105" s="1454">
        <f>'Sources and Uses Budget'!C104</f>
        <v>35751101</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2292</v>
      </c>
      <c r="B3" s="1538"/>
      <c r="C3" s="1538"/>
      <c r="D3" s="1538"/>
      <c r="E3" s="1538"/>
      <c r="F3" s="1538"/>
      <c r="G3" s="1538"/>
      <c r="H3" s="1538"/>
      <c r="I3" s="1538"/>
      <c r="J3" s="1538"/>
    </row>
    <row r="4" spans="1:10"/>
    <row r="5" spans="1:10" ht="12.75" customHeight="1">
      <c r="A5" s="1544" t="s">
        <v>2236</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2333</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2060</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c r="A76" s="1536" t="s">
        <v>1234</v>
      </c>
      <c r="B76" s="1536"/>
      <c r="C76" s="1536"/>
      <c r="D76" s="1536"/>
      <c r="E76" s="1536"/>
      <c r="F76" s="1536"/>
      <c r="G76" s="1536"/>
      <c r="H76" s="1536"/>
      <c r="I76" s="1536"/>
    </row>
    <row r="77" spans="1:9">
      <c r="A77" s="1535" t="s">
        <v>1393</v>
      </c>
      <c r="B77" s="1535"/>
      <c r="C77" s="1535"/>
      <c r="D77" s="1535"/>
      <c r="E77" s="1535"/>
      <c r="F77" s="1077"/>
    </row>
    <row r="78" spans="1:9">
      <c r="A78" s="1535" t="s">
        <v>1392</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197" workbookViewId="0">
      <selection activeCell="D1239" sqref="D1239:F1243"/>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8" t="s">
        <v>2293</v>
      </c>
      <c r="B2" s="1588"/>
      <c r="C2" s="1589"/>
      <c r="D2" s="1589"/>
      <c r="E2" s="1589"/>
      <c r="F2" s="1589"/>
      <c r="G2" s="1589"/>
      <c r="I2" s="2" t="s">
        <v>86</v>
      </c>
    </row>
    <row r="3" spans="1:9" ht="12.75">
      <c r="A3" s="298"/>
      <c r="B3" s="298"/>
      <c r="C3" s="13"/>
      <c r="D3" s="13"/>
      <c r="E3" s="13"/>
      <c r="F3" s="13"/>
      <c r="G3" s="687"/>
      <c r="I3" s="329" t="s">
        <v>1515</v>
      </c>
    </row>
    <row r="4" spans="1:9" ht="12.75">
      <c r="A4" s="1590" t="s">
        <v>1128</v>
      </c>
      <c r="B4" s="1590"/>
      <c r="C4" s="1591"/>
      <c r="D4" s="1591"/>
      <c r="E4" s="1591"/>
      <c r="F4" s="1591"/>
      <c r="G4" s="1591"/>
      <c r="I4" s="329" t="s">
        <v>1499</v>
      </c>
    </row>
    <row r="5" spans="1:9" ht="12.75">
      <c r="A5" s="1590" t="s">
        <v>1129</v>
      </c>
      <c r="B5" s="1590"/>
      <c r="C5" s="1591"/>
      <c r="D5" s="1591"/>
      <c r="E5" s="1591"/>
      <c r="F5" s="1591"/>
      <c r="G5" s="1591"/>
      <c r="I5" s="2" t="s">
        <v>135</v>
      </c>
    </row>
    <row r="6" spans="1:9" ht="13.7" customHeight="1">
      <c r="A6" s="14"/>
      <c r="B6" s="14"/>
      <c r="C6" s="14"/>
      <c r="D6" s="282"/>
      <c r="E6" s="282"/>
      <c r="F6" s="282"/>
    </row>
    <row r="7" spans="1:9" ht="12.75">
      <c r="A7" s="1592" t="s">
        <v>1552</v>
      </c>
      <c r="B7" s="1592"/>
      <c r="C7" s="1593"/>
      <c r="D7" s="1593"/>
      <c r="E7" s="1593"/>
      <c r="F7" s="1593"/>
      <c r="G7" s="1593"/>
    </row>
    <row r="8" spans="1:9" ht="12.75">
      <c r="A8" s="1592" t="s">
        <v>1553</v>
      </c>
      <c r="B8" s="1592"/>
      <c r="C8" s="1593"/>
      <c r="D8" s="1593"/>
      <c r="E8" s="1593"/>
      <c r="F8" s="1593"/>
      <c r="G8" s="1593"/>
    </row>
    <row r="9" spans="1:9" ht="12.75">
      <c r="A9" s="301"/>
      <c r="B9" s="301"/>
      <c r="C9" s="298"/>
      <c r="D9" s="298"/>
      <c r="E9" s="298"/>
      <c r="F9" s="298"/>
      <c r="G9" s="406"/>
    </row>
    <row r="10" spans="1:9" ht="12.75">
      <c r="A10" s="1594" t="s">
        <v>1686</v>
      </c>
      <c r="B10" s="1594"/>
      <c r="C10" s="1594"/>
      <c r="D10" s="1594"/>
      <c r="E10" s="1594"/>
      <c r="F10" s="1594"/>
      <c r="G10" s="1594"/>
    </row>
    <row r="11" spans="1:9" ht="12.75">
      <c r="A11" s="414"/>
      <c r="B11" s="414"/>
      <c r="C11" s="14"/>
      <c r="D11" s="282"/>
      <c r="E11" s="282"/>
      <c r="F11" s="282"/>
    </row>
    <row r="12" spans="1:9" ht="13.7" customHeight="1">
      <c r="A12" s="140"/>
      <c r="B12" s="140"/>
      <c r="C12" s="298"/>
      <c r="D12" s="1595" t="s">
        <v>1685</v>
      </c>
      <c r="E12" s="1595"/>
      <c r="F12" s="1595"/>
      <c r="G12" s="925"/>
    </row>
    <row r="13" spans="1:9" ht="12.75">
      <c r="A13" s="140"/>
      <c r="B13" s="140"/>
      <c r="C13" s="298"/>
      <c r="D13" s="1595"/>
      <c r="E13" s="1595"/>
      <c r="F13" s="1595"/>
      <c r="G13" s="925"/>
    </row>
    <row r="14" spans="1:9" ht="12.75">
      <c r="A14" s="415"/>
      <c r="B14" s="415"/>
      <c r="C14" s="299"/>
      <c r="D14" s="1555" t="s">
        <v>1539</v>
      </c>
      <c r="E14" s="1555"/>
      <c r="F14" s="1555"/>
      <c r="G14" s="467"/>
    </row>
    <row r="15" spans="1:9" ht="12.75">
      <c r="A15" s="415"/>
      <c r="B15" s="415"/>
      <c r="C15" s="299"/>
      <c r="D15" s="282"/>
      <c r="E15" s="282"/>
      <c r="F15" s="282"/>
    </row>
    <row r="16" spans="1:9" ht="14.45" customHeight="1">
      <c r="A16" s="413"/>
      <c r="B16" s="924" t="s">
        <v>1499</v>
      </c>
      <c r="C16" s="299"/>
      <c r="D16" s="1587" t="s">
        <v>2297</v>
      </c>
      <c r="E16" s="1553"/>
      <c r="F16" s="1553"/>
      <c r="G16" s="550"/>
    </row>
    <row r="17" spans="1:7" ht="14.45" customHeight="1">
      <c r="A17" s="413"/>
      <c r="B17" s="14"/>
      <c r="C17" s="299"/>
      <c r="D17" s="1553"/>
      <c r="E17" s="1553"/>
      <c r="F17" s="1553"/>
      <c r="G17" s="550"/>
    </row>
    <row r="18" spans="1:7" ht="12.75">
      <c r="A18" s="415"/>
      <c r="B18" s="14"/>
      <c r="C18" s="299"/>
      <c r="D18" s="1553"/>
      <c r="E18" s="1553"/>
      <c r="F18" s="1553"/>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1499</v>
      </c>
      <c r="C21" s="14"/>
      <c r="D21" s="1587" t="s">
        <v>2299</v>
      </c>
      <c r="E21" s="1553"/>
      <c r="F21" s="1553"/>
    </row>
    <row r="22" spans="1:7" ht="12.75">
      <c r="A22" s="14"/>
      <c r="B22" s="14"/>
      <c r="C22" s="14"/>
      <c r="D22" s="1553"/>
      <c r="E22" s="1553"/>
      <c r="F22" s="1553"/>
    </row>
    <row r="23" spans="1:7" ht="12.75">
      <c r="A23" s="14"/>
      <c r="B23" s="14"/>
      <c r="C23" s="14"/>
      <c r="D23" s="1502"/>
      <c r="E23" s="930" t="s">
        <v>2300</v>
      </c>
      <c r="F23" s="1502"/>
    </row>
    <row r="24" spans="1:7" ht="14.25">
      <c r="A24" s="413"/>
      <c r="B24" s="413"/>
      <c r="C24" s="14"/>
      <c r="D24" s="287"/>
      <c r="E24" s="282"/>
      <c r="F24" s="282"/>
    </row>
    <row r="25" spans="1:7" ht="14.25">
      <c r="A25" s="413"/>
      <c r="B25" s="924" t="s">
        <v>135</v>
      </c>
      <c r="C25" s="14"/>
      <c r="D25" s="1553" t="s">
        <v>1531</v>
      </c>
      <c r="E25" s="1553"/>
      <c r="F25" s="1553"/>
    </row>
    <row r="26" spans="1:7" ht="14.25">
      <c r="A26" s="413"/>
      <c r="B26" s="413"/>
      <c r="C26" s="14"/>
      <c r="D26" s="1553"/>
      <c r="E26" s="1553"/>
      <c r="F26" s="1553"/>
    </row>
    <row r="27" spans="1:7" ht="14.25">
      <c r="A27" s="413"/>
      <c r="B27" s="413"/>
      <c r="C27" s="14"/>
      <c r="D27" s="287"/>
      <c r="E27" s="282"/>
      <c r="F27" s="282"/>
    </row>
    <row r="28" spans="1:7" ht="14.25" customHeight="1">
      <c r="A28" s="552"/>
      <c r="B28" s="924" t="s">
        <v>135</v>
      </c>
      <c r="D28" s="1585" t="s">
        <v>1533</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135</v>
      </c>
      <c r="D34" s="1596" t="s">
        <v>1532</v>
      </c>
      <c r="E34" s="1596"/>
      <c r="F34" s="1596"/>
    </row>
    <row r="35" spans="1:6" ht="14.25">
      <c r="A35" s="552"/>
      <c r="B35" s="552"/>
      <c r="D35" s="1596"/>
      <c r="E35" s="1596"/>
      <c r="F35" s="1596"/>
    </row>
    <row r="36" spans="1:6" ht="14.25">
      <c r="A36" s="413"/>
      <c r="B36" s="413"/>
      <c r="C36" s="14"/>
      <c r="D36" s="928"/>
      <c r="E36" s="928"/>
      <c r="F36" s="928"/>
    </row>
    <row r="37" spans="1:6" ht="14.25">
      <c r="A37" s="413"/>
      <c r="B37" s="924" t="s">
        <v>135</v>
      </c>
      <c r="C37" s="14"/>
      <c r="D37" s="1563" t="s">
        <v>1919</v>
      </c>
      <c r="E37" s="1596"/>
      <c r="F37" s="1596"/>
    </row>
    <row r="38" spans="1:6" ht="14.25">
      <c r="A38" s="413"/>
      <c r="B38" s="413"/>
      <c r="C38" s="14"/>
      <c r="D38" s="1596"/>
      <c r="E38" s="1596"/>
      <c r="F38" s="1596"/>
    </row>
    <row r="39" spans="1:6" ht="14.25">
      <c r="A39" s="413"/>
      <c r="B39" s="413"/>
      <c r="C39" s="14"/>
      <c r="D39" s="1596"/>
      <c r="E39" s="1596"/>
      <c r="F39" s="1596"/>
    </row>
    <row r="40" spans="1:6" ht="14.25">
      <c r="A40" s="413"/>
      <c r="B40" s="413"/>
      <c r="C40" s="14"/>
      <c r="D40" s="1596"/>
      <c r="E40" s="1596"/>
      <c r="F40" s="1596"/>
    </row>
    <row r="41" spans="1:6" ht="14.25">
      <c r="A41" s="413"/>
      <c r="B41" s="413"/>
      <c r="C41" s="14"/>
      <c r="D41" s="1596"/>
      <c r="E41" s="1596"/>
      <c r="F41" s="1596"/>
    </row>
    <row r="42" spans="1:6" ht="14.25">
      <c r="A42" s="413"/>
      <c r="B42" s="413"/>
      <c r="C42" s="14"/>
      <c r="D42" s="1596"/>
      <c r="E42" s="1596"/>
      <c r="F42" s="1596"/>
    </row>
    <row r="43" spans="1:6" ht="14.25">
      <c r="A43" s="413"/>
      <c r="B43" s="413"/>
      <c r="C43" s="14"/>
      <c r="D43" s="1596"/>
      <c r="E43" s="1596"/>
      <c r="F43" s="1596"/>
    </row>
    <row r="44" spans="1:6" ht="14.25">
      <c r="A44" s="413"/>
      <c r="B44" s="413"/>
      <c r="C44" s="14"/>
      <c r="D44" s="1596"/>
      <c r="E44" s="1596"/>
      <c r="F44" s="1596"/>
    </row>
    <row r="45" spans="1:6" ht="14.25">
      <c r="A45" s="413"/>
      <c r="B45" s="413"/>
      <c r="C45" s="14"/>
      <c r="D45" s="931"/>
      <c r="E45" s="931"/>
      <c r="F45" s="931"/>
    </row>
    <row r="46" spans="1:6" ht="14.45" customHeight="1">
      <c r="A46" s="413"/>
      <c r="B46" s="924" t="s">
        <v>135</v>
      </c>
      <c r="C46" s="14"/>
      <c r="D46" s="1596" t="s">
        <v>1570</v>
      </c>
      <c r="E46" s="1596"/>
      <c r="F46" s="1596"/>
    </row>
    <row r="47" spans="1:6" ht="14.25">
      <c r="A47" s="413"/>
      <c r="B47" s="413"/>
      <c r="C47" s="14"/>
      <c r="D47" s="1596"/>
      <c r="E47" s="1596"/>
      <c r="F47" s="1596"/>
    </row>
    <row r="48" spans="1:6" ht="14.25">
      <c r="A48" s="413"/>
      <c r="B48" s="413"/>
      <c r="C48" s="14"/>
      <c r="D48" s="1596"/>
      <c r="E48" s="1596"/>
      <c r="F48" s="1596"/>
    </row>
    <row r="49" spans="1:6" ht="14.25">
      <c r="A49" s="413"/>
      <c r="B49" s="413"/>
      <c r="C49" s="14"/>
      <c r="D49" s="1596"/>
      <c r="E49" s="1596"/>
      <c r="F49" s="1596"/>
    </row>
    <row r="50" spans="1:6" ht="14.25">
      <c r="A50" s="413"/>
      <c r="B50" s="413"/>
      <c r="C50" s="14"/>
      <c r="D50" s="1596"/>
      <c r="E50" s="1596"/>
      <c r="F50" s="1596"/>
    </row>
    <row r="51" spans="1:6" ht="14.25">
      <c r="A51" s="413"/>
      <c r="B51" s="413"/>
      <c r="C51" s="14"/>
      <c r="D51" s="403"/>
    </row>
    <row r="52" spans="1:6" ht="14.25">
      <c r="A52" s="413"/>
      <c r="B52" s="924" t="s">
        <v>135</v>
      </c>
      <c r="C52" s="14"/>
      <c r="D52" s="1563" t="s">
        <v>2079</v>
      </c>
      <c r="E52" s="1596"/>
      <c r="F52" s="1596"/>
    </row>
    <row r="53" spans="1:6" ht="14.25">
      <c r="A53" s="413"/>
      <c r="B53" s="413"/>
      <c r="C53" s="14"/>
      <c r="D53" s="1596"/>
      <c r="E53" s="1596"/>
      <c r="F53" s="1596"/>
    </row>
    <row r="54" spans="1:6" ht="14.25">
      <c r="A54" s="413"/>
      <c r="B54" s="413"/>
      <c r="C54" s="14"/>
      <c r="D54" s="1596"/>
      <c r="E54" s="1596"/>
      <c r="F54" s="1596"/>
    </row>
    <row r="55" spans="1:6" ht="14.25">
      <c r="A55" s="413"/>
      <c r="B55" s="413"/>
      <c r="C55" s="14"/>
      <c r="D55" s="1596"/>
      <c r="E55" s="1596"/>
      <c r="F55" s="1596"/>
    </row>
    <row r="56" spans="1:6" ht="14.25">
      <c r="A56" s="413"/>
      <c r="B56" s="413"/>
      <c r="C56" s="14"/>
      <c r="D56" s="1596"/>
      <c r="E56" s="1596"/>
      <c r="F56" s="1596"/>
    </row>
    <row r="57" spans="1:6" ht="15" customHeight="1">
      <c r="A57" s="413"/>
      <c r="B57" s="413"/>
      <c r="C57" s="14"/>
      <c r="D57" s="1596"/>
      <c r="E57" s="1596"/>
      <c r="F57" s="1596"/>
    </row>
    <row r="58" spans="1:6" ht="14.25">
      <c r="A58" s="413"/>
      <c r="B58" s="413"/>
      <c r="C58" s="14"/>
      <c r="D58" s="2"/>
    </row>
    <row r="59" spans="1:6" ht="14.25">
      <c r="A59" s="413"/>
      <c r="B59" s="924" t="s">
        <v>135</v>
      </c>
      <c r="C59" s="14"/>
      <c r="D59" s="1563" t="s">
        <v>2130</v>
      </c>
      <c r="E59" s="1596"/>
      <c r="F59" s="1596"/>
    </row>
    <row r="60" spans="1:6" ht="14.25">
      <c r="A60" s="413"/>
      <c r="B60" s="413"/>
      <c r="C60" s="14"/>
      <c r="D60" s="1596"/>
      <c r="E60" s="1596"/>
      <c r="F60" s="1596"/>
    </row>
    <row r="61" spans="1:6" ht="14.25">
      <c r="A61" s="413"/>
      <c r="B61" s="413"/>
      <c r="C61" s="14"/>
      <c r="D61" s="1596"/>
      <c r="E61" s="1596"/>
      <c r="F61" s="1596"/>
    </row>
    <row r="62" spans="1:6" ht="14.25">
      <c r="A62" s="413"/>
      <c r="B62" s="413"/>
      <c r="C62" s="14"/>
      <c r="D62" s="1596"/>
      <c r="E62" s="1596"/>
      <c r="F62" s="1596"/>
    </row>
    <row r="63" spans="1:6" ht="17.25" customHeight="1">
      <c r="A63" s="413"/>
      <c r="B63" s="413"/>
      <c r="C63" s="14"/>
      <c r="D63" s="1596"/>
      <c r="E63" s="1596"/>
      <c r="F63" s="1596"/>
    </row>
    <row r="64" spans="1:6" ht="14.25" customHeight="1">
      <c r="A64" s="413"/>
      <c r="B64" s="924" t="s">
        <v>135</v>
      </c>
      <c r="C64" s="14"/>
      <c r="D64" s="1551" t="s">
        <v>1575</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25">
      <c r="A67" s="413"/>
      <c r="B67" s="413"/>
      <c r="C67" s="14"/>
      <c r="D67" s="136"/>
    </row>
    <row r="68" spans="1:6" ht="14.25" customHeight="1">
      <c r="A68" s="552"/>
      <c r="B68" s="924" t="s">
        <v>1499</v>
      </c>
      <c r="D68" s="1563" t="s">
        <v>2301</v>
      </c>
      <c r="E68" s="1596"/>
      <c r="F68" s="1596"/>
    </row>
    <row r="69" spans="1:6" ht="12.75">
      <c r="D69" s="1596"/>
      <c r="E69" s="1596"/>
      <c r="F69" s="1596"/>
    </row>
    <row r="70" spans="1:6" ht="12.75">
      <c r="D70" s="1596"/>
      <c r="E70" s="1596"/>
      <c r="F70" s="1596"/>
    </row>
    <row r="71" spans="1:6" ht="14.25">
      <c r="A71" s="552"/>
      <c r="B71" s="552"/>
      <c r="D71" s="928"/>
      <c r="E71" s="1503" t="s">
        <v>2298</v>
      </c>
      <c r="F71" s="928"/>
    </row>
    <row r="72" spans="1:6" ht="14.25">
      <c r="A72" s="413"/>
      <c r="B72" s="413"/>
      <c r="C72" s="14"/>
      <c r="D72" s="136"/>
    </row>
    <row r="73" spans="1:6" ht="14.25">
      <c r="A73" s="413"/>
      <c r="B73" s="924" t="s">
        <v>135</v>
      </c>
      <c r="C73" s="14"/>
      <c r="D73" s="1596" t="s">
        <v>1684</v>
      </c>
      <c r="E73" s="1596"/>
      <c r="F73" s="1596"/>
    </row>
    <row r="74" spans="1:6" ht="12.75">
      <c r="A74" s="140"/>
      <c r="B74" s="140"/>
      <c r="C74" s="14"/>
      <c r="D74" s="1596"/>
      <c r="E74" s="1596"/>
      <c r="F74" s="1596"/>
    </row>
    <row r="75" spans="1:6" ht="12.75">
      <c r="A75" s="140"/>
      <c r="B75" s="140"/>
      <c r="C75" s="14"/>
      <c r="D75" s="1596"/>
      <c r="E75" s="1596"/>
      <c r="F75" s="1596"/>
    </row>
    <row r="76" spans="1:6" ht="12.75">
      <c r="A76" s="140"/>
      <c r="B76" s="140"/>
      <c r="C76" s="14"/>
      <c r="D76" s="282"/>
      <c r="E76" s="282"/>
      <c r="F76" s="282"/>
    </row>
    <row r="77" spans="1:6" ht="14.25">
      <c r="A77" s="413" t="s">
        <v>254</v>
      </c>
      <c r="B77" s="924" t="s">
        <v>135</v>
      </c>
      <c r="C77" s="14"/>
      <c r="D77" s="1596" t="s">
        <v>1576</v>
      </c>
      <c r="E77" s="1596"/>
      <c r="F77" s="1596"/>
    </row>
    <row r="78" spans="1:6" ht="12.75">
      <c r="A78" s="140"/>
      <c r="B78" s="140"/>
      <c r="C78" s="14"/>
      <c r="D78" s="1596"/>
      <c r="E78" s="1596"/>
      <c r="F78" s="1596"/>
    </row>
    <row r="79" spans="1:6" ht="12.75">
      <c r="A79" s="140"/>
      <c r="B79" s="140"/>
      <c r="C79" s="14"/>
      <c r="D79" s="282"/>
      <c r="E79" s="282"/>
      <c r="F79" s="282"/>
    </row>
    <row r="80" spans="1:6" ht="14.25">
      <c r="A80" s="413" t="s">
        <v>254</v>
      </c>
      <c r="B80" s="924" t="s">
        <v>1499</v>
      </c>
      <c r="C80" s="14"/>
      <c r="D80" s="1596" t="s">
        <v>1577</v>
      </c>
      <c r="E80" s="1596"/>
      <c r="F80" s="1596"/>
    </row>
    <row r="81" spans="1:7" ht="12.75">
      <c r="A81" s="140"/>
      <c r="B81" s="140"/>
      <c r="C81" s="14"/>
      <c r="D81" s="1596"/>
      <c r="E81" s="1596"/>
      <c r="F81" s="1596"/>
    </row>
    <row r="82" spans="1:7" ht="12.75">
      <c r="A82" s="140"/>
      <c r="B82" s="140"/>
      <c r="C82" s="14"/>
      <c r="D82" s="1596"/>
      <c r="E82" s="1596"/>
      <c r="F82" s="1596"/>
    </row>
    <row r="83" spans="1:7" ht="12.75">
      <c r="A83" s="140"/>
      <c r="B83" s="140"/>
      <c r="C83" s="14"/>
      <c r="D83" s="403"/>
      <c r="E83" s="282"/>
      <c r="F83" s="282"/>
    </row>
    <row r="84" spans="1:7" ht="14.25">
      <c r="A84" s="413" t="s">
        <v>254</v>
      </c>
      <c r="B84" s="924" t="s">
        <v>135</v>
      </c>
      <c r="C84" s="14"/>
      <c r="D84" s="1553" t="s">
        <v>1578</v>
      </c>
      <c r="E84" s="1553"/>
      <c r="F84" s="1553"/>
    </row>
    <row r="85" spans="1:7" ht="12.75">
      <c r="A85" s="140"/>
      <c r="B85" s="140"/>
      <c r="C85" s="14"/>
      <c r="D85" s="1553"/>
      <c r="E85" s="1553"/>
      <c r="F85" s="1553"/>
    </row>
    <row r="86" spans="1:7" ht="12.75">
      <c r="A86" s="140"/>
      <c r="B86" s="140"/>
      <c r="C86" s="14"/>
      <c r="D86" s="282"/>
      <c r="E86" s="282"/>
      <c r="F86" s="282"/>
    </row>
    <row r="87" spans="1:7" ht="12.75">
      <c r="A87" s="1561" t="s">
        <v>1503</v>
      </c>
      <c r="B87" s="1561"/>
      <c r="C87" s="1561"/>
      <c r="D87" s="1561"/>
      <c r="E87" s="1561"/>
      <c r="F87" s="1561"/>
      <c r="G87" s="1561"/>
    </row>
    <row r="88" spans="1:7" ht="12.75">
      <c r="A88" s="140"/>
      <c r="B88" s="140"/>
      <c r="C88" s="14"/>
      <c r="D88" s="282"/>
      <c r="E88" s="2"/>
      <c r="F88" s="2"/>
      <c r="G88" s="2"/>
    </row>
    <row r="89" spans="1:7" ht="13.7" customHeight="1">
      <c r="A89" s="140"/>
      <c r="B89" s="140"/>
      <c r="C89" s="900"/>
      <c r="D89" s="1564" t="s">
        <v>1504</v>
      </c>
      <c r="E89" s="1564"/>
      <c r="F89" s="1564"/>
      <c r="G89" s="2"/>
    </row>
    <row r="90" spans="1:7" ht="13.7" customHeight="1">
      <c r="A90" s="143"/>
      <c r="B90" s="143"/>
      <c r="C90" s="14"/>
      <c r="D90" s="1553" t="s">
        <v>1687</v>
      </c>
      <c r="E90" s="1553"/>
      <c r="F90" s="1553"/>
      <c r="G90" s="2"/>
    </row>
    <row r="91" spans="1:7" ht="12.75">
      <c r="A91" s="143"/>
      <c r="B91" s="143"/>
      <c r="C91" s="14"/>
      <c r="D91" s="282"/>
      <c r="E91" s="2"/>
      <c r="F91" s="2"/>
      <c r="G91" s="2"/>
    </row>
    <row r="92" spans="1:7" ht="14.25" customHeight="1">
      <c r="A92" s="413"/>
      <c r="B92" s="1517" t="s">
        <v>1499</v>
      </c>
      <c r="C92" s="14"/>
      <c r="D92" s="1587" t="s">
        <v>2049</v>
      </c>
      <c r="E92" s="1587"/>
      <c r="F92" s="1587"/>
      <c r="G92" s="2"/>
    </row>
    <row r="93" spans="1:7" ht="14.45" customHeight="1">
      <c r="A93" s="413"/>
      <c r="B93" s="14"/>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25">
      <c r="A96" s="413"/>
      <c r="B96" s="413"/>
      <c r="C96" s="14"/>
      <c r="D96" s="1587"/>
      <c r="E96" s="1587"/>
      <c r="F96" s="1587"/>
      <c r="G96" s="2"/>
    </row>
    <row r="97" spans="1:7" ht="14.25">
      <c r="A97" s="413"/>
      <c r="B97" s="413"/>
      <c r="C97" s="14"/>
      <c r="D97" s="1587"/>
      <c r="E97" s="1587"/>
      <c r="F97" s="1587"/>
      <c r="G97" s="2"/>
    </row>
    <row r="98" spans="1:7" ht="14.25">
      <c r="A98" s="413"/>
      <c r="B98" s="413"/>
      <c r="C98" s="14"/>
      <c r="D98" s="1587"/>
      <c r="E98" s="1587"/>
      <c r="F98" s="1587"/>
      <c r="G98" s="2"/>
    </row>
    <row r="99" spans="1:7" ht="14.25">
      <c r="A99" s="413"/>
      <c r="B99" s="413"/>
      <c r="C99" s="14"/>
      <c r="D99" s="1587"/>
      <c r="E99" s="1587"/>
      <c r="F99" s="1587"/>
      <c r="G99" s="2"/>
    </row>
    <row r="100" spans="1:7" ht="14.25">
      <c r="A100" s="413"/>
      <c r="B100" s="413"/>
      <c r="C100" s="14"/>
      <c r="D100" s="1587"/>
      <c r="E100" s="1587"/>
      <c r="F100" s="1587"/>
      <c r="G100" s="2"/>
    </row>
    <row r="101" spans="1:7" ht="14.45" customHeight="1">
      <c r="A101" s="413"/>
      <c r="B101" s="957" t="s">
        <v>135</v>
      </c>
      <c r="C101" s="14"/>
      <c r="D101" s="1557" t="s">
        <v>2050</v>
      </c>
      <c r="E101" s="1557"/>
      <c r="F101" s="1557"/>
      <c r="G101" s="2"/>
    </row>
    <row r="102" spans="1:7" ht="14.25">
      <c r="A102" s="413"/>
      <c r="B102" s="413"/>
      <c r="C102" s="14"/>
      <c r="D102" s="1557"/>
      <c r="E102" s="1557"/>
      <c r="F102" s="1557"/>
      <c r="G102" s="2"/>
    </row>
    <row r="103" spans="1:7" ht="14.25">
      <c r="A103" s="413"/>
      <c r="B103" s="413"/>
      <c r="C103" s="14"/>
      <c r="D103" s="1557"/>
      <c r="E103" s="1557"/>
      <c r="F103" s="1557"/>
      <c r="G103" s="2"/>
    </row>
    <row r="104" spans="1:7" ht="14.25">
      <c r="A104" s="413"/>
      <c r="B104" s="413"/>
      <c r="C104" s="14"/>
      <c r="D104" s="1557"/>
      <c r="E104" s="1557"/>
      <c r="F104" s="1557"/>
      <c r="G104" s="2"/>
    </row>
    <row r="105" spans="1:7" ht="14.25">
      <c r="A105" s="413"/>
      <c r="B105" s="413"/>
      <c r="C105" s="14"/>
      <c r="D105" s="1557"/>
      <c r="E105" s="1557"/>
      <c r="F105" s="1557"/>
      <c r="G105" s="2"/>
    </row>
    <row r="106" spans="1:7" ht="14.25">
      <c r="A106" s="413"/>
      <c r="B106" s="413"/>
      <c r="C106" s="14"/>
      <c r="D106" s="1557"/>
      <c r="E106" s="1557"/>
      <c r="F106" s="1557"/>
      <c r="G106" s="2"/>
    </row>
    <row r="107" spans="1:7" ht="14.25">
      <c r="A107" s="413"/>
      <c r="B107" s="413"/>
      <c r="C107" s="14"/>
      <c r="D107" s="1557"/>
      <c r="E107" s="1557"/>
      <c r="F107" s="1557"/>
      <c r="G107" s="2"/>
    </row>
    <row r="108" spans="1:7" ht="14.25">
      <c r="A108" s="413"/>
      <c r="B108" s="413"/>
      <c r="C108" s="14"/>
      <c r="D108" s="1557"/>
      <c r="E108" s="1557"/>
      <c r="F108" s="1557"/>
      <c r="G108" s="2"/>
    </row>
    <row r="109" spans="1:7" ht="14.25">
      <c r="A109" s="413"/>
      <c r="B109" s="413"/>
      <c r="C109" s="14"/>
      <c r="D109" s="1557"/>
      <c r="E109" s="1557"/>
      <c r="F109" s="1557"/>
      <c r="G109" s="2"/>
    </row>
    <row r="110" spans="1:7" ht="14.25">
      <c r="A110" s="413"/>
      <c r="B110" s="413"/>
      <c r="C110" s="14"/>
      <c r="D110" s="1557"/>
      <c r="E110" s="1557"/>
      <c r="F110" s="1557"/>
      <c r="G110" s="2"/>
    </row>
    <row r="111" spans="1:7" ht="14.25">
      <c r="A111" s="413"/>
      <c r="B111" s="413"/>
      <c r="C111" s="14"/>
      <c r="D111" s="1557"/>
      <c r="E111" s="1557"/>
      <c r="F111" s="1557"/>
      <c r="G111" s="2"/>
    </row>
    <row r="112" spans="1:7" ht="14.25">
      <c r="A112" s="413"/>
      <c r="B112" s="413"/>
      <c r="C112" s="14"/>
      <c r="D112" s="1557"/>
      <c r="E112" s="1557"/>
      <c r="F112" s="1557"/>
      <c r="G112" s="2"/>
    </row>
    <row r="113" spans="1:7" ht="14.25">
      <c r="A113" s="413"/>
      <c r="B113" s="413"/>
      <c r="C113" s="14"/>
      <c r="D113" s="1557"/>
      <c r="E113" s="1557"/>
      <c r="F113" s="1557"/>
      <c r="G113" s="2"/>
    </row>
    <row r="114" spans="1:7" ht="14.25">
      <c r="A114" s="413"/>
      <c r="B114" s="957" t="s">
        <v>135</v>
      </c>
      <c r="C114" s="14"/>
      <c r="D114" s="1553" t="s">
        <v>1688</v>
      </c>
      <c r="E114" s="1553"/>
      <c r="F114" s="1553"/>
      <c r="G114" s="2"/>
    </row>
    <row r="115" spans="1:7" ht="14.25">
      <c r="A115" s="413"/>
      <c r="B115" s="413"/>
      <c r="C115" s="14"/>
      <c r="D115" s="1553"/>
      <c r="E115" s="1553"/>
      <c r="F115" s="1553"/>
      <c r="G115" s="2"/>
    </row>
    <row r="116" spans="1:7" ht="14.25">
      <c r="A116" s="413"/>
      <c r="B116" s="413"/>
      <c r="C116" s="14"/>
      <c r="D116" s="1553"/>
      <c r="E116" s="1553"/>
      <c r="F116" s="1553"/>
      <c r="G116" s="2"/>
    </row>
    <row r="117" spans="1:7" ht="14.25">
      <c r="A117" s="413"/>
      <c r="B117" s="413"/>
      <c r="C117" s="14"/>
      <c r="D117" s="1553"/>
      <c r="E117" s="1553"/>
      <c r="F117" s="1553"/>
      <c r="G117" s="2"/>
    </row>
    <row r="118" spans="1:7" ht="14.25">
      <c r="A118" s="413"/>
      <c r="B118" s="413"/>
      <c r="C118" s="14"/>
      <c r="D118" s="1553"/>
      <c r="E118" s="1553"/>
      <c r="F118" s="1553"/>
      <c r="G118" s="2"/>
    </row>
    <row r="119" spans="1:7" ht="14.25">
      <c r="A119" s="413"/>
      <c r="B119" s="413"/>
      <c r="C119" s="14"/>
      <c r="D119" s="1553"/>
      <c r="E119" s="1553"/>
      <c r="F119" s="1553"/>
      <c r="G119" s="2"/>
    </row>
    <row r="120" spans="1:7" ht="14.25">
      <c r="A120" s="413"/>
      <c r="B120" s="413"/>
      <c r="C120" s="14"/>
      <c r="D120" s="1553"/>
      <c r="E120" s="1553"/>
      <c r="F120" s="1553"/>
      <c r="G120" s="2"/>
    </row>
    <row r="121" spans="1:7" ht="14.25">
      <c r="A121" s="413"/>
      <c r="B121" s="413"/>
      <c r="C121" s="14"/>
      <c r="D121" s="1553"/>
      <c r="E121" s="1553"/>
      <c r="F121" s="1553"/>
      <c r="G121" s="2"/>
    </row>
    <row r="122" spans="1:7" ht="12.75" customHeight="1">
      <c r="A122" s="413"/>
      <c r="B122" s="924" t="s">
        <v>135</v>
      </c>
      <c r="C122" s="14"/>
      <c r="D122" s="1553" t="s">
        <v>1689</v>
      </c>
      <c r="E122" s="1553"/>
      <c r="F122" s="1553"/>
    </row>
    <row r="123" spans="1:7" ht="12.75">
      <c r="A123" s="140"/>
      <c r="B123" s="140"/>
      <c r="C123" s="14"/>
      <c r="D123" s="1553"/>
      <c r="E123" s="1553"/>
      <c r="F123" s="1553"/>
    </row>
    <row r="124" spans="1:7" ht="12.75">
      <c r="A124" s="140"/>
      <c r="B124" s="140"/>
      <c r="C124" s="14"/>
      <c r="D124" s="1553"/>
      <c r="E124" s="1553"/>
      <c r="F124" s="1553"/>
    </row>
    <row r="125" spans="1:7" ht="12.75">
      <c r="A125" s="140"/>
      <c r="B125" s="140"/>
      <c r="C125" s="14"/>
      <c r="D125" s="1553"/>
      <c r="E125" s="1553"/>
      <c r="F125" s="1553"/>
    </row>
    <row r="126" spans="1:7" ht="26.85" customHeight="1">
      <c r="A126" s="140"/>
      <c r="B126" s="140"/>
      <c r="C126" s="14"/>
      <c r="D126" s="1553"/>
      <c r="E126" s="1553"/>
      <c r="F126" s="1553"/>
    </row>
    <row r="127" spans="1:7" ht="12.75">
      <c r="A127" s="140"/>
      <c r="B127" s="140"/>
      <c r="C127" s="14"/>
      <c r="D127" s="282"/>
      <c r="E127" s="282"/>
      <c r="F127" s="282"/>
    </row>
    <row r="128" spans="1:7" ht="14.25">
      <c r="A128" s="413"/>
      <c r="B128" s="924" t="s">
        <v>1499</v>
      </c>
      <c r="C128" s="14"/>
      <c r="D128" s="1596" t="s">
        <v>1690</v>
      </c>
      <c r="E128" s="1596"/>
      <c r="F128" s="1596"/>
    </row>
    <row r="129" spans="1:7" s="497" customFormat="1" ht="13.9" customHeight="1">
      <c r="A129" s="487"/>
      <c r="B129" s="487"/>
      <c r="C129" s="488"/>
      <c r="D129" s="1596"/>
      <c r="E129" s="1596"/>
      <c r="F129" s="1596"/>
      <c r="G129" s="558"/>
    </row>
    <row r="130" spans="1:7" ht="13.9" customHeight="1">
      <c r="A130" s="140"/>
      <c r="B130" s="140"/>
      <c r="C130" s="14"/>
      <c r="D130" s="1596"/>
      <c r="E130" s="1596"/>
      <c r="F130" s="1596"/>
    </row>
    <row r="131" spans="1:7" ht="13.9" customHeight="1">
      <c r="A131" s="140"/>
      <c r="B131" s="140"/>
      <c r="C131" s="14"/>
      <c r="D131" s="1596"/>
      <c r="E131" s="1596"/>
      <c r="F131" s="1596"/>
    </row>
    <row r="132" spans="1:7" ht="13.9" customHeight="1">
      <c r="A132" s="140"/>
      <c r="B132" s="140"/>
      <c r="C132" s="14"/>
      <c r="D132" s="1596"/>
      <c r="E132" s="1596"/>
      <c r="F132" s="1596"/>
    </row>
    <row r="133" spans="1:7" ht="13.9" customHeight="1">
      <c r="A133" s="140"/>
      <c r="B133" s="140"/>
      <c r="C133" s="14"/>
      <c r="D133" s="1596"/>
      <c r="E133" s="1596"/>
      <c r="F133" s="1596"/>
    </row>
    <row r="134" spans="1:7" ht="13.9" customHeight="1">
      <c r="A134" s="958"/>
      <c r="B134" s="958"/>
      <c r="C134" s="14"/>
      <c r="D134" s="1596"/>
      <c r="E134" s="1596"/>
      <c r="F134" s="1596"/>
      <c r="G134" s="2"/>
    </row>
    <row r="135" spans="1:7" ht="13.9" customHeight="1">
      <c r="A135" s="958"/>
      <c r="B135" s="958"/>
      <c r="C135" s="14"/>
      <c r="D135" s="1596"/>
      <c r="E135" s="1596"/>
      <c r="F135" s="1596"/>
      <c r="G135" s="2"/>
    </row>
    <row r="136" spans="1:7" ht="13.9" customHeight="1">
      <c r="A136" s="958"/>
      <c r="B136" s="958"/>
      <c r="C136" s="14"/>
      <c r="D136" s="1596"/>
      <c r="E136" s="1596"/>
      <c r="F136" s="1596"/>
      <c r="G136" s="2"/>
    </row>
    <row r="137" spans="1:7" ht="13.9"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 customHeight="1">
      <c r="A140" s="958"/>
      <c r="B140" s="958"/>
      <c r="C140" s="14"/>
      <c r="D140" s="282"/>
      <c r="E140" s="282"/>
      <c r="F140" s="282"/>
      <c r="G140" s="2"/>
    </row>
    <row r="141" spans="1:7" ht="13.9" customHeight="1">
      <c r="A141" s="140"/>
      <c r="B141" s="924" t="s">
        <v>1499</v>
      </c>
      <c r="C141" s="14"/>
      <c r="D141" s="1587" t="s">
        <v>1895</v>
      </c>
      <c r="E141" s="1553"/>
      <c r="F141" s="1553"/>
      <c r="G141" s="2"/>
    </row>
    <row r="142" spans="1:7" ht="13.9" customHeight="1">
      <c r="A142" s="140"/>
      <c r="B142" s="140"/>
      <c r="C142" s="14"/>
      <c r="D142" s="1553"/>
      <c r="E142" s="1553"/>
      <c r="F142" s="1553"/>
      <c r="G142" s="2"/>
    </row>
    <row r="143" spans="1:7" ht="13.9" customHeight="1">
      <c r="A143" s="140"/>
      <c r="B143" s="140"/>
      <c r="C143" s="14"/>
      <c r="D143" s="1553"/>
      <c r="E143" s="1553"/>
      <c r="F143" s="1553"/>
      <c r="G143" s="2"/>
    </row>
    <row r="144" spans="1:7" ht="13.9" customHeight="1">
      <c r="A144" s="150"/>
      <c r="B144" s="150"/>
      <c r="D144" s="1553"/>
      <c r="E144" s="1553"/>
      <c r="F144" s="1553"/>
      <c r="G144" s="2"/>
    </row>
    <row r="145" spans="1:7" ht="13.9" customHeight="1">
      <c r="A145" s="140"/>
      <c r="B145" s="140"/>
      <c r="C145" s="14"/>
      <c r="D145" s="1553"/>
      <c r="E145" s="1553"/>
      <c r="F145" s="1553"/>
      <c r="G145" s="2"/>
    </row>
    <row r="146" spans="1:7" ht="13.9" customHeight="1">
      <c r="A146" s="33"/>
      <c r="B146" s="33"/>
      <c r="C146" s="14"/>
      <c r="D146" s="1553"/>
      <c r="E146" s="1553"/>
      <c r="F146" s="1553"/>
      <c r="G146" s="2"/>
    </row>
    <row r="147" spans="1:7" ht="13.9" customHeight="1">
      <c r="A147" s="33"/>
      <c r="B147" s="33"/>
      <c r="C147" s="14"/>
      <c r="D147" s="1553"/>
      <c r="E147" s="1553"/>
      <c r="F147" s="1553"/>
      <c r="G147" s="2"/>
    </row>
    <row r="148" spans="1:7" ht="13.9" customHeight="1">
      <c r="A148" s="959"/>
      <c r="B148" s="959"/>
      <c r="C148" s="14"/>
      <c r="D148" s="1553"/>
      <c r="E148" s="1553"/>
      <c r="F148" s="1553"/>
      <c r="G148" s="2"/>
    </row>
    <row r="149" spans="1:7" ht="13.9" customHeight="1">
      <c r="A149" s="959"/>
      <c r="B149" s="959"/>
      <c r="C149" s="14"/>
      <c r="D149" s="1553"/>
      <c r="E149" s="1553"/>
      <c r="F149" s="1553"/>
      <c r="G149" s="2"/>
    </row>
    <row r="150" spans="1:7" ht="13.9" customHeight="1">
      <c r="A150" s="959"/>
      <c r="B150" s="959"/>
      <c r="C150" s="14"/>
      <c r="D150" s="1553"/>
      <c r="E150" s="1553"/>
      <c r="F150" s="1553"/>
      <c r="G150" s="2"/>
    </row>
    <row r="151" spans="1:7" ht="13.9" customHeight="1">
      <c r="A151" s="1063"/>
      <c r="B151" s="1063"/>
      <c r="C151" s="14"/>
      <c r="D151" s="1553"/>
      <c r="E151" s="1553"/>
      <c r="F151" s="1553"/>
      <c r="G151" s="2"/>
    </row>
    <row r="152" spans="1:7" ht="13.9" customHeight="1">
      <c r="A152" s="1063"/>
      <c r="B152" s="1063"/>
      <c r="C152" s="14"/>
      <c r="D152" s="1553"/>
      <c r="E152" s="1553"/>
      <c r="F152" s="1553"/>
      <c r="G152" s="2"/>
    </row>
    <row r="153" spans="1:7" ht="13.9" customHeight="1">
      <c r="A153" s="959"/>
      <c r="B153" s="959"/>
      <c r="C153" s="14"/>
      <c r="D153" s="1553"/>
      <c r="E153" s="1553"/>
      <c r="F153" s="1553"/>
      <c r="G153" s="2"/>
    </row>
    <row r="154" spans="1:7" ht="13.9" customHeight="1">
      <c r="A154" s="959"/>
      <c r="B154" s="959"/>
      <c r="C154" s="14"/>
      <c r="D154" s="1553"/>
      <c r="E154" s="1553"/>
      <c r="F154" s="1553"/>
      <c r="G154" s="2"/>
    </row>
    <row r="155" spans="1:7" ht="13.9" customHeight="1">
      <c r="A155" s="959"/>
      <c r="B155" s="959"/>
      <c r="C155" s="14"/>
      <c r="D155" s="1553"/>
      <c r="E155" s="1553"/>
      <c r="F155" s="1553"/>
      <c r="G155" s="2"/>
    </row>
    <row r="156" spans="1:7" ht="13.9" customHeight="1">
      <c r="A156" s="959"/>
      <c r="B156" s="959"/>
      <c r="C156" s="14"/>
      <c r="D156" s="1553"/>
      <c r="E156" s="1553"/>
      <c r="F156" s="1553"/>
      <c r="G156" s="2"/>
    </row>
    <row r="157" spans="1:7" ht="13.9" customHeight="1">
      <c r="A157" s="959"/>
      <c r="B157" s="959"/>
      <c r="C157" s="14"/>
      <c r="D157" s="1553"/>
      <c r="E157" s="1553"/>
      <c r="F157" s="1553"/>
      <c r="G157" s="2"/>
    </row>
    <row r="158" spans="1:7" ht="13.9" customHeight="1">
      <c r="A158" s="959"/>
      <c r="B158" s="959"/>
      <c r="C158" s="14"/>
      <c r="D158" s="1553"/>
      <c r="E158" s="1553"/>
      <c r="F158" s="1553"/>
      <c r="G158" s="2"/>
    </row>
    <row r="159" spans="1:7" ht="13.9" customHeight="1">
      <c r="A159" s="1069"/>
      <c r="B159" s="1069"/>
      <c r="C159" s="14"/>
      <c r="D159" s="1626" t="s">
        <v>1896</v>
      </c>
      <c r="E159" s="1626"/>
      <c r="F159" s="1626"/>
      <c r="G159" s="2"/>
    </row>
    <row r="160" spans="1:7" ht="13.9" customHeight="1">
      <c r="A160" s="959"/>
      <c r="B160" s="959"/>
      <c r="C160" s="14"/>
      <c r="D160" s="955"/>
      <c r="E160" s="282"/>
      <c r="F160" s="282"/>
      <c r="G160" s="2"/>
    </row>
    <row r="161" spans="1:7" ht="13.9" customHeight="1">
      <c r="A161" s="413"/>
      <c r="B161" s="924" t="s">
        <v>135</v>
      </c>
      <c r="C161" s="14"/>
      <c r="D161" s="1628" t="s">
        <v>1926</v>
      </c>
      <c r="E161" s="1629"/>
      <c r="F161" s="1629"/>
      <c r="G161" s="2"/>
    </row>
    <row r="162" spans="1:7" ht="13.9" customHeight="1">
      <c r="A162" s="413"/>
      <c r="B162" s="1080"/>
      <c r="C162" s="14"/>
      <c r="D162" s="1629"/>
      <c r="E162" s="1629"/>
      <c r="F162" s="1629"/>
      <c r="G162" s="2"/>
    </row>
    <row r="163" spans="1:7" ht="13.9" customHeight="1">
      <c r="A163" s="33"/>
      <c r="B163" s="33"/>
      <c r="C163" s="14"/>
      <c r="D163" s="1629"/>
      <c r="E163" s="1629"/>
      <c r="F163" s="1629"/>
      <c r="G163" s="2"/>
    </row>
    <row r="164" spans="1:7" ht="13.9" customHeight="1">
      <c r="A164" s="33"/>
      <c r="B164" s="33"/>
      <c r="C164" s="14"/>
      <c r="D164" s="287"/>
      <c r="E164" s="282"/>
      <c r="F164" s="282"/>
      <c r="G164" s="2"/>
    </row>
    <row r="165" spans="1:7" ht="13.9" customHeight="1">
      <c r="A165" s="413"/>
      <c r="B165" s="924" t="s">
        <v>1499</v>
      </c>
      <c r="C165" s="14"/>
      <c r="D165" s="1630" t="s">
        <v>1691</v>
      </c>
      <c r="E165" s="1630"/>
      <c r="F165" s="1630"/>
      <c r="G165" s="2"/>
    </row>
    <row r="166" spans="1:7" ht="13.9" customHeight="1">
      <c r="A166" s="33"/>
      <c r="B166" s="33"/>
      <c r="C166" s="14"/>
      <c r="D166" s="1630"/>
      <c r="E166" s="1630"/>
      <c r="F166" s="1630"/>
    </row>
    <row r="167" spans="1:7" ht="13.9" customHeight="1">
      <c r="A167" s="33"/>
      <c r="B167" s="33"/>
      <c r="C167" s="14"/>
      <c r="D167" s="1630"/>
      <c r="E167" s="1630"/>
      <c r="F167" s="1630"/>
    </row>
    <row r="168" spans="1:7" ht="13.9" customHeight="1">
      <c r="A168" s="33"/>
      <c r="B168" s="33"/>
      <c r="C168" s="14"/>
      <c r="D168" s="1630"/>
      <c r="E168" s="1630"/>
      <c r="F168" s="1630"/>
    </row>
    <row r="169" spans="1:7" ht="13.9" customHeight="1">
      <c r="A169" s="33"/>
      <c r="B169" s="33"/>
      <c r="C169" s="14"/>
      <c r="D169" s="287"/>
      <c r="E169" s="282"/>
      <c r="F169" s="282"/>
    </row>
    <row r="170" spans="1:7" ht="13.9" customHeight="1">
      <c r="A170" s="574"/>
      <c r="B170" s="924" t="s">
        <v>135</v>
      </c>
      <c r="C170" s="573"/>
      <c r="D170" s="1622" t="s">
        <v>1692</v>
      </c>
      <c r="E170" s="1622"/>
      <c r="F170" s="1622"/>
      <c r="G170" s="692"/>
    </row>
    <row r="171" spans="1:7" ht="13.9" customHeight="1">
      <c r="A171" s="574"/>
      <c r="B171" s="574"/>
      <c r="C171" s="573"/>
      <c r="D171" s="1622"/>
      <c r="E171" s="1622"/>
      <c r="F171" s="1622"/>
      <c r="G171" s="692"/>
    </row>
    <row r="172" spans="1:7" ht="13.9" customHeight="1">
      <c r="A172" s="574"/>
      <c r="B172" s="574"/>
      <c r="C172" s="573"/>
      <c r="D172" s="1622"/>
      <c r="E172" s="1622"/>
      <c r="F172" s="1622"/>
      <c r="G172" s="692"/>
    </row>
    <row r="173" spans="1:7" ht="12.75">
      <c r="A173" s="574"/>
      <c r="B173" s="574"/>
      <c r="C173" s="573"/>
      <c r="D173" s="576"/>
      <c r="E173" s="564"/>
      <c r="F173" s="564"/>
      <c r="G173" s="692"/>
    </row>
    <row r="174" spans="1:7" ht="12.75">
      <c r="A174" s="1561" t="s">
        <v>1506</v>
      </c>
      <c r="B174" s="1561"/>
      <c r="C174" s="1561"/>
      <c r="D174" s="1561"/>
      <c r="E174" s="1561"/>
      <c r="F174" s="1561"/>
      <c r="G174" s="1561"/>
    </row>
    <row r="175" spans="1:7" ht="12.75">
      <c r="A175" s="140"/>
      <c r="B175" s="140"/>
      <c r="C175" s="14"/>
      <c r="D175" s="287"/>
      <c r="E175" s="282"/>
      <c r="F175" s="282"/>
    </row>
    <row r="176" spans="1:7" ht="12.75">
      <c r="A176" s="140"/>
      <c r="B176" s="140"/>
      <c r="C176" s="900"/>
      <c r="D176" s="1617" t="s">
        <v>1505</v>
      </c>
      <c r="E176" s="1617"/>
      <c r="F176" s="1617"/>
    </row>
    <row r="177" spans="1:7" ht="12.75">
      <c r="A177" s="414"/>
      <c r="B177" s="414"/>
      <c r="C177" s="298"/>
      <c r="D177" s="1623" t="s">
        <v>1540</v>
      </c>
      <c r="E177" s="1623"/>
      <c r="F177" s="1623"/>
    </row>
    <row r="178" spans="1:7" ht="12.75">
      <c r="A178" s="415"/>
      <c r="B178" s="415"/>
      <c r="C178" s="299"/>
      <c r="D178" s="282"/>
      <c r="E178" s="282"/>
      <c r="F178" s="282"/>
    </row>
    <row r="179" spans="1:7" ht="14.25">
      <c r="A179" s="413"/>
      <c r="B179" s="924" t="s">
        <v>135</v>
      </c>
      <c r="C179" s="302"/>
      <c r="D179" s="1624" t="s">
        <v>1898</v>
      </c>
      <c r="E179" s="1608"/>
      <c r="F179" s="1608"/>
      <c r="G179" s="288"/>
    </row>
    <row r="180" spans="1:7" ht="14.25">
      <c r="A180" s="413"/>
      <c r="B180" s="417"/>
      <c r="C180" s="302"/>
      <c r="D180" s="1243"/>
      <c r="E180" s="1242"/>
      <c r="F180" s="1242"/>
      <c r="G180" s="288"/>
    </row>
    <row r="181" spans="1:7" ht="14.25">
      <c r="A181" s="413"/>
      <c r="B181" s="924" t="s">
        <v>135</v>
      </c>
      <c r="C181" s="302"/>
      <c r="D181" s="1608" t="s">
        <v>1693</v>
      </c>
      <c r="E181" s="1608"/>
      <c r="F181" s="1608"/>
      <c r="G181" s="288"/>
    </row>
    <row r="182" spans="1:7" ht="14.25">
      <c r="A182" s="413"/>
      <c r="B182" s="417"/>
      <c r="C182" s="302"/>
      <c r="D182" s="1242"/>
      <c r="E182" s="1242"/>
      <c r="F182" s="1242"/>
      <c r="G182" s="288"/>
    </row>
    <row r="183" spans="1:7" ht="14.25">
      <c r="A183" s="413"/>
      <c r="B183" s="1244" t="s">
        <v>135</v>
      </c>
      <c r="C183" s="302"/>
      <c r="D183" s="1627" t="s">
        <v>1981</v>
      </c>
      <c r="E183" s="1627"/>
      <c r="F183" s="1627"/>
      <c r="G183" s="288"/>
    </row>
    <row r="184" spans="1:7" ht="13.7" customHeight="1">
      <c r="A184" s="413"/>
      <c r="B184" s="417"/>
      <c r="C184" s="302"/>
      <c r="D184" s="1246" t="s">
        <v>983</v>
      </c>
      <c r="E184" s="1522" t="s">
        <v>1983</v>
      </c>
      <c r="F184" s="1522"/>
      <c r="G184" s="288"/>
    </row>
    <row r="185" spans="1:7" ht="14.25">
      <c r="A185" s="413"/>
      <c r="B185" s="417"/>
      <c r="C185" s="302"/>
      <c r="D185" s="1245"/>
      <c r="E185" s="1522"/>
      <c r="F185" s="1522"/>
      <c r="G185" s="288"/>
    </row>
    <row r="186" spans="1:7" ht="14.25">
      <c r="A186" s="413"/>
      <c r="B186" s="417"/>
      <c r="C186" s="302"/>
      <c r="D186" s="1245"/>
      <c r="E186" s="1522"/>
      <c r="F186" s="1522"/>
      <c r="G186" s="288"/>
    </row>
    <row r="187" spans="1:7" ht="14.25">
      <c r="A187" s="413"/>
      <c r="B187" s="417"/>
      <c r="C187" s="302"/>
      <c r="D187" s="2"/>
      <c r="E187" s="1522"/>
      <c r="F187" s="1522"/>
      <c r="G187" s="288"/>
    </row>
    <row r="188" spans="1:7" ht="13.7" customHeight="1">
      <c r="A188" s="413"/>
      <c r="B188" s="417"/>
      <c r="C188" s="302"/>
      <c r="D188" s="1245" t="s">
        <v>984</v>
      </c>
      <c r="E188" s="1587" t="s">
        <v>1982</v>
      </c>
      <c r="F188" s="1587"/>
      <c r="G188" s="288"/>
    </row>
    <row r="189" spans="1:7" ht="13.7" customHeight="1">
      <c r="A189" s="413"/>
      <c r="B189" s="417"/>
      <c r="C189" s="302"/>
      <c r="D189" s="1245"/>
      <c r="E189" s="1587"/>
      <c r="F189" s="1587"/>
      <c r="G189" s="288"/>
    </row>
    <row r="190" spans="1:7" ht="13.7" customHeight="1">
      <c r="A190" s="413"/>
      <c r="B190" s="417"/>
      <c r="C190" s="302"/>
      <c r="D190" s="1245"/>
      <c r="E190" s="1587"/>
      <c r="F190" s="1587"/>
      <c r="G190" s="288"/>
    </row>
    <row r="191" spans="1:7" ht="13.7" customHeight="1">
      <c r="A191" s="413"/>
      <c r="B191" s="417"/>
      <c r="C191" s="302"/>
      <c r="D191" s="1245"/>
      <c r="E191" s="1587"/>
      <c r="F191" s="1587"/>
      <c r="G191" s="288"/>
    </row>
    <row r="192" spans="1:7" ht="13.7" customHeight="1">
      <c r="A192" s="413"/>
      <c r="B192" s="417"/>
      <c r="C192" s="302"/>
      <c r="D192" s="1245"/>
      <c r="E192" s="1587"/>
      <c r="F192" s="1587"/>
      <c r="G192" s="288"/>
    </row>
    <row r="193" spans="1:7" ht="14.25">
      <c r="A193" s="413"/>
      <c r="B193" s="417"/>
      <c r="C193" s="302"/>
      <c r="D193" s="2"/>
      <c r="E193" s="1587"/>
      <c r="F193" s="1587"/>
      <c r="G193" s="288"/>
    </row>
    <row r="194" spans="1:7" ht="14.25">
      <c r="A194" s="413"/>
      <c r="B194" s="417"/>
      <c r="C194" s="302"/>
      <c r="D194" s="2"/>
      <c r="E194" s="1587"/>
      <c r="F194" s="1587"/>
      <c r="G194" s="288"/>
    </row>
    <row r="195" spans="1:7" ht="12.75">
      <c r="A195" s="417"/>
      <c r="B195" s="417"/>
      <c r="C195" s="302"/>
      <c r="D195" s="282"/>
      <c r="E195" s="283"/>
      <c r="F195" s="283"/>
      <c r="G195" s="288"/>
    </row>
    <row r="196" spans="1:7" ht="14.25">
      <c r="A196" s="413"/>
      <c r="B196" s="924" t="s">
        <v>135</v>
      </c>
      <c r="C196" s="302"/>
      <c r="D196" s="1529" t="s">
        <v>1694</v>
      </c>
      <c r="E196" s="1529"/>
      <c r="F196" s="1529"/>
      <c r="G196" s="288"/>
    </row>
    <row r="197" spans="1:7" ht="14.25">
      <c r="A197" s="413"/>
      <c r="B197" s="413"/>
      <c r="C197" s="302"/>
      <c r="D197" s="1529"/>
      <c r="E197" s="1529"/>
      <c r="F197" s="1529"/>
      <c r="G197" s="288"/>
    </row>
    <row r="198" spans="1:7" ht="14.25">
      <c r="A198" s="413"/>
      <c r="B198" s="413"/>
      <c r="C198" s="302"/>
      <c r="D198" s="1529"/>
      <c r="E198" s="1529"/>
      <c r="F198" s="1529"/>
      <c r="G198" s="288"/>
    </row>
    <row r="199" spans="1:7" ht="14.25">
      <c r="A199" s="413"/>
      <c r="B199" s="413"/>
      <c r="C199" s="302"/>
      <c r="D199" s="1529"/>
      <c r="E199" s="1529"/>
      <c r="F199" s="1529"/>
      <c r="G199" s="288"/>
    </row>
    <row r="200" spans="1:7" ht="12.75">
      <c r="A200" s="417"/>
      <c r="B200" s="417"/>
      <c r="C200" s="302"/>
      <c r="D200" s="1626" t="s">
        <v>2334</v>
      </c>
      <c r="E200" s="1626"/>
      <c r="F200" s="1626"/>
      <c r="G200" s="288"/>
    </row>
    <row r="201" spans="1:7" ht="12.75">
      <c r="A201" s="417"/>
      <c r="B201" s="417"/>
      <c r="C201" s="302"/>
      <c r="D201" s="961"/>
      <c r="E201" s="961"/>
      <c r="F201" s="961"/>
      <c r="G201" s="288"/>
    </row>
    <row r="202" spans="1:7" ht="14.25">
      <c r="A202" s="413"/>
      <c r="B202" s="924" t="s">
        <v>135</v>
      </c>
      <c r="C202" s="302"/>
      <c r="D202" s="1625" t="s">
        <v>1695</v>
      </c>
      <c r="E202" s="1625"/>
      <c r="F202" s="1625"/>
      <c r="G202" s="288"/>
    </row>
    <row r="203" spans="1:7" ht="12.75">
      <c r="A203" s="417"/>
      <c r="B203" s="417"/>
      <c r="C203" s="302"/>
      <c r="D203" s="283"/>
      <c r="E203" s="283"/>
      <c r="F203" s="283"/>
      <c r="G203" s="288"/>
    </row>
    <row r="204" spans="1:7" ht="12.75">
      <c r="A204" s="1561" t="s">
        <v>1508</v>
      </c>
      <c r="B204" s="1561"/>
      <c r="C204" s="1561"/>
      <c r="D204" s="1561"/>
      <c r="E204" s="1561"/>
      <c r="F204" s="1561"/>
      <c r="G204" s="1561"/>
    </row>
    <row r="205" spans="1:7" ht="12.75">
      <c r="A205" s="417"/>
      <c r="B205" s="417"/>
      <c r="C205" s="302"/>
      <c r="D205" s="282"/>
      <c r="E205" s="283"/>
      <c r="F205" s="283"/>
      <c r="G205" s="288"/>
    </row>
    <row r="206" spans="1:7" ht="12.75">
      <c r="A206" s="140"/>
      <c r="B206" s="140"/>
      <c r="C206" s="901"/>
      <c r="D206" s="1577" t="s">
        <v>1507</v>
      </c>
      <c r="E206" s="1577"/>
      <c r="F206" s="1577"/>
      <c r="G206" s="288"/>
    </row>
    <row r="207" spans="1:7" ht="12.75">
      <c r="A207" s="902"/>
      <c r="B207" s="902"/>
      <c r="C207" s="901"/>
      <c r="D207" s="1577" t="s">
        <v>759</v>
      </c>
      <c r="E207" s="1577"/>
      <c r="F207" s="1577"/>
      <c r="G207" s="288"/>
    </row>
    <row r="208" spans="1:7" ht="12.75">
      <c r="A208" s="414"/>
      <c r="B208" s="414"/>
      <c r="C208" s="298"/>
      <c r="D208" s="1608" t="s">
        <v>1541</v>
      </c>
      <c r="E208" s="1608"/>
      <c r="F208" s="1608"/>
      <c r="G208" s="288"/>
    </row>
    <row r="209" spans="1:7" ht="12.75">
      <c r="A209" s="414"/>
      <c r="B209" s="414"/>
      <c r="C209" s="298"/>
      <c r="D209" s="283"/>
      <c r="E209" s="283"/>
      <c r="F209" s="283"/>
      <c r="G209" s="288"/>
    </row>
    <row r="210" spans="1:7" ht="12.75">
      <c r="A210" s="414"/>
      <c r="B210" s="414"/>
      <c r="C210" s="298"/>
      <c r="D210" s="1584" t="s">
        <v>1551</v>
      </c>
      <c r="E210" s="1584"/>
      <c r="F210" s="1584"/>
      <c r="G210" s="288"/>
    </row>
    <row r="211" spans="1:7" ht="12.75">
      <c r="A211" s="414"/>
      <c r="B211" s="414"/>
      <c r="C211" s="298"/>
      <c r="D211" s="1584"/>
      <c r="E211" s="1584"/>
      <c r="F211" s="1584"/>
      <c r="G211" s="288"/>
    </row>
    <row r="212" spans="1:7" ht="12.75">
      <c r="A212" s="414"/>
      <c r="B212" s="414"/>
      <c r="C212" s="298"/>
      <c r="D212" s="1584"/>
      <c r="E212" s="1584"/>
      <c r="F212" s="1584"/>
      <c r="G212" s="288"/>
    </row>
    <row r="213" spans="1:7" ht="12.75">
      <c r="A213" s="414"/>
      <c r="B213" s="414"/>
      <c r="C213" s="298"/>
      <c r="D213" s="1584"/>
      <c r="E213" s="1584"/>
      <c r="F213" s="1584"/>
      <c r="G213" s="288"/>
    </row>
    <row r="214" spans="1:7" ht="12.75">
      <c r="A214" s="414"/>
      <c r="B214" s="414"/>
      <c r="C214" s="298"/>
      <c r="D214" s="288"/>
      <c r="E214" s="283"/>
      <c r="F214" s="283"/>
      <c r="G214" s="288"/>
    </row>
    <row r="215" spans="1:7" ht="12.75">
      <c r="A215" s="414"/>
      <c r="B215" s="414"/>
      <c r="C215" s="298"/>
      <c r="D215" s="1583" t="s">
        <v>1985</v>
      </c>
      <c r="E215" s="1584"/>
      <c r="F215" s="1584"/>
      <c r="G215" s="288"/>
    </row>
    <row r="216" spans="1:7" ht="12.75">
      <c r="A216" s="414"/>
      <c r="B216" s="414"/>
      <c r="C216" s="298"/>
      <c r="D216" s="1584"/>
      <c r="E216" s="1584"/>
      <c r="F216" s="1584"/>
      <c r="G216" s="288"/>
    </row>
    <row r="217" spans="1:7" ht="12.75">
      <c r="A217" s="414"/>
      <c r="B217" s="414"/>
      <c r="C217" s="298"/>
      <c r="D217" s="1584"/>
      <c r="E217" s="1584"/>
      <c r="F217" s="1584"/>
      <c r="G217" s="288"/>
    </row>
    <row r="218" spans="1:7" ht="12.75">
      <c r="A218" s="414"/>
      <c r="B218" s="414"/>
      <c r="C218" s="298"/>
      <c r="D218" s="1584"/>
      <c r="E218" s="1584"/>
      <c r="F218" s="1584"/>
      <c r="G218" s="288"/>
    </row>
    <row r="219" spans="1:7" ht="12.75">
      <c r="A219" s="414"/>
      <c r="B219" s="414"/>
      <c r="C219" s="298"/>
      <c r="D219" s="1584"/>
      <c r="E219" s="1584"/>
      <c r="F219" s="1584"/>
      <c r="G219" s="288"/>
    </row>
    <row r="220" spans="1:7" ht="12.75">
      <c r="A220" s="414"/>
      <c r="B220" s="414"/>
      <c r="C220" s="298"/>
      <c r="D220" s="1584"/>
      <c r="E220" s="1584"/>
      <c r="F220" s="1584"/>
      <c r="G220" s="288"/>
    </row>
    <row r="221" spans="1:7" ht="12.75">
      <c r="A221" s="415"/>
      <c r="B221" s="415"/>
      <c r="C221" s="299"/>
      <c r="D221" s="282"/>
      <c r="E221" s="283"/>
      <c r="F221" s="283"/>
      <c r="G221" s="288"/>
    </row>
    <row r="222" spans="1:7" ht="14.45" customHeight="1">
      <c r="A222" s="413"/>
      <c r="B222" s="924" t="s">
        <v>1499</v>
      </c>
      <c r="C222" s="299"/>
      <c r="D222" s="1555" t="s">
        <v>321</v>
      </c>
      <c r="E222" s="1555"/>
      <c r="F222" s="1555"/>
      <c r="G222" s="288"/>
    </row>
    <row r="223" spans="1:7" ht="14.25">
      <c r="A223" s="413"/>
      <c r="B223" s="14"/>
      <c r="C223" s="299"/>
      <c r="D223" s="1560" t="s">
        <v>1199</v>
      </c>
      <c r="E223" s="1560"/>
      <c r="F223" s="1560"/>
      <c r="G223" s="288"/>
    </row>
    <row r="224" spans="1:7" ht="14.25">
      <c r="A224" s="413"/>
      <c r="B224" s="413"/>
      <c r="C224" s="299"/>
      <c r="D224" s="930" t="s">
        <v>1558</v>
      </c>
      <c r="E224" s="1572" t="s">
        <v>2302</v>
      </c>
      <c r="F224" s="1572"/>
      <c r="G224" s="288"/>
    </row>
    <row r="225" spans="1:7" ht="12.75">
      <c r="A225" s="417"/>
      <c r="B225" s="417"/>
      <c r="C225" s="302"/>
      <c r="D225" s="1559" t="s">
        <v>1534</v>
      </c>
      <c r="E225" s="1560"/>
      <c r="F225" s="1560"/>
      <c r="G225" s="288"/>
    </row>
    <row r="226" spans="1:7" ht="12.75">
      <c r="A226" s="417"/>
      <c r="B226" s="417"/>
      <c r="C226" s="302"/>
      <c r="D226" s="283"/>
      <c r="E226" s="283"/>
      <c r="F226" s="283"/>
      <c r="G226" s="288"/>
    </row>
    <row r="227" spans="1:7" ht="14.25">
      <c r="A227" s="413"/>
      <c r="B227" s="924" t="s">
        <v>135</v>
      </c>
      <c r="C227" s="302"/>
      <c r="D227" s="1560" t="s">
        <v>322</v>
      </c>
      <c r="E227" s="1560"/>
      <c r="F227" s="1560"/>
      <c r="G227" s="288"/>
    </row>
    <row r="228" spans="1:7" ht="14.25">
      <c r="A228" s="413"/>
      <c r="B228" s="14"/>
      <c r="C228" s="302"/>
      <c r="D228" s="1555" t="s">
        <v>1199</v>
      </c>
      <c r="E228" s="1555"/>
      <c r="F228" s="1555"/>
      <c r="G228" s="288"/>
    </row>
    <row r="229" spans="1:7" ht="14.25">
      <c r="A229" s="413"/>
      <c r="B229" s="413"/>
      <c r="C229" s="302"/>
      <c r="D229" s="300" t="s">
        <v>1559</v>
      </c>
      <c r="E229" s="1572" t="s">
        <v>2303</v>
      </c>
      <c r="F229" s="1572"/>
      <c r="G229" s="288"/>
    </row>
    <row r="230" spans="1:7" ht="12.75">
      <c r="A230" s="417"/>
      <c r="B230" s="417"/>
      <c r="C230" s="302"/>
      <c r="D230" s="1560" t="s">
        <v>1535</v>
      </c>
      <c r="E230" s="1560"/>
      <c r="F230" s="1560"/>
      <c r="G230" s="288"/>
    </row>
    <row r="231" spans="1:7" ht="12.75">
      <c r="A231" s="417"/>
      <c r="B231" s="417"/>
      <c r="C231" s="302"/>
      <c r="D231" s="283"/>
      <c r="E231" s="283"/>
      <c r="F231" s="283"/>
      <c r="G231" s="288"/>
    </row>
    <row r="232" spans="1:7" ht="14.25">
      <c r="A232" s="413"/>
      <c r="B232" s="924" t="s">
        <v>135</v>
      </c>
      <c r="C232" s="302"/>
      <c r="D232" s="1560" t="s">
        <v>703</v>
      </c>
      <c r="E232" s="1560"/>
      <c r="F232" s="1560"/>
      <c r="G232" s="288"/>
    </row>
    <row r="233" spans="1:7" ht="14.25">
      <c r="A233" s="413"/>
      <c r="B233" s="14"/>
      <c r="C233" s="302"/>
      <c r="D233" s="287" t="s">
        <v>1199</v>
      </c>
      <c r="E233" s="283"/>
      <c r="F233" s="283"/>
      <c r="G233" s="288"/>
    </row>
    <row r="234" spans="1:7" ht="14.25">
      <c r="A234" s="413"/>
      <c r="B234" s="413"/>
      <c r="C234" s="302"/>
      <c r="D234" s="300" t="s">
        <v>1558</v>
      </c>
      <c r="E234" s="1572" t="s">
        <v>2304</v>
      </c>
      <c r="F234" s="1572"/>
      <c r="G234" s="288"/>
    </row>
    <row r="235" spans="1:7" ht="14.25">
      <c r="A235" s="413"/>
      <c r="B235" s="413"/>
      <c r="C235" s="302"/>
      <c r="D235" s="1553" t="s">
        <v>1561</v>
      </c>
      <c r="E235" s="1553"/>
      <c r="F235" s="1553"/>
      <c r="G235" s="288"/>
    </row>
    <row r="236" spans="1:7" ht="12.75">
      <c r="A236" s="417"/>
      <c r="B236" s="417"/>
      <c r="C236" s="302"/>
      <c r="D236" s="1553"/>
      <c r="E236" s="1553"/>
      <c r="F236" s="1553"/>
      <c r="G236" s="288"/>
    </row>
    <row r="237" spans="1:7" ht="12.75">
      <c r="A237" s="417"/>
      <c r="B237" s="417"/>
      <c r="C237" s="302"/>
      <c r="D237" s="1553"/>
      <c r="E237" s="1553"/>
      <c r="F237" s="1553"/>
      <c r="G237" s="288"/>
    </row>
    <row r="238" spans="1:7" ht="12.75">
      <c r="A238" s="417"/>
      <c r="B238" s="417"/>
      <c r="C238" s="302"/>
      <c r="D238" s="1553"/>
      <c r="E238" s="1553"/>
      <c r="F238" s="1553"/>
      <c r="G238" s="288"/>
    </row>
    <row r="239" spans="1:7" ht="12.75">
      <c r="A239" s="417"/>
      <c r="B239" s="417"/>
      <c r="C239" s="302"/>
      <c r="D239" s="1553"/>
      <c r="E239" s="1553"/>
      <c r="F239" s="1553"/>
      <c r="G239" s="288"/>
    </row>
    <row r="240" spans="1:7" ht="12.75">
      <c r="A240" s="417"/>
      <c r="B240" s="417"/>
      <c r="C240" s="302"/>
      <c r="D240" s="1553" t="s">
        <v>1536</v>
      </c>
      <c r="E240" s="1553"/>
      <c r="F240" s="1553"/>
      <c r="G240" s="288"/>
    </row>
    <row r="241" spans="1:7" ht="12.75">
      <c r="A241" s="417"/>
      <c r="B241" s="417"/>
      <c r="C241" s="302"/>
      <c r="D241" s="287"/>
      <c r="E241" s="283"/>
      <c r="F241" s="283"/>
      <c r="G241" s="288"/>
    </row>
    <row r="242" spans="1:7" ht="14.25">
      <c r="A242" s="413"/>
      <c r="B242" s="924" t="s">
        <v>135</v>
      </c>
      <c r="C242" s="302"/>
      <c r="D242" s="1560" t="s">
        <v>704</v>
      </c>
      <c r="E242" s="1560"/>
      <c r="F242" s="1560"/>
      <c r="G242" s="288"/>
    </row>
    <row r="243" spans="1:7" ht="14.25">
      <c r="A243" s="413"/>
      <c r="B243" s="14"/>
      <c r="C243" s="302"/>
      <c r="D243" s="1560" t="s">
        <v>1199</v>
      </c>
      <c r="E243" s="1560"/>
      <c r="F243" s="1560"/>
      <c r="G243" s="288"/>
    </row>
    <row r="244" spans="1:7" ht="14.25">
      <c r="A244" s="413"/>
      <c r="B244" s="413"/>
      <c r="C244" s="302"/>
      <c r="D244" s="300" t="s">
        <v>1558</v>
      </c>
      <c r="E244" s="1572" t="s">
        <v>2305</v>
      </c>
      <c r="F244" s="1572"/>
      <c r="G244" s="288"/>
    </row>
    <row r="245" spans="1:7" ht="12.75">
      <c r="A245" s="417"/>
      <c r="B245" s="417"/>
      <c r="C245" s="302"/>
      <c r="D245" s="1559" t="s">
        <v>2134</v>
      </c>
      <c r="E245" s="1560"/>
      <c r="F245" s="1560"/>
      <c r="G245" s="288"/>
    </row>
    <row r="246" spans="1:7" ht="12.75">
      <c r="A246" s="417"/>
      <c r="B246" s="417"/>
      <c r="C246" s="302"/>
      <c r="D246" s="1327"/>
      <c r="E246" s="1327"/>
      <c r="F246" s="1327"/>
      <c r="G246" s="288"/>
    </row>
    <row r="247" spans="1:7" ht="14.25">
      <c r="A247" s="413"/>
      <c r="B247" s="1329" t="s">
        <v>135</v>
      </c>
      <c r="C247" s="302"/>
      <c r="D247" s="1559" t="s">
        <v>2133</v>
      </c>
      <c r="E247" s="1560"/>
      <c r="F247" s="1560"/>
      <c r="G247" s="288"/>
    </row>
    <row r="248" spans="1:7" ht="14.25">
      <c r="A248" s="413"/>
      <c r="B248" s="14"/>
      <c r="C248" s="302"/>
      <c r="D248" s="1560" t="s">
        <v>1199</v>
      </c>
      <c r="E248" s="1560"/>
      <c r="F248" s="1560"/>
      <c r="G248" s="288"/>
    </row>
    <row r="249" spans="1:7" ht="14.25">
      <c r="A249" s="413"/>
      <c r="B249" s="413"/>
      <c r="C249" s="302"/>
      <c r="D249" s="1328" t="s">
        <v>1558</v>
      </c>
      <c r="E249" s="1572" t="s">
        <v>2306</v>
      </c>
      <c r="F249" s="1572"/>
      <c r="G249" s="288"/>
    </row>
    <row r="250" spans="1:7" ht="12.75">
      <c r="A250" s="417"/>
      <c r="B250" s="417"/>
      <c r="C250" s="302"/>
      <c r="D250" s="1559" t="s">
        <v>2135</v>
      </c>
      <c r="E250" s="1560"/>
      <c r="F250" s="1560"/>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7" t="s">
        <v>1920</v>
      </c>
      <c r="E253" s="1553"/>
      <c r="F253" s="1553"/>
    </row>
    <row r="254" spans="1:7" ht="14.25">
      <c r="A254" s="413"/>
      <c r="B254" s="417"/>
      <c r="D254" s="1553"/>
      <c r="E254" s="1553"/>
      <c r="F254" s="1553"/>
    </row>
    <row r="255" spans="1:7" ht="14.25">
      <c r="A255" s="413"/>
      <c r="B255" s="417"/>
      <c r="D255" s="1553"/>
      <c r="E255" s="1553"/>
      <c r="F255" s="1553"/>
    </row>
    <row r="256" spans="1:7" ht="14.25">
      <c r="A256" s="413"/>
      <c r="B256" s="417"/>
      <c r="D256" s="933"/>
      <c r="E256" s="933"/>
      <c r="F256" s="933"/>
    </row>
    <row r="257" spans="1:7" ht="14.25">
      <c r="A257" s="413"/>
      <c r="B257" s="924" t="s">
        <v>135</v>
      </c>
      <c r="D257" s="1609" t="s">
        <v>1106</v>
      </c>
      <c r="E257" s="1609"/>
      <c r="F257" s="1609"/>
    </row>
    <row r="258" spans="1:7" ht="14.25">
      <c r="A258" s="413"/>
      <c r="B258" s="417"/>
      <c r="D258" s="934"/>
      <c r="E258" s="934"/>
      <c r="F258" s="934"/>
    </row>
    <row r="259" spans="1:7" ht="12.75">
      <c r="A259" s="1561" t="s">
        <v>1510</v>
      </c>
      <c r="B259" s="1561"/>
      <c r="C259" s="1561"/>
      <c r="D259" s="1561"/>
      <c r="E259" s="1561"/>
      <c r="F259" s="1561"/>
      <c r="G259" s="1561"/>
    </row>
    <row r="260" spans="1:7" ht="12.75">
      <c r="A260" s="140"/>
      <c r="B260" s="140"/>
      <c r="C260" s="14"/>
      <c r="D260" s="287"/>
      <c r="E260" s="282"/>
      <c r="F260" s="282"/>
    </row>
    <row r="261" spans="1:7" ht="12.75">
      <c r="A261" s="140"/>
      <c r="B261" s="140"/>
      <c r="C261" s="900"/>
      <c r="D261" s="1562" t="s">
        <v>1509</v>
      </c>
      <c r="E261" s="1562"/>
      <c r="F261" s="1562"/>
    </row>
    <row r="262" spans="1:7" ht="12.75">
      <c r="A262" s="414"/>
      <c r="B262" s="414"/>
      <c r="C262" s="298"/>
      <c r="D262" s="1555" t="s">
        <v>1542</v>
      </c>
      <c r="E262" s="1555"/>
      <c r="F262" s="1555"/>
    </row>
    <row r="263" spans="1:7" ht="12.75">
      <c r="A263" s="33"/>
      <c r="B263" s="33"/>
      <c r="C263" s="320"/>
      <c r="D263" s="6"/>
      <c r="E263" s="282"/>
      <c r="F263" s="282"/>
    </row>
    <row r="264" spans="1:7" ht="12.75">
      <c r="A264" s="33"/>
      <c r="B264" s="14"/>
      <c r="C264" s="320"/>
      <c r="D264" s="1562" t="s">
        <v>231</v>
      </c>
      <c r="E264" s="1562"/>
      <c r="F264" s="1562"/>
      <c r="G264" s="2"/>
    </row>
    <row r="265" spans="1:7" ht="14.45" customHeight="1">
      <c r="A265" s="413"/>
      <c r="B265" s="1345" t="s">
        <v>1499</v>
      </c>
      <c r="C265" s="1439"/>
      <c r="D265" s="1579" t="s">
        <v>2227</v>
      </c>
      <c r="E265" s="1579"/>
      <c r="F265" s="1579"/>
      <c r="G265" s="2"/>
    </row>
    <row r="266" spans="1:7" ht="14.25">
      <c r="A266" s="413"/>
      <c r="B266" s="1440"/>
      <c r="C266" s="1439"/>
      <c r="D266" s="1579"/>
      <c r="E266" s="1579"/>
      <c r="F266" s="1579"/>
      <c r="G266" s="2"/>
    </row>
    <row r="267" spans="1:7" ht="14.25">
      <c r="A267" s="413"/>
      <c r="B267" s="1440"/>
      <c r="C267" s="1439"/>
      <c r="D267" s="1579"/>
      <c r="E267" s="1579"/>
      <c r="F267" s="1579"/>
      <c r="G267" s="2"/>
    </row>
    <row r="268" spans="1:7" ht="14.45" customHeight="1">
      <c r="A268" s="413"/>
      <c r="B268" s="1440"/>
      <c r="C268" s="1439"/>
      <c r="D268" s="1579"/>
      <c r="E268" s="1579"/>
      <c r="F268" s="1579"/>
      <c r="G268" s="2"/>
    </row>
    <row r="269" spans="1:7" ht="14.25">
      <c r="A269" s="413"/>
      <c r="B269" s="1440"/>
      <c r="C269" s="1439"/>
      <c r="D269" s="1441"/>
      <c r="E269" s="1441"/>
      <c r="F269" s="1441"/>
      <c r="G269" s="2"/>
    </row>
    <row r="270" spans="1:7" ht="14.25">
      <c r="A270" s="413"/>
      <c r="B270" s="1345" t="s">
        <v>1499</v>
      </c>
      <c r="C270" s="1439"/>
      <c r="D270" s="1579" t="s">
        <v>2228</v>
      </c>
      <c r="E270" s="1579"/>
      <c r="F270" s="1579"/>
      <c r="G270" s="2"/>
    </row>
    <row r="271" spans="1:7" ht="14.25">
      <c r="A271" s="413"/>
      <c r="B271" s="1440"/>
      <c r="C271" s="1439"/>
      <c r="D271" s="1579"/>
      <c r="E271" s="1579"/>
      <c r="F271" s="1579"/>
      <c r="G271" s="2"/>
    </row>
    <row r="272" spans="1:7" ht="14.25">
      <c r="A272" s="413"/>
      <c r="B272" s="1440"/>
      <c r="C272" s="1439"/>
      <c r="D272" s="1579"/>
      <c r="E272" s="1579"/>
      <c r="F272" s="1579"/>
      <c r="G272" s="2"/>
    </row>
    <row r="273" spans="1:7" ht="14.25">
      <c r="A273" s="413"/>
      <c r="B273" s="1440"/>
      <c r="C273" s="1439"/>
      <c r="D273" s="1579"/>
      <c r="E273" s="1579"/>
      <c r="F273" s="1579"/>
      <c r="G273" s="2"/>
    </row>
    <row r="274" spans="1:7" ht="14.25">
      <c r="A274" s="413"/>
      <c r="B274" s="1440"/>
      <c r="C274" s="1439"/>
      <c r="D274" s="1579"/>
      <c r="E274" s="1579"/>
      <c r="F274" s="1579"/>
      <c r="G274" s="2"/>
    </row>
    <row r="275" spans="1:7" ht="14.25">
      <c r="A275" s="413"/>
      <c r="B275" s="1440"/>
      <c r="C275" s="1439"/>
      <c r="D275" s="1441"/>
      <c r="E275" s="1441"/>
      <c r="F275" s="1441"/>
      <c r="G275" s="2"/>
    </row>
    <row r="276" spans="1:7" ht="14.25">
      <c r="A276" s="413"/>
      <c r="B276" s="1440"/>
      <c r="C276" s="1439"/>
      <c r="D276" s="1579" t="s">
        <v>1704</v>
      </c>
      <c r="E276" s="1579"/>
      <c r="F276" s="1579"/>
      <c r="G276" s="2"/>
    </row>
    <row r="277" spans="1:7" ht="14.25">
      <c r="A277" s="413"/>
      <c r="B277" s="1440"/>
      <c r="C277" s="1439"/>
      <c r="D277" s="1579"/>
      <c r="E277" s="1579"/>
      <c r="F277" s="1579"/>
      <c r="G277" s="2"/>
    </row>
    <row r="278" spans="1:7" ht="14.25">
      <c r="A278" s="413"/>
      <c r="B278" s="1440"/>
      <c r="C278" s="1439"/>
      <c r="D278" s="1579"/>
      <c r="E278" s="1579"/>
      <c r="F278" s="1579"/>
      <c r="G278" s="2"/>
    </row>
    <row r="279" spans="1:7" ht="14.25">
      <c r="A279" s="413"/>
      <c r="B279" s="1440"/>
      <c r="C279" s="1439"/>
      <c r="D279" s="1579"/>
      <c r="E279" s="1579"/>
      <c r="F279" s="1579"/>
      <c r="G279" s="2"/>
    </row>
    <row r="280" spans="1:7" ht="14.25">
      <c r="A280" s="413"/>
      <c r="B280" s="1440"/>
      <c r="C280" s="1439"/>
      <c r="D280" s="1579"/>
      <c r="E280" s="1579"/>
      <c r="F280" s="1579"/>
      <c r="G280" s="2"/>
    </row>
    <row r="281" spans="1:7" ht="14.25">
      <c r="A281" s="413"/>
      <c r="B281" s="413"/>
      <c r="C281" s="14"/>
      <c r="D281" s="954"/>
      <c r="E281" s="954"/>
      <c r="F281" s="954"/>
      <c r="G281" s="2"/>
    </row>
    <row r="282" spans="1:7" s="747" customFormat="1" ht="14.45" customHeight="1">
      <c r="A282" s="1315"/>
      <c r="B282" s="1314" t="s">
        <v>1515</v>
      </c>
      <c r="C282" s="1316"/>
      <c r="D282" s="1573" t="s">
        <v>2128</v>
      </c>
      <c r="E282" s="1573"/>
      <c r="F282" s="1573"/>
      <c r="G282" s="1317"/>
    </row>
    <row r="283" spans="1:7" s="747" customFormat="1" ht="14.25">
      <c r="A283" s="1315"/>
      <c r="B283" s="1316"/>
      <c r="C283" s="1316"/>
      <c r="D283" s="1573"/>
      <c r="E283" s="1573"/>
      <c r="F283" s="1573"/>
      <c r="G283" s="1317"/>
    </row>
    <row r="284" spans="1:7" s="747" customFormat="1" ht="14.25">
      <c r="A284" s="1315"/>
      <c r="B284" s="1316"/>
      <c r="C284" s="1316"/>
      <c r="D284" s="1573"/>
      <c r="E284" s="1573"/>
      <c r="F284" s="1573"/>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1499</v>
      </c>
      <c r="C287" s="14"/>
      <c r="D287" s="1555" t="s">
        <v>1200</v>
      </c>
      <c r="E287" s="1555"/>
      <c r="F287" s="1555"/>
      <c r="G287" s="2"/>
    </row>
    <row r="288" spans="1:7" ht="14.25">
      <c r="A288" s="413"/>
      <c r="B288" s="413"/>
      <c r="C288" s="14"/>
      <c r="D288" s="1555" t="s">
        <v>1705</v>
      </c>
      <c r="E288" s="1555"/>
      <c r="F288" s="1555"/>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1499</v>
      </c>
      <c r="C291" s="14"/>
      <c r="D291" s="1553" t="s">
        <v>1706</v>
      </c>
      <c r="E291" s="1553"/>
      <c r="F291" s="1553"/>
    </row>
    <row r="292" spans="1:7" ht="14.25">
      <c r="A292" s="413"/>
      <c r="B292" s="413"/>
      <c r="C292" s="14"/>
      <c r="D292" s="1553"/>
      <c r="E292" s="1553"/>
      <c r="F292" s="1553"/>
    </row>
    <row r="293" spans="1:7" ht="12.75">
      <c r="A293" s="140"/>
      <c r="B293" s="140"/>
      <c r="C293" s="14"/>
      <c r="D293" s="321"/>
      <c r="E293" s="282"/>
      <c r="F293" s="282"/>
    </row>
    <row r="294" spans="1:7" ht="12.75">
      <c r="A294" s="1561" t="s">
        <v>1512</v>
      </c>
      <c r="B294" s="1561"/>
      <c r="C294" s="1561"/>
      <c r="D294" s="1561"/>
      <c r="E294" s="1561"/>
      <c r="F294" s="1561"/>
      <c r="G294" s="1561"/>
    </row>
    <row r="295" spans="1:7" ht="12.75">
      <c r="A295" s="140"/>
      <c r="B295" s="140"/>
      <c r="C295" s="14"/>
      <c r="D295" s="321"/>
      <c r="E295" s="282"/>
      <c r="F295" s="282"/>
    </row>
    <row r="296" spans="1:7" ht="12.75">
      <c r="A296" s="140"/>
      <c r="B296" s="140"/>
      <c r="C296" s="900"/>
      <c r="D296" s="1562" t="s">
        <v>1511</v>
      </c>
      <c r="E296" s="1562"/>
      <c r="F296" s="1562"/>
    </row>
    <row r="297" spans="1:7" ht="12.75">
      <c r="A297" s="414"/>
      <c r="B297" s="414"/>
      <c r="C297" s="298"/>
      <c r="D297" s="287"/>
      <c r="E297" s="282"/>
      <c r="F297" s="282"/>
    </row>
    <row r="298" spans="1:7" ht="12.75">
      <c r="A298" s="415"/>
      <c r="B298" s="415"/>
      <c r="C298" s="299"/>
      <c r="D298" s="1562" t="s">
        <v>233</v>
      </c>
      <c r="E298" s="1562"/>
      <c r="F298" s="1562"/>
    </row>
    <row r="299" spans="1:7" ht="14.45" customHeight="1">
      <c r="A299" s="413"/>
      <c r="B299" s="924" t="s">
        <v>1499</v>
      </c>
      <c r="C299" s="14"/>
      <c r="D299" s="1587" t="s">
        <v>2076</v>
      </c>
      <c r="E299" s="1553"/>
      <c r="F299" s="1553"/>
    </row>
    <row r="300" spans="1:7" ht="12.75">
      <c r="A300" s="140"/>
      <c r="B300" s="140"/>
      <c r="C300" s="14"/>
      <c r="D300" s="1553"/>
      <c r="E300" s="1553"/>
      <c r="F300" s="1553"/>
    </row>
    <row r="301" spans="1:7" ht="12.75">
      <c r="A301" s="140"/>
      <c r="B301" s="140"/>
      <c r="C301" s="14"/>
      <c r="D301" s="1553"/>
      <c r="E301" s="1553"/>
      <c r="F301" s="1553"/>
    </row>
    <row r="302" spans="1:7" ht="12.75">
      <c r="A302" s="1002"/>
      <c r="B302" s="1002"/>
      <c r="C302" s="14"/>
      <c r="D302" s="1313"/>
      <c r="E302" s="1313"/>
      <c r="F302" s="1313"/>
    </row>
    <row r="303" spans="1:7" s="747" customFormat="1" ht="14.45" customHeight="1">
      <c r="A303" s="1315"/>
      <c r="B303" s="1314" t="s">
        <v>135</v>
      </c>
      <c r="C303" s="1316"/>
      <c r="D303" s="1573" t="s">
        <v>2129</v>
      </c>
      <c r="E303" s="1573"/>
      <c r="F303" s="1573"/>
      <c r="G303" s="1317"/>
    </row>
    <row r="304" spans="1:7" s="747" customFormat="1" ht="12.75">
      <c r="A304" s="1316"/>
      <c r="B304" s="1316"/>
      <c r="C304" s="1316"/>
      <c r="D304" s="1573"/>
      <c r="E304" s="1573"/>
      <c r="F304" s="1573"/>
      <c r="G304" s="1317"/>
    </row>
    <row r="305" spans="1:7" s="747" customFormat="1" ht="12.75">
      <c r="A305" s="1316"/>
      <c r="B305" s="1316"/>
      <c r="C305" s="1316"/>
      <c r="D305" s="1573"/>
      <c r="E305" s="1573"/>
      <c r="F305" s="1573"/>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561" t="s">
        <v>1513</v>
      </c>
      <c r="B308" s="1561"/>
      <c r="C308" s="1561"/>
      <c r="D308" s="1561"/>
      <c r="E308" s="1561"/>
      <c r="F308" s="1561"/>
      <c r="G308" s="1561"/>
    </row>
    <row r="309" spans="1:7" ht="12.75">
      <c r="A309" s="140"/>
      <c r="B309" s="140"/>
      <c r="C309" s="14"/>
      <c r="D309" s="332"/>
      <c r="E309" s="282"/>
      <c r="F309" s="282"/>
    </row>
    <row r="310" spans="1:7" ht="12.75">
      <c r="A310" s="140"/>
      <c r="B310" s="140"/>
      <c r="C310" s="298"/>
      <c r="D310" s="1564" t="s">
        <v>1707</v>
      </c>
      <c r="E310" s="1564"/>
      <c r="F310" s="1564"/>
    </row>
    <row r="311" spans="1:7" ht="12.75">
      <c r="A311" s="140"/>
      <c r="B311" s="140"/>
      <c r="C311" s="298"/>
      <c r="D311" s="1564"/>
      <c r="E311" s="1564"/>
      <c r="F311" s="1564"/>
    </row>
    <row r="312" spans="1:7" ht="12.75">
      <c r="A312" s="415"/>
      <c r="B312" s="415"/>
      <c r="C312" s="299"/>
      <c r="D312" s="6"/>
      <c r="E312" s="282"/>
      <c r="F312" s="282"/>
    </row>
    <row r="313" spans="1:7" ht="12.75">
      <c r="A313" s="140"/>
      <c r="B313" s="140"/>
      <c r="C313" s="299"/>
      <c r="D313" s="1562" t="s">
        <v>178</v>
      </c>
      <c r="E313" s="1562"/>
      <c r="F313" s="1562"/>
    </row>
    <row r="314" spans="1:7" ht="14.25">
      <c r="A314" s="413"/>
      <c r="B314" s="413"/>
      <c r="C314" s="14"/>
      <c r="D314" s="1581" t="s">
        <v>1708</v>
      </c>
      <c r="E314" s="1581"/>
      <c r="F314" s="1581"/>
    </row>
    <row r="315" spans="1:7" ht="12" customHeight="1">
      <c r="A315" s="140"/>
      <c r="B315" s="140"/>
      <c r="C315" s="14"/>
      <c r="D315" s="282"/>
      <c r="E315" s="282"/>
      <c r="F315" s="282"/>
    </row>
    <row r="316" spans="1:7" ht="14.45" customHeight="1">
      <c r="A316" s="413"/>
      <c r="B316" s="924" t="s">
        <v>135</v>
      </c>
      <c r="C316" s="14"/>
      <c r="D316" s="1553" t="s">
        <v>1709</v>
      </c>
      <c r="E316" s="1553"/>
      <c r="F316" s="1553"/>
    </row>
    <row r="317" spans="1:7" ht="14.25">
      <c r="A317" s="413"/>
      <c r="B317" s="413"/>
      <c r="C317" s="14"/>
      <c r="D317" s="1553"/>
      <c r="E317" s="1553"/>
      <c r="F317" s="1553"/>
    </row>
    <row r="318" spans="1:7" ht="12.75">
      <c r="A318" s="140"/>
      <c r="B318" s="140"/>
      <c r="C318" s="14"/>
      <c r="D318" s="282"/>
      <c r="E318" s="282"/>
      <c r="F318" s="282"/>
    </row>
    <row r="319" spans="1:7" ht="14.45" customHeight="1">
      <c r="A319" s="413"/>
      <c r="B319" s="924" t="s">
        <v>135</v>
      </c>
      <c r="C319" s="14"/>
      <c r="D319" s="1551" t="s">
        <v>1710</v>
      </c>
      <c r="E319" s="1551"/>
      <c r="F319" s="1551"/>
    </row>
    <row r="320" spans="1:7" ht="14.25">
      <c r="A320" s="413"/>
      <c r="B320" s="413"/>
      <c r="C320" s="14"/>
      <c r="D320" s="1551"/>
      <c r="E320" s="1551"/>
      <c r="F320" s="1551"/>
    </row>
    <row r="321" spans="1:7" ht="14.25">
      <c r="A321" s="413"/>
      <c r="B321" s="413"/>
      <c r="C321" s="14"/>
      <c r="D321" s="1551"/>
      <c r="E321" s="1551"/>
      <c r="F321" s="1551"/>
    </row>
    <row r="322" spans="1:7" ht="12.75">
      <c r="A322" s="140"/>
      <c r="B322" s="140"/>
      <c r="C322" s="14"/>
      <c r="D322" s="143"/>
      <c r="E322"/>
      <c r="F322"/>
      <c r="G322"/>
    </row>
    <row r="323" spans="1:7" ht="14.25">
      <c r="A323" s="413"/>
      <c r="B323" s="924" t="s">
        <v>135</v>
      </c>
      <c r="C323" s="14"/>
      <c r="D323" s="1553" t="s">
        <v>1711</v>
      </c>
      <c r="E323" s="1553"/>
      <c r="F323" s="1553"/>
    </row>
    <row r="324" spans="1:7" ht="14.25">
      <c r="A324" s="413"/>
      <c r="B324" s="413"/>
      <c r="C324" s="14"/>
      <c r="D324" s="1553"/>
      <c r="E324" s="1553"/>
      <c r="F324" s="1553"/>
    </row>
    <row r="325" spans="1:7" ht="12.75">
      <c r="A325" s="33"/>
      <c r="B325" s="33"/>
      <c r="C325" s="14"/>
      <c r="D325" s="287"/>
      <c r="E325" s="282"/>
      <c r="F325" s="282"/>
    </row>
    <row r="326" spans="1:7" ht="12.75">
      <c r="A326" s="1561" t="s">
        <v>1500</v>
      </c>
      <c r="B326" s="1561"/>
      <c r="C326" s="1561"/>
      <c r="D326" s="1561"/>
      <c r="E326" s="1561"/>
      <c r="F326" s="1561"/>
      <c r="G326" s="1561"/>
    </row>
    <row r="327" spans="1:7" ht="12.75">
      <c r="A327" s="33"/>
      <c r="B327" s="33"/>
      <c r="C327" s="14"/>
      <c r="D327" s="287"/>
      <c r="E327" s="282"/>
      <c r="F327" s="282"/>
      <c r="G327" s="2"/>
    </row>
    <row r="328" spans="1:7" ht="12.75">
      <c r="A328" s="140"/>
      <c r="B328" s="140"/>
      <c r="C328" s="320"/>
      <c r="D328" s="1562" t="s">
        <v>179</v>
      </c>
      <c r="E328" s="1562"/>
      <c r="F328" s="1562"/>
      <c r="G328" s="2"/>
    </row>
    <row r="329" spans="1:7" ht="12.75">
      <c r="A329" s="140"/>
      <c r="B329" s="140"/>
      <c r="C329" s="320"/>
      <c r="D329" s="1555" t="s">
        <v>1543</v>
      </c>
      <c r="E329" s="1555"/>
      <c r="F329" s="1555"/>
      <c r="G329" s="2"/>
    </row>
    <row r="330" spans="1:7" ht="12.75">
      <c r="A330" s="140"/>
      <c r="B330" s="140"/>
      <c r="C330" s="320"/>
      <c r="D330" s="290"/>
      <c r="E330" s="282"/>
      <c r="F330" s="282"/>
      <c r="G330" s="2"/>
    </row>
    <row r="331" spans="1:7" ht="12.75">
      <c r="A331" s="140"/>
      <c r="B331" s="924" t="s">
        <v>135</v>
      </c>
      <c r="C331" s="14"/>
      <c r="D331" s="1555" t="s">
        <v>1712</v>
      </c>
      <c r="E331" s="1555"/>
      <c r="F331" s="1555"/>
      <c r="G331" s="2"/>
    </row>
    <row r="332" spans="1:7" ht="14.25">
      <c r="A332" s="552"/>
      <c r="B332" s="552"/>
      <c r="D332" s="680"/>
      <c r="G332" s="2"/>
    </row>
    <row r="333" spans="1:7" ht="14.25">
      <c r="A333" s="413"/>
      <c r="B333" s="924" t="s">
        <v>135</v>
      </c>
      <c r="C333" s="14"/>
      <c r="D333" s="1555" t="s">
        <v>1713</v>
      </c>
      <c r="E333" s="1555"/>
      <c r="F333" s="1555"/>
      <c r="G333" s="2"/>
    </row>
    <row r="334" spans="1:7" ht="12.75">
      <c r="A334" s="140"/>
      <c r="B334" s="140"/>
      <c r="C334" s="14"/>
      <c r="D334" s="282"/>
      <c r="E334" s="282"/>
      <c r="F334" s="282"/>
      <c r="G334" s="2"/>
    </row>
    <row r="335" spans="1:7" ht="14.45" customHeight="1">
      <c r="A335" s="413"/>
      <c r="B335" s="924" t="s">
        <v>135</v>
      </c>
      <c r="C335" s="14"/>
      <c r="D335" s="1551" t="s">
        <v>1719</v>
      </c>
      <c r="E335" s="1551"/>
      <c r="F335" s="1551"/>
      <c r="G335" s="2"/>
    </row>
    <row r="336" spans="1:7" ht="14.25">
      <c r="A336" s="413"/>
      <c r="B336" s="413"/>
      <c r="C336" s="14"/>
      <c r="D336" s="1551"/>
      <c r="E336" s="1551"/>
      <c r="F336" s="1551"/>
      <c r="G336" s="2"/>
    </row>
    <row r="337" spans="1:8" ht="14.25">
      <c r="A337" s="413"/>
      <c r="B337" s="413"/>
      <c r="C337" s="14"/>
      <c r="D337" s="1551"/>
      <c r="E337" s="1551"/>
      <c r="F337" s="1551"/>
      <c r="G337" s="2"/>
    </row>
    <row r="338" spans="1:8" ht="14.25">
      <c r="A338" s="413"/>
      <c r="B338" s="413"/>
      <c r="C338" s="14"/>
      <c r="D338" s="1551"/>
      <c r="E338" s="1551"/>
      <c r="F338" s="1551"/>
      <c r="G338" s="2"/>
    </row>
    <row r="339" spans="1:8" ht="14.25">
      <c r="A339" s="413"/>
      <c r="B339" s="413"/>
      <c r="C339" s="14"/>
      <c r="D339" s="1551"/>
      <c r="E339" s="1551"/>
      <c r="F339" s="1551"/>
      <c r="G339" s="2"/>
    </row>
    <row r="340" spans="1:8" ht="14.25">
      <c r="A340" s="413"/>
      <c r="B340" s="413"/>
      <c r="C340" s="14"/>
      <c r="D340" s="1551"/>
      <c r="E340" s="1551"/>
      <c r="F340" s="1551"/>
      <c r="G340" s="2"/>
    </row>
    <row r="341" spans="1:8" ht="14.25">
      <c r="A341" s="413"/>
      <c r="B341" s="413"/>
      <c r="C341" s="14"/>
      <c r="D341" s="1551"/>
      <c r="E341" s="1551"/>
      <c r="F341" s="1551"/>
      <c r="G341" s="2"/>
    </row>
    <row r="342" spans="1:8" ht="14.25">
      <c r="A342" s="413"/>
      <c r="B342" s="413"/>
      <c r="C342" s="14"/>
      <c r="D342" s="1551"/>
      <c r="E342" s="1551"/>
      <c r="F342" s="1551"/>
      <c r="G342" s="2"/>
    </row>
    <row r="343" spans="1:8" ht="14.25">
      <c r="A343" s="413"/>
      <c r="B343" s="413"/>
      <c r="C343" s="14"/>
      <c r="D343" s="1551"/>
      <c r="E343" s="1551"/>
      <c r="F343" s="1551"/>
    </row>
    <row r="344" spans="1:8" ht="14.25">
      <c r="A344" s="413"/>
      <c r="B344" s="413"/>
      <c r="C344" s="14"/>
      <c r="D344" s="1551"/>
      <c r="E344" s="1551"/>
      <c r="F344" s="1551"/>
    </row>
    <row r="345" spans="1:8" ht="14.25">
      <c r="A345" s="413"/>
      <c r="B345" s="413"/>
      <c r="C345" s="14"/>
      <c r="D345" s="1551"/>
      <c r="E345" s="1551"/>
      <c r="F345" s="1551"/>
    </row>
    <row r="346" spans="1:8" ht="14.25">
      <c r="A346" s="413"/>
      <c r="B346" s="413"/>
      <c r="C346" s="14"/>
      <c r="D346" s="1551"/>
      <c r="E346" s="1551"/>
      <c r="F346" s="1551"/>
    </row>
    <row r="347" spans="1:8" ht="14.25">
      <c r="A347" s="413"/>
      <c r="B347" s="413"/>
      <c r="C347" s="14"/>
      <c r="D347" s="1551"/>
      <c r="E347" s="1551"/>
      <c r="F347" s="1551"/>
    </row>
    <row r="348" spans="1:8" ht="14.25">
      <c r="A348" s="413"/>
      <c r="B348" s="413"/>
      <c r="C348" s="14"/>
      <c r="D348" s="1551"/>
      <c r="E348" s="1551"/>
      <c r="F348" s="1551"/>
    </row>
    <row r="349" spans="1:8" ht="14.25">
      <c r="A349" s="413"/>
      <c r="B349" s="413"/>
      <c r="C349" s="14"/>
      <c r="D349" s="1551"/>
      <c r="E349" s="1551"/>
      <c r="F349" s="1551"/>
    </row>
    <row r="350" spans="1:8" ht="12.75">
      <c r="A350" s="140"/>
      <c r="B350" s="140"/>
      <c r="C350" s="14"/>
      <c r="D350" s="282"/>
      <c r="E350" s="282"/>
      <c r="F350" s="282"/>
    </row>
    <row r="351" spans="1:8" s="50" customFormat="1" ht="14.45" customHeight="1">
      <c r="A351" s="413"/>
      <c r="B351" s="924" t="s">
        <v>135</v>
      </c>
      <c r="C351" s="140"/>
      <c r="D351" s="1551" t="s">
        <v>1714</v>
      </c>
      <c r="E351" s="1551"/>
      <c r="F351" s="1551"/>
      <c r="G351" s="8"/>
      <c r="H351" s="16"/>
    </row>
    <row r="352" spans="1:8" s="50" customFormat="1" ht="12.75">
      <c r="A352" s="140"/>
      <c r="B352" s="140"/>
      <c r="C352" s="140"/>
      <c r="D352" s="1551"/>
      <c r="E352" s="1551"/>
      <c r="F352" s="1551"/>
      <c r="G352" s="8"/>
      <c r="H352" s="16"/>
    </row>
    <row r="353" spans="1:8" s="50" customFormat="1" ht="12.75">
      <c r="A353" s="140"/>
      <c r="B353" s="140"/>
      <c r="C353" s="140"/>
      <c r="D353" s="1551"/>
      <c r="E353" s="1551"/>
      <c r="F353" s="1551"/>
      <c r="G353" s="8"/>
      <c r="H353" s="16"/>
    </row>
    <row r="354" spans="1:8" s="50" customFormat="1" ht="12.75">
      <c r="A354" s="140"/>
      <c r="B354" s="140"/>
      <c r="C354" s="140"/>
      <c r="D354" s="1551"/>
      <c r="E354" s="1551"/>
      <c r="F354" s="1551"/>
      <c r="G354" s="8"/>
      <c r="H354" s="16"/>
    </row>
    <row r="355" spans="1:8" s="50" customFormat="1" ht="12.75">
      <c r="A355" s="140"/>
      <c r="B355" s="140"/>
      <c r="C355" s="140"/>
      <c r="D355" s="1551"/>
      <c r="E355" s="1551"/>
      <c r="F355" s="1551"/>
      <c r="G355" s="8"/>
      <c r="H355" s="16"/>
    </row>
    <row r="356" spans="1:8" s="50" customFormat="1" ht="12.75">
      <c r="A356" s="140"/>
      <c r="B356" s="140"/>
      <c r="C356" s="140"/>
      <c r="D356" s="1551"/>
      <c r="E356" s="1551"/>
      <c r="F356" s="1551"/>
      <c r="G356" s="8"/>
      <c r="H356" s="16"/>
    </row>
    <row r="357" spans="1:8" s="50" customFormat="1" ht="12.75">
      <c r="A357" s="140"/>
      <c r="B357" s="140"/>
      <c r="C357" s="140"/>
      <c r="D357" s="1551"/>
      <c r="E357" s="1551"/>
      <c r="F357" s="1551"/>
      <c r="G357" s="8"/>
      <c r="H357" s="16"/>
    </row>
    <row r="358" spans="1:8" s="50" customFormat="1" ht="12.75">
      <c r="A358" s="140"/>
      <c r="B358" s="140"/>
      <c r="C358" s="140"/>
      <c r="D358" s="1551"/>
      <c r="E358" s="1551"/>
      <c r="F358" s="1551"/>
      <c r="G358" s="8"/>
      <c r="H358" s="16"/>
    </row>
    <row r="359" spans="1:8" s="50" customFormat="1" ht="12.75">
      <c r="A359" s="140"/>
      <c r="B359" s="140"/>
      <c r="C359" s="140"/>
      <c r="D359" s="1551"/>
      <c r="E359" s="1551"/>
      <c r="F359" s="1551"/>
      <c r="G359" s="8"/>
      <c r="H359" s="16"/>
    </row>
    <row r="360" spans="1:8" ht="12.75">
      <c r="A360" s="150"/>
      <c r="B360" s="150"/>
      <c r="E360" s="403"/>
      <c r="F360" s="403"/>
    </row>
    <row r="361" spans="1:8" ht="14.25" customHeight="1">
      <c r="A361" s="413"/>
      <c r="B361" s="924" t="s">
        <v>135</v>
      </c>
      <c r="C361" s="14"/>
      <c r="D361" s="1549" t="s">
        <v>2310</v>
      </c>
      <c r="E361" s="1549"/>
      <c r="F361" s="1549"/>
    </row>
    <row r="362" spans="1:8" ht="12.75">
      <c r="A362" s="140"/>
      <c r="B362" s="140"/>
      <c r="C362" s="14"/>
      <c r="D362" s="1549"/>
      <c r="E362" s="1549"/>
      <c r="F362" s="1549"/>
    </row>
    <row r="363" spans="1:8" ht="12.75">
      <c r="A363" s="140"/>
      <c r="B363" s="140"/>
      <c r="C363" s="14"/>
      <c r="D363" s="1549"/>
      <c r="E363" s="1549"/>
      <c r="F363" s="1549"/>
    </row>
    <row r="364" spans="1:8" ht="12.75">
      <c r="A364" s="140"/>
      <c r="B364" s="140"/>
      <c r="C364" s="14"/>
      <c r="D364" s="1549"/>
      <c r="E364" s="1549"/>
      <c r="F364" s="1549"/>
    </row>
    <row r="365" spans="1:8" ht="12.75">
      <c r="A365" s="960"/>
      <c r="B365" s="960"/>
      <c r="C365" s="14"/>
      <c r="D365" s="1549"/>
      <c r="E365" s="1549"/>
      <c r="F365" s="1549"/>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80" t="s">
        <v>1369</v>
      </c>
      <c r="E368" s="1580"/>
      <c r="F368" s="1580"/>
      <c r="G368" s="71"/>
    </row>
    <row r="369" spans="1:7" ht="13.5" thickTop="1">
      <c r="A369" s="140"/>
      <c r="B369" s="140"/>
      <c r="C369" s="140"/>
      <c r="D369" s="1582" t="s">
        <v>1715</v>
      </c>
      <c r="E369" s="1582"/>
      <c r="F369" s="1582"/>
      <c r="G369" s="8"/>
    </row>
    <row r="370" spans="1:7" ht="12.75">
      <c r="A370" s="140"/>
      <c r="B370" s="140"/>
      <c r="C370" s="140"/>
      <c r="D370" s="287"/>
      <c r="E370" s="8"/>
      <c r="F370" s="8"/>
      <c r="G370" s="8"/>
    </row>
    <row r="371" spans="1:7" ht="14.25">
      <c r="A371" s="413"/>
      <c r="B371" s="924" t="s">
        <v>135</v>
      </c>
      <c r="C371" s="579"/>
      <c r="D371" s="1578" t="s">
        <v>1720</v>
      </c>
      <c r="E371" s="1578"/>
      <c r="F371" s="1578"/>
      <c r="G371" s="8"/>
    </row>
    <row r="372" spans="1:7" ht="14.25">
      <c r="A372" s="413"/>
      <c r="B372" s="413"/>
      <c r="C372" s="579"/>
      <c r="D372" s="644"/>
      <c r="E372" s="8"/>
      <c r="F372" s="8"/>
      <c r="G372" s="8"/>
    </row>
    <row r="373" spans="1:7" ht="14.25">
      <c r="A373" s="413"/>
      <c r="B373" s="924" t="s">
        <v>135</v>
      </c>
      <c r="C373" s="579"/>
      <c r="D373" s="1575" t="s">
        <v>1722</v>
      </c>
      <c r="E373" s="1576"/>
      <c r="F373" s="1576"/>
      <c r="G373" s="8"/>
    </row>
    <row r="374" spans="1:7" ht="14.25">
      <c r="A374" s="413"/>
      <c r="B374" s="413"/>
      <c r="C374" s="579"/>
      <c r="D374" s="1576"/>
      <c r="E374" s="1576"/>
      <c r="F374" s="1576"/>
      <c r="G374" s="8"/>
    </row>
    <row r="375" spans="1:7" ht="14.25">
      <c r="A375" s="413"/>
      <c r="B375" s="413"/>
      <c r="C375" s="579"/>
      <c r="D375" s="1576"/>
      <c r="E375" s="1576"/>
      <c r="F375" s="1576"/>
      <c r="G375" s="8"/>
    </row>
    <row r="376" spans="1:7" ht="14.25">
      <c r="A376" s="413"/>
      <c r="B376" s="413"/>
      <c r="C376" s="579"/>
      <c r="D376" s="1576"/>
      <c r="E376" s="1576"/>
      <c r="F376" s="1576"/>
      <c r="G376" s="8"/>
    </row>
    <row r="377" spans="1:7" ht="14.25">
      <c r="A377" s="413"/>
      <c r="B377" s="413"/>
      <c r="C377" s="579"/>
      <c r="D377" s="1576"/>
      <c r="E377" s="1576"/>
      <c r="F377" s="1576"/>
      <c r="G377" s="8"/>
    </row>
    <row r="378" spans="1:7" ht="14.25">
      <c r="A378" s="413"/>
      <c r="B378" s="413"/>
      <c r="C378" s="579"/>
      <c r="D378" s="1576"/>
      <c r="E378" s="1576"/>
      <c r="F378" s="1576"/>
      <c r="G378" s="8"/>
    </row>
    <row r="379" spans="1:7" ht="14.25">
      <c r="A379" s="413"/>
      <c r="B379" s="413"/>
      <c r="C379" s="579"/>
      <c r="D379" s="1576"/>
      <c r="E379" s="1576"/>
      <c r="F379" s="1576"/>
      <c r="G379" s="8"/>
    </row>
    <row r="380" spans="1:7" ht="14.25">
      <c r="A380" s="413"/>
      <c r="B380" s="413"/>
      <c r="C380" s="579"/>
      <c r="D380" s="1576"/>
      <c r="E380" s="1576"/>
      <c r="F380" s="1576"/>
      <c r="G380" s="8"/>
    </row>
    <row r="381" spans="1:7" ht="14.25">
      <c r="A381" s="413"/>
      <c r="B381" s="413"/>
      <c r="C381" s="579"/>
      <c r="D381" s="1576"/>
      <c r="E381" s="1576"/>
      <c r="F381" s="1576"/>
      <c r="G381" s="8"/>
    </row>
    <row r="382" spans="1:7" ht="14.25">
      <c r="A382" s="413"/>
      <c r="B382" s="413"/>
      <c r="C382" s="579"/>
      <c r="D382" s="1576"/>
      <c r="E382" s="1576"/>
      <c r="F382" s="1576"/>
      <c r="G382" s="8"/>
    </row>
    <row r="383" spans="1:7" ht="14.25">
      <c r="A383" s="413"/>
      <c r="B383" s="413"/>
      <c r="C383" s="579"/>
      <c r="D383" s="965"/>
      <c r="E383" s="965"/>
      <c r="F383" s="965"/>
      <c r="G383" s="8"/>
    </row>
    <row r="384" spans="1:7" ht="14.25">
      <c r="A384" s="413"/>
      <c r="B384" s="924" t="s">
        <v>135</v>
      </c>
      <c r="C384" s="579"/>
      <c r="D384" s="1574" t="s">
        <v>1716</v>
      </c>
      <c r="E384" s="1574"/>
      <c r="F384" s="1574"/>
      <c r="G384" s="8"/>
    </row>
    <row r="385" spans="1:7" ht="12.75">
      <c r="A385" s="579"/>
      <c r="B385" s="579"/>
      <c r="C385" s="579"/>
      <c r="D385" s="1574"/>
      <c r="E385" s="1574"/>
      <c r="F385" s="1574"/>
      <c r="G385" s="8"/>
    </row>
    <row r="386" spans="1:7" ht="12.75">
      <c r="A386" s="579"/>
      <c r="B386" s="579"/>
      <c r="C386" s="579"/>
      <c r="D386" s="1574"/>
      <c r="E386" s="1574"/>
      <c r="F386" s="1574"/>
      <c r="G386" s="8"/>
    </row>
    <row r="387" spans="1:7" ht="12.75">
      <c r="A387" s="579"/>
      <c r="B387" s="579"/>
      <c r="C387" s="579"/>
      <c r="D387" s="1574"/>
      <c r="E387" s="1574"/>
      <c r="F387" s="1574"/>
      <c r="G387" s="8"/>
    </row>
    <row r="388" spans="1:7" ht="12.75">
      <c r="A388" s="579"/>
      <c r="B388" s="579"/>
      <c r="C388" s="579"/>
      <c r="D388" s="969"/>
      <c r="E388" s="969"/>
      <c r="F388" s="969"/>
      <c r="G388" s="8"/>
    </row>
    <row r="389" spans="1:7" ht="12.75">
      <c r="A389" s="579"/>
      <c r="B389" s="579"/>
      <c r="C389" s="579"/>
      <c r="D389" s="1574" t="s">
        <v>1717</v>
      </c>
      <c r="E389" s="1574"/>
      <c r="F389" s="1574"/>
      <c r="G389" s="8"/>
    </row>
    <row r="390" spans="1:7" ht="12.75">
      <c r="A390" s="579"/>
      <c r="B390" s="579"/>
      <c r="C390" s="579"/>
      <c r="D390" s="1574"/>
      <c r="E390" s="1574"/>
      <c r="F390" s="1574"/>
      <c r="G390" s="8"/>
    </row>
    <row r="391" spans="1:7" ht="12.75">
      <c r="A391" s="579"/>
      <c r="B391" s="579"/>
      <c r="C391" s="579"/>
      <c r="D391" s="1574"/>
      <c r="E391" s="1574"/>
      <c r="F391" s="1574"/>
      <c r="G391" s="8"/>
    </row>
    <row r="392" spans="1:7" ht="12.75">
      <c r="A392" s="579"/>
      <c r="B392" s="579"/>
      <c r="C392" s="579"/>
      <c r="D392" s="1574"/>
      <c r="E392" s="1574"/>
      <c r="F392" s="1574"/>
      <c r="G392" s="8"/>
    </row>
    <row r="393" spans="1:7" ht="12.75">
      <c r="A393" s="579"/>
      <c r="B393" s="579"/>
      <c r="C393" s="579"/>
      <c r="D393" s="1574"/>
      <c r="E393" s="1574"/>
      <c r="F393" s="1574"/>
      <c r="G393" s="8"/>
    </row>
    <row r="394" spans="1:7" ht="12.75">
      <c r="A394" s="579"/>
      <c r="B394" s="579"/>
      <c r="C394" s="579"/>
      <c r="D394" s="1574"/>
      <c r="E394" s="1574"/>
      <c r="F394" s="1574"/>
      <c r="G394" s="8"/>
    </row>
    <row r="395" spans="1:7" ht="12.75">
      <c r="A395" s="579"/>
      <c r="B395" s="579"/>
      <c r="C395" s="579"/>
      <c r="D395" s="1574"/>
      <c r="E395" s="1574"/>
      <c r="F395" s="1574"/>
      <c r="G395" s="8"/>
    </row>
    <row r="396" spans="1:7" ht="12.75">
      <c r="A396" s="579"/>
      <c r="B396" s="579"/>
      <c r="C396" s="579"/>
      <c r="D396" s="1574"/>
      <c r="E396" s="1574"/>
      <c r="F396" s="1574"/>
      <c r="G396" s="8"/>
    </row>
    <row r="397" spans="1:7" ht="12.75">
      <c r="A397" s="579"/>
      <c r="B397" s="579"/>
      <c r="C397" s="579"/>
      <c r="D397" s="1574"/>
      <c r="E397" s="1574"/>
      <c r="F397" s="1574"/>
      <c r="G397" s="8"/>
    </row>
    <row r="398" spans="1:7" ht="13.7" customHeight="1">
      <c r="A398" s="579"/>
      <c r="B398" s="579"/>
      <c r="C398" s="579"/>
      <c r="D398" s="1552" t="s">
        <v>1721</v>
      </c>
      <c r="E398" s="1552"/>
      <c r="F398" s="1552"/>
      <c r="G398" s="8"/>
    </row>
    <row r="399" spans="1:7" ht="13.7" customHeight="1">
      <c r="A399" s="579"/>
      <c r="B399" s="579"/>
      <c r="C399" s="579"/>
      <c r="D399" s="1552"/>
      <c r="E399" s="1552"/>
      <c r="F399" s="1552"/>
      <c r="G399" s="8"/>
    </row>
    <row r="400" spans="1:7" ht="13.7" customHeight="1">
      <c r="A400" s="579"/>
      <c r="B400" s="579"/>
      <c r="C400" s="579"/>
      <c r="D400" s="1552"/>
      <c r="E400" s="1552"/>
      <c r="F400" s="1552"/>
      <c r="G400" s="8"/>
    </row>
    <row r="401" spans="1:7" ht="13.7" customHeight="1">
      <c r="A401" s="579"/>
      <c r="B401" s="579"/>
      <c r="C401" s="579"/>
      <c r="D401" s="1552"/>
      <c r="E401" s="1552"/>
      <c r="F401" s="1552"/>
      <c r="G401" s="8"/>
    </row>
    <row r="402" spans="1:7" ht="13.7" customHeight="1">
      <c r="A402" s="579"/>
      <c r="B402" s="579"/>
      <c r="C402" s="579"/>
      <c r="D402" s="1552"/>
      <c r="E402" s="1552"/>
      <c r="F402" s="1552"/>
      <c r="G402" s="8"/>
    </row>
    <row r="403" spans="1:7" ht="13.7" customHeight="1">
      <c r="A403" s="579"/>
      <c r="B403" s="579"/>
      <c r="C403" s="579"/>
      <c r="D403" s="1552"/>
      <c r="E403" s="1552"/>
      <c r="F403" s="1552"/>
      <c r="G403" s="8"/>
    </row>
    <row r="404" spans="1:7" ht="13.7" customHeight="1">
      <c r="A404" s="579"/>
      <c r="B404" s="579"/>
      <c r="C404" s="579"/>
      <c r="D404" s="1552"/>
      <c r="E404" s="1552"/>
      <c r="F404" s="1552"/>
      <c r="G404" s="8"/>
    </row>
    <row r="405" spans="1:7" ht="13.7" customHeight="1">
      <c r="A405" s="579"/>
      <c r="B405" s="579"/>
      <c r="C405" s="579"/>
      <c r="D405" s="1552"/>
      <c r="E405" s="1552"/>
      <c r="F405" s="1552"/>
      <c r="G405" s="8"/>
    </row>
    <row r="406" spans="1:7" ht="13.7" customHeight="1">
      <c r="A406" s="579"/>
      <c r="B406" s="579"/>
      <c r="C406" s="579"/>
      <c r="D406" s="1552"/>
      <c r="E406" s="1552"/>
      <c r="F406" s="1552"/>
      <c r="G406" s="8"/>
    </row>
    <row r="407" spans="1:7" ht="13.7" customHeight="1">
      <c r="A407" s="579"/>
      <c r="B407" s="579"/>
      <c r="C407" s="579"/>
      <c r="D407" s="1552"/>
      <c r="E407" s="1552"/>
      <c r="F407" s="1552"/>
      <c r="G407" s="8"/>
    </row>
    <row r="408" spans="1:7" ht="13.7" customHeight="1">
      <c r="A408" s="579"/>
      <c r="B408" s="579"/>
      <c r="C408" s="579"/>
      <c r="D408" s="1552"/>
      <c r="E408" s="1552"/>
      <c r="F408" s="1552"/>
      <c r="G408" s="8"/>
    </row>
    <row r="409" spans="1:7" ht="13.7" customHeight="1">
      <c r="A409" s="579"/>
      <c r="B409" s="579"/>
      <c r="C409" s="579"/>
      <c r="D409" s="1552"/>
      <c r="E409" s="1552"/>
      <c r="F409" s="1552"/>
      <c r="G409" s="8"/>
    </row>
    <row r="410" spans="1:7" ht="13.7" customHeight="1">
      <c r="A410" s="579"/>
      <c r="B410" s="579"/>
      <c r="C410" s="579"/>
      <c r="D410" s="1552"/>
      <c r="E410" s="1552"/>
      <c r="F410" s="1552"/>
      <c r="G410" s="8"/>
    </row>
    <row r="411" spans="1:7" ht="13.7" customHeight="1">
      <c r="A411" s="579"/>
      <c r="B411" s="579"/>
      <c r="C411" s="579"/>
      <c r="D411" s="1552"/>
      <c r="E411" s="1552"/>
      <c r="F411" s="1552"/>
      <c r="G411" s="8"/>
    </row>
    <row r="412" spans="1:7" ht="13.7" customHeight="1">
      <c r="A412" s="579"/>
      <c r="B412" s="579"/>
      <c r="C412" s="579"/>
      <c r="D412" s="1552"/>
      <c r="E412" s="1552"/>
      <c r="F412" s="1552"/>
      <c r="G412" s="8"/>
    </row>
    <row r="413" spans="1:7" ht="13.7" customHeight="1">
      <c r="A413" s="579"/>
      <c r="B413" s="579"/>
      <c r="C413" s="579"/>
      <c r="D413" s="1552"/>
      <c r="E413" s="1552"/>
      <c r="F413" s="1552"/>
      <c r="G413" s="8"/>
    </row>
    <row r="414" spans="1:7" ht="13.7" customHeight="1">
      <c r="A414" s="579"/>
      <c r="B414" s="579"/>
      <c r="C414" s="579"/>
      <c r="D414" s="1552"/>
      <c r="E414" s="1552"/>
      <c r="F414" s="1552"/>
      <c r="G414" s="8"/>
    </row>
    <row r="415" spans="1:7" ht="13.7" customHeight="1">
      <c r="A415" s="579"/>
      <c r="B415" s="579"/>
      <c r="C415" s="579"/>
      <c r="D415" s="1552"/>
      <c r="E415" s="1552"/>
      <c r="F415" s="1552"/>
      <c r="G415" s="8"/>
    </row>
    <row r="416" spans="1:7" ht="12.75">
      <c r="A416" s="579"/>
      <c r="B416" s="579"/>
      <c r="C416" s="579"/>
      <c r="D416" s="782"/>
      <c r="E416" s="8"/>
      <c r="F416" s="8"/>
      <c r="G416" s="8"/>
    </row>
    <row r="417" spans="1:7" ht="13.7" customHeight="1">
      <c r="A417" s="579"/>
      <c r="B417" s="924" t="s">
        <v>135</v>
      </c>
      <c r="C417" s="579"/>
      <c r="D417" s="1552" t="s">
        <v>1718</v>
      </c>
      <c r="E417" s="1552"/>
      <c r="F417" s="1552"/>
      <c r="G417" s="8"/>
    </row>
    <row r="418" spans="1:7" ht="12.75">
      <c r="A418" s="579"/>
      <c r="B418" s="579"/>
      <c r="C418" s="579"/>
      <c r="D418" s="1552"/>
      <c r="E418" s="1552"/>
      <c r="F418" s="1552"/>
      <c r="G418" s="8"/>
    </row>
    <row r="419" spans="1:7" ht="12.75">
      <c r="A419" s="579"/>
      <c r="B419" s="579"/>
      <c r="C419" s="579"/>
      <c r="D419" s="1302"/>
      <c r="E419" s="1302"/>
      <c r="F419" s="1302"/>
      <c r="G419" s="8"/>
    </row>
    <row r="420" spans="1:7" ht="12.75">
      <c r="A420" s="579"/>
      <c r="B420" s="1304" t="s">
        <v>135</v>
      </c>
      <c r="C420" s="579"/>
      <c r="D420" s="1557" t="s">
        <v>2073</v>
      </c>
      <c r="E420" s="1557"/>
      <c r="F420" s="1557"/>
      <c r="G420" s="8"/>
    </row>
    <row r="421" spans="1:7" ht="12.75">
      <c r="A421" s="579"/>
      <c r="B421" s="579"/>
      <c r="C421" s="579"/>
      <c r="D421" s="1557"/>
      <c r="E421" s="1557"/>
      <c r="F421" s="1557"/>
      <c r="G421" s="8"/>
    </row>
    <row r="422" spans="1:7" ht="12.75">
      <c r="A422" s="579"/>
      <c r="B422" s="579"/>
      <c r="C422" s="579"/>
      <c r="D422" s="1557"/>
      <c r="E422" s="1557"/>
      <c r="F422" s="1557"/>
      <c r="G422" s="8"/>
    </row>
    <row r="423" spans="1:7" ht="12.75">
      <c r="A423" s="579"/>
      <c r="B423" s="579"/>
      <c r="C423" s="579"/>
      <c r="D423" s="1557"/>
      <c r="E423" s="1557"/>
      <c r="F423" s="1557"/>
      <c r="G423" s="8"/>
    </row>
    <row r="424" spans="1:7" ht="12.75">
      <c r="A424" s="579"/>
      <c r="B424" s="579"/>
      <c r="C424" s="579"/>
      <c r="D424" s="1557"/>
      <c r="E424" s="1557"/>
      <c r="F424" s="1557"/>
      <c r="G424" s="8"/>
    </row>
    <row r="425" spans="1:7" ht="12.75">
      <c r="A425" s="579"/>
      <c r="B425" s="579"/>
      <c r="C425" s="579"/>
      <c r="D425" s="1557"/>
      <c r="E425" s="1557"/>
      <c r="F425" s="1557"/>
      <c r="G425" s="8"/>
    </row>
    <row r="426" spans="1:7" ht="14.45" customHeight="1">
      <c r="A426" s="413"/>
      <c r="B426" s="924" t="s">
        <v>135</v>
      </c>
      <c r="C426" s="579"/>
      <c r="D426" s="1557" t="s">
        <v>2051</v>
      </c>
      <c r="E426" s="1557"/>
      <c r="F426" s="1557"/>
      <c r="G426" s="8"/>
    </row>
    <row r="427" spans="1:7" ht="14.25">
      <c r="A427" s="783"/>
      <c r="B427" s="783"/>
      <c r="C427" s="579"/>
      <c r="D427" s="1557"/>
      <c r="E427" s="1557"/>
      <c r="F427" s="1557"/>
      <c r="G427" s="8"/>
    </row>
    <row r="428" spans="1:7" ht="14.25">
      <c r="A428" s="783"/>
      <c r="B428" s="783"/>
      <c r="C428" s="579"/>
      <c r="D428" s="1557"/>
      <c r="E428" s="1557"/>
      <c r="F428" s="1557"/>
      <c r="G428" s="8"/>
    </row>
    <row r="429" spans="1:7" ht="14.25">
      <c r="A429" s="783"/>
      <c r="B429" s="783"/>
      <c r="C429" s="579"/>
      <c r="D429" s="1557"/>
      <c r="E429" s="1557"/>
      <c r="F429" s="1557"/>
      <c r="G429" s="8"/>
    </row>
    <row r="430" spans="1:7" ht="14.25" customHeight="1">
      <c r="A430" s="783"/>
      <c r="B430" s="783"/>
      <c r="C430" s="579"/>
      <c r="D430" s="1558" t="s">
        <v>2069</v>
      </c>
      <c r="E430" s="1558"/>
      <c r="F430" s="1558"/>
      <c r="G430" s="8"/>
    </row>
    <row r="431" spans="1:7" ht="12.75">
      <c r="A431" s="140"/>
      <c r="B431" s="140"/>
      <c r="C431" s="140"/>
      <c r="D431" s="143"/>
      <c r="E431" s="8"/>
      <c r="F431" s="8"/>
      <c r="G431" s="8"/>
    </row>
    <row r="432" spans="1:7" ht="14.45" customHeight="1">
      <c r="A432" s="413"/>
      <c r="B432" s="924" t="s">
        <v>135</v>
      </c>
      <c r="C432" s="355"/>
      <c r="D432" s="1553" t="s">
        <v>1723</v>
      </c>
      <c r="E432" s="1553"/>
      <c r="F432" s="1553"/>
      <c r="G432" s="8"/>
    </row>
    <row r="433" spans="1:7" ht="14.25">
      <c r="A433" s="413"/>
      <c r="B433" s="413"/>
      <c r="C433" s="140"/>
      <c r="D433" s="1553"/>
      <c r="E433" s="1553"/>
      <c r="F433" s="1553"/>
      <c r="G433" s="8"/>
    </row>
    <row r="434" spans="1:7" ht="14.25">
      <c r="A434" s="413"/>
      <c r="B434" s="413"/>
      <c r="C434" s="966"/>
      <c r="D434" s="1553"/>
      <c r="E434" s="1553"/>
      <c r="F434" s="1553"/>
      <c r="G434" s="8"/>
    </row>
    <row r="435" spans="1:7" ht="14.25">
      <c r="A435" s="413"/>
      <c r="B435" s="413"/>
      <c r="C435" s="966"/>
      <c r="D435" s="1553"/>
      <c r="E435" s="1553"/>
      <c r="F435" s="1553"/>
      <c r="G435" s="8"/>
    </row>
    <row r="436" spans="1:7" ht="14.25">
      <c r="A436" s="413"/>
      <c r="B436" s="413"/>
      <c r="C436" s="966"/>
      <c r="D436" s="1553"/>
      <c r="E436" s="1553"/>
      <c r="F436" s="1553"/>
      <c r="G436" s="8"/>
    </row>
    <row r="437" spans="1:7" ht="14.25">
      <c r="A437" s="413"/>
      <c r="B437" s="413"/>
      <c r="C437" s="966"/>
      <c r="D437" s="1553"/>
      <c r="E437" s="1553"/>
      <c r="F437" s="1553"/>
      <c r="G437" s="8"/>
    </row>
    <row r="438" spans="1:7" ht="14.25">
      <c r="A438" s="413"/>
      <c r="B438" s="413"/>
      <c r="C438" s="966"/>
      <c r="D438" s="1553"/>
      <c r="E438" s="1553"/>
      <c r="F438" s="1553"/>
      <c r="G438" s="8"/>
    </row>
    <row r="439" spans="1:7" ht="14.25">
      <c r="A439" s="413"/>
      <c r="B439" s="413"/>
      <c r="C439" s="966"/>
      <c r="D439" s="1553"/>
      <c r="E439" s="1553"/>
      <c r="F439" s="1553"/>
      <c r="G439" s="8"/>
    </row>
    <row r="440" spans="1:7" ht="14.25">
      <c r="A440" s="413"/>
      <c r="B440" s="413"/>
      <c r="C440" s="966"/>
      <c r="D440" s="1553"/>
      <c r="E440" s="1553"/>
      <c r="F440" s="1553"/>
      <c r="G440" s="8"/>
    </row>
    <row r="441" spans="1:7" ht="14.25">
      <c r="A441" s="413"/>
      <c r="B441" s="413"/>
      <c r="C441" s="966"/>
      <c r="D441" s="1553"/>
      <c r="E441" s="1553"/>
      <c r="F441" s="1553"/>
      <c r="G441" s="8"/>
    </row>
    <row r="442" spans="1:7" ht="14.25">
      <c r="A442" s="413"/>
      <c r="B442" s="413"/>
      <c r="C442" s="966"/>
      <c r="D442" s="1553"/>
      <c r="E442" s="1553"/>
      <c r="F442" s="1553"/>
      <c r="G442" s="8"/>
    </row>
    <row r="443" spans="1:7" ht="14.25">
      <c r="A443" s="413"/>
      <c r="B443" s="413"/>
      <c r="C443" s="966"/>
      <c r="D443" s="1553"/>
      <c r="E443" s="1553"/>
      <c r="F443" s="1553"/>
      <c r="G443" s="8"/>
    </row>
    <row r="444" spans="1:7" ht="14.25">
      <c r="A444" s="413"/>
      <c r="B444" s="413"/>
      <c r="C444" s="966"/>
      <c r="D444" s="1553"/>
      <c r="E444" s="1553"/>
      <c r="F444" s="1553"/>
      <c r="G444" s="8"/>
    </row>
    <row r="445" spans="1:7" ht="14.25">
      <c r="A445" s="413"/>
      <c r="B445" s="413"/>
      <c r="C445" s="966"/>
      <c r="D445" s="1553"/>
      <c r="E445" s="1553"/>
      <c r="F445" s="1553"/>
      <c r="G445" s="8"/>
    </row>
    <row r="446" spans="1:7" ht="14.25">
      <c r="A446" s="413"/>
      <c r="B446" s="413"/>
      <c r="C446" s="966"/>
      <c r="D446" s="1553"/>
      <c r="E446" s="1553"/>
      <c r="F446" s="1553"/>
      <c r="G446" s="8"/>
    </row>
    <row r="447" spans="1:7" ht="14.25">
      <c r="A447" s="413"/>
      <c r="B447" s="413"/>
      <c r="C447" s="966"/>
      <c r="D447" s="1553"/>
      <c r="E447" s="1553"/>
      <c r="F447" s="1553"/>
      <c r="G447" s="8"/>
    </row>
    <row r="448" spans="1:7" ht="14.25">
      <c r="A448" s="413"/>
      <c r="B448" s="413"/>
      <c r="C448" s="966"/>
      <c r="D448" s="1553"/>
      <c r="E448" s="1553"/>
      <c r="F448" s="1553"/>
      <c r="G448" s="8"/>
    </row>
    <row r="449" spans="1:7" ht="14.25">
      <c r="A449" s="413"/>
      <c r="B449" s="413"/>
      <c r="C449" s="966"/>
      <c r="D449" s="1553"/>
      <c r="E449" s="1553"/>
      <c r="F449" s="1553"/>
      <c r="G449" s="8"/>
    </row>
    <row r="450" spans="1:7" ht="14.25">
      <c r="A450" s="413"/>
      <c r="B450" s="413"/>
      <c r="C450" s="966"/>
      <c r="D450" s="1553"/>
      <c r="E450" s="1553"/>
      <c r="F450" s="1553"/>
      <c r="G450" s="8"/>
    </row>
    <row r="451" spans="1:7" ht="14.25">
      <c r="A451" s="413"/>
      <c r="B451" s="413"/>
      <c r="C451" s="966"/>
      <c r="D451" s="1553"/>
      <c r="E451" s="1553"/>
      <c r="F451" s="1553"/>
      <c r="G451" s="8"/>
    </row>
    <row r="452" spans="1:7" ht="14.25">
      <c r="A452" s="413"/>
      <c r="B452" s="413"/>
      <c r="C452" s="966"/>
      <c r="D452" s="1553"/>
      <c r="E452" s="1553"/>
      <c r="F452" s="1553"/>
      <c r="G452" s="8"/>
    </row>
    <row r="453" spans="1:7" ht="14.25">
      <c r="A453" s="413"/>
      <c r="B453" s="413"/>
      <c r="C453" s="966"/>
      <c r="D453" s="1553"/>
      <c r="E453" s="1553"/>
      <c r="F453" s="1553"/>
      <c r="G453" s="8"/>
    </row>
    <row r="454" spans="1:7" ht="14.25">
      <c r="A454" s="413"/>
      <c r="B454" s="413"/>
      <c r="C454" s="966"/>
      <c r="D454" s="1553"/>
      <c r="E454" s="1553"/>
      <c r="F454" s="1553"/>
      <c r="G454" s="8"/>
    </row>
    <row r="455" spans="1:7" ht="14.25">
      <c r="A455" s="413"/>
      <c r="B455" s="413"/>
      <c r="C455" s="966"/>
      <c r="D455" s="1553"/>
      <c r="E455" s="1553"/>
      <c r="F455" s="1553"/>
      <c r="G455" s="8"/>
    </row>
    <row r="456" spans="1:7" ht="14.25">
      <c r="A456" s="413"/>
      <c r="B456" s="413"/>
      <c r="C456" s="966"/>
      <c r="D456" s="1553"/>
      <c r="E456" s="1553"/>
      <c r="F456" s="1553"/>
      <c r="G456" s="8"/>
    </row>
    <row r="457" spans="1:7" ht="14.25">
      <c r="A457" s="413"/>
      <c r="B457" s="413"/>
      <c r="C457" s="966"/>
      <c r="D457" s="1553"/>
      <c r="E457" s="1553"/>
      <c r="F457" s="1553"/>
      <c r="G457" s="8"/>
    </row>
    <row r="458" spans="1:7" ht="14.25">
      <c r="A458" s="413"/>
      <c r="B458" s="413"/>
      <c r="C458" s="966"/>
      <c r="D458" s="1553"/>
      <c r="E458" s="1553"/>
      <c r="F458" s="1553"/>
      <c r="G458" s="8"/>
    </row>
    <row r="459" spans="1:7" ht="14.25">
      <c r="A459" s="413"/>
      <c r="B459" s="413"/>
      <c r="C459" s="966"/>
      <c r="D459" s="1553"/>
      <c r="E459" s="1553"/>
      <c r="F459" s="1553"/>
      <c r="G459" s="8"/>
    </row>
    <row r="460" spans="1:7" ht="14.25">
      <c r="A460" s="413"/>
      <c r="B460" s="413"/>
      <c r="C460" s="966"/>
      <c r="D460" s="1553"/>
      <c r="E460" s="1553"/>
      <c r="F460" s="1553"/>
      <c r="G460" s="8"/>
    </row>
    <row r="461" spans="1:7" ht="14.25">
      <c r="A461" s="413"/>
      <c r="B461" s="413"/>
      <c r="C461" s="966"/>
      <c r="D461" s="1553"/>
      <c r="E461" s="1553"/>
      <c r="F461" s="1553"/>
      <c r="G461" s="8"/>
    </row>
    <row r="462" spans="1:7" ht="12.75" hidden="1">
      <c r="A462" s="140"/>
      <c r="B462" s="140"/>
      <c r="C462" s="140"/>
      <c r="D462" s="1553"/>
      <c r="E462" s="1553"/>
      <c r="F462" s="1553"/>
      <c r="G462" s="8"/>
    </row>
    <row r="463" spans="1:7" ht="12.75" hidden="1">
      <c r="A463" s="140"/>
      <c r="B463" s="140"/>
      <c r="C463" s="140"/>
      <c r="D463" s="143"/>
      <c r="E463" s="40"/>
      <c r="F463" s="40"/>
      <c r="G463" s="40"/>
    </row>
    <row r="464" spans="1:7" ht="14.25">
      <c r="A464" s="413"/>
      <c r="B464" s="924" t="s">
        <v>135</v>
      </c>
      <c r="C464" s="355"/>
      <c r="D464" s="1554" t="s">
        <v>2313</v>
      </c>
      <c r="E464" s="1555"/>
      <c r="F464" s="1555"/>
      <c r="G464" s="8"/>
    </row>
    <row r="465" spans="1:7" ht="12.75">
      <c r="A465" s="140"/>
      <c r="B465" s="140"/>
      <c r="C465" s="140"/>
      <c r="D465" s="2"/>
      <c r="E465" s="1507" t="s">
        <v>2312</v>
      </c>
      <c r="F465" s="1507"/>
      <c r="G465" s="8"/>
    </row>
    <row r="466" spans="1:7" ht="13.7" customHeight="1">
      <c r="A466" s="140"/>
      <c r="B466" s="140"/>
      <c r="C466" s="140"/>
      <c r="D466" s="1556" t="s">
        <v>2048</v>
      </c>
      <c r="E466" s="1551"/>
      <c r="F466" s="1551"/>
      <c r="G466" s="8"/>
    </row>
    <row r="467" spans="1:7" ht="13.7" customHeight="1">
      <c r="A467" s="966"/>
      <c r="B467" s="966"/>
      <c r="C467" s="966"/>
      <c r="D467" s="1551"/>
      <c r="E467" s="1551"/>
      <c r="F467" s="1551"/>
      <c r="G467" s="8"/>
    </row>
    <row r="468" spans="1:7" ht="12.75">
      <c r="A468" s="140"/>
      <c r="B468" s="140"/>
      <c r="C468" s="140"/>
      <c r="D468" s="143"/>
      <c r="E468" s="8"/>
      <c r="F468" s="8"/>
      <c r="G468" s="8"/>
    </row>
    <row r="469" spans="1:7" ht="14.45" customHeight="1">
      <c r="A469" s="413"/>
      <c r="B469" s="924" t="s">
        <v>135</v>
      </c>
      <c r="C469" s="355"/>
      <c r="D469" s="1553" t="s">
        <v>1724</v>
      </c>
      <c r="E469" s="1553"/>
      <c r="F469" s="1553"/>
      <c r="G469" s="8"/>
    </row>
    <row r="470" spans="1:7" ht="12.75">
      <c r="A470" s="140"/>
      <c r="B470" s="140"/>
      <c r="C470" s="140"/>
      <c r="D470" s="1553"/>
      <c r="E470" s="1553"/>
      <c r="F470" s="1553"/>
      <c r="G470" s="8"/>
    </row>
    <row r="471" spans="1:7" ht="12.75">
      <c r="A471" s="140"/>
      <c r="B471" s="140"/>
      <c r="C471" s="140"/>
      <c r="D471" s="1553"/>
      <c r="E471" s="1553"/>
      <c r="F471" s="1553"/>
      <c r="G471" s="8"/>
    </row>
    <row r="472" spans="1:7" ht="12.75">
      <c r="A472" s="966"/>
      <c r="B472" s="966"/>
      <c r="C472" s="966"/>
      <c r="D472" s="964"/>
      <c r="E472" s="964"/>
      <c r="F472" s="964"/>
      <c r="G472" s="8"/>
    </row>
    <row r="473" spans="1:7" ht="14.25">
      <c r="A473" s="140"/>
      <c r="B473" s="924" t="s">
        <v>135</v>
      </c>
      <c r="C473" s="413"/>
      <c r="D473" s="1556" t="s">
        <v>1882</v>
      </c>
      <c r="E473" s="1551"/>
      <c r="F473" s="1551"/>
      <c r="G473" s="8"/>
    </row>
    <row r="474" spans="1:7" ht="12.75">
      <c r="A474" s="140"/>
      <c r="B474" s="140"/>
      <c r="C474" s="140"/>
      <c r="D474" s="1551"/>
      <c r="E474" s="1551"/>
      <c r="F474" s="1551"/>
      <c r="G474" s="8"/>
    </row>
    <row r="475" spans="1:7" ht="12.75">
      <c r="A475" s="140"/>
      <c r="B475" s="140"/>
      <c r="C475" s="140"/>
      <c r="D475" s="143"/>
      <c r="E475" s="679"/>
      <c r="F475" s="8"/>
      <c r="G475" s="8"/>
    </row>
    <row r="476" spans="1:7" ht="14.25">
      <c r="A476" s="140"/>
      <c r="B476" s="924" t="s">
        <v>135</v>
      </c>
      <c r="C476" s="413"/>
      <c r="D476" s="1551" t="s">
        <v>1725</v>
      </c>
      <c r="E476" s="1551"/>
      <c r="F476" s="1551"/>
      <c r="G476" s="8"/>
    </row>
    <row r="477" spans="1:7" ht="12.75">
      <c r="A477" s="140"/>
      <c r="B477" s="140"/>
      <c r="C477" s="140"/>
      <c r="D477" s="1551"/>
      <c r="E477" s="1551"/>
      <c r="F477" s="1551"/>
      <c r="G477" s="8"/>
    </row>
    <row r="478" spans="1:7" ht="12.75">
      <c r="A478" s="140"/>
      <c r="B478" s="140"/>
      <c r="C478" s="140"/>
      <c r="D478" s="1551"/>
      <c r="E478" s="1551"/>
      <c r="F478" s="1551"/>
      <c r="G478" s="8"/>
    </row>
    <row r="479" spans="1:7" ht="12.75">
      <c r="A479" s="966"/>
      <c r="B479" s="966"/>
      <c r="C479" s="966"/>
      <c r="D479" s="1551"/>
      <c r="E479" s="1551"/>
      <c r="F479" s="1551"/>
      <c r="G479" s="8"/>
    </row>
    <row r="480" spans="1:7" ht="12.75">
      <c r="A480" s="966"/>
      <c r="B480" s="924" t="s">
        <v>135</v>
      </c>
      <c r="C480" s="966"/>
      <c r="D480" s="1551"/>
      <c r="E480" s="1551"/>
      <c r="F480" s="1551"/>
      <c r="G480" s="8"/>
    </row>
    <row r="481" spans="1:7" ht="12.75">
      <c r="A481" s="966"/>
      <c r="B481" s="966"/>
      <c r="C481" s="966"/>
      <c r="D481" s="1551"/>
      <c r="E481" s="1551"/>
      <c r="F481" s="1551"/>
      <c r="G481" s="8"/>
    </row>
    <row r="482" spans="1:7" ht="12.75">
      <c r="A482" s="966"/>
      <c r="B482" s="966"/>
      <c r="C482" s="966"/>
      <c r="D482" s="1551"/>
      <c r="E482" s="1551"/>
      <c r="F482" s="1551"/>
      <c r="G482" s="8"/>
    </row>
    <row r="483" spans="1:7" ht="12.75">
      <c r="A483" s="966"/>
      <c r="B483" s="924" t="s">
        <v>135</v>
      </c>
      <c r="C483" s="966"/>
      <c r="D483" s="1551"/>
      <c r="E483" s="1551"/>
      <c r="F483" s="1551"/>
      <c r="G483" s="8"/>
    </row>
    <row r="484" spans="1:7" ht="12.75">
      <c r="A484" s="966"/>
      <c r="B484" s="966"/>
      <c r="C484" s="966"/>
      <c r="D484" s="1551"/>
      <c r="E484" s="1551"/>
      <c r="F484" s="1551"/>
      <c r="G484" s="8"/>
    </row>
    <row r="485" spans="1:7" ht="12.75">
      <c r="A485" s="966"/>
      <c r="B485" s="966"/>
      <c r="C485" s="966"/>
      <c r="D485" s="1551"/>
      <c r="E485" s="1551"/>
      <c r="F485" s="1551"/>
      <c r="G485" s="8"/>
    </row>
    <row r="486" spans="1:7" ht="12.75">
      <c r="A486" s="966"/>
      <c r="B486" s="966"/>
      <c r="C486" s="966"/>
      <c r="D486" s="1551"/>
      <c r="E486" s="1551"/>
      <c r="F486" s="1551"/>
      <c r="G486" s="8"/>
    </row>
    <row r="487" spans="1:7" ht="12.75">
      <c r="A487" s="966"/>
      <c r="B487" s="924" t="s">
        <v>135</v>
      </c>
      <c r="C487" s="966"/>
      <c r="D487" s="1551"/>
      <c r="E487" s="1551"/>
      <c r="F487" s="1551"/>
      <c r="G487" s="8"/>
    </row>
    <row r="488" spans="1:7" ht="12.75">
      <c r="A488" s="966"/>
      <c r="B488" s="966"/>
      <c r="C488" s="966"/>
      <c r="D488" s="1551"/>
      <c r="E488" s="1551"/>
      <c r="F488" s="1551"/>
      <c r="G488" s="8"/>
    </row>
    <row r="489" spans="1:7" ht="12.75">
      <c r="A489" s="966"/>
      <c r="B489" s="924" t="s">
        <v>135</v>
      </c>
      <c r="C489" s="966"/>
      <c r="D489" s="1551"/>
      <c r="E489" s="1551"/>
      <c r="F489" s="1551"/>
      <c r="G489" s="8"/>
    </row>
    <row r="490" spans="1:7" ht="12.75">
      <c r="A490" s="966"/>
      <c r="B490" s="14"/>
      <c r="C490" s="966"/>
      <c r="D490" s="1551"/>
      <c r="E490" s="1551"/>
      <c r="F490" s="1551"/>
      <c r="G490" s="8"/>
    </row>
    <row r="491" spans="1:7" ht="13.7" customHeight="1">
      <c r="A491" s="140"/>
      <c r="B491" s="967" t="s">
        <v>135</v>
      </c>
      <c r="C491" s="140"/>
      <c r="D491" s="1551" t="s">
        <v>1726</v>
      </c>
      <c r="E491" s="1551"/>
      <c r="F491" s="1551"/>
      <c r="G491" s="8"/>
    </row>
    <row r="492" spans="1:7" ht="12.75">
      <c r="A492" s="140"/>
      <c r="B492" s="140"/>
      <c r="C492" s="140"/>
      <c r="D492" s="1551"/>
      <c r="E492" s="1551"/>
      <c r="F492" s="1551"/>
      <c r="G492" s="8"/>
    </row>
    <row r="493" spans="1:7" ht="12.75">
      <c r="A493" s="140"/>
      <c r="B493" s="140"/>
      <c r="C493" s="140"/>
      <c r="D493" s="1551"/>
      <c r="E493" s="1551"/>
      <c r="F493" s="1551"/>
      <c r="G493" s="8"/>
    </row>
    <row r="494" spans="1:7" ht="12.75">
      <c r="A494" s="140"/>
      <c r="B494" s="140"/>
      <c r="C494" s="140"/>
      <c r="D494" s="1551"/>
      <c r="E494" s="1551"/>
      <c r="F494" s="1551"/>
      <c r="G494" s="8"/>
    </row>
    <row r="495" spans="1:7" ht="12.75">
      <c r="A495" s="140"/>
      <c r="B495" s="140"/>
      <c r="C495" s="140"/>
      <c r="D495" s="1551"/>
      <c r="E495" s="1551"/>
      <c r="F495" s="1551"/>
      <c r="G495" s="8"/>
    </row>
    <row r="496" spans="1:7" ht="12.75">
      <c r="A496" s="140"/>
      <c r="B496" s="140"/>
      <c r="C496" s="140"/>
      <c r="D496" s="143"/>
      <c r="E496" s="8"/>
      <c r="F496" s="8"/>
      <c r="G496" s="8"/>
    </row>
    <row r="497" spans="1:7" ht="12.75">
      <c r="A497" s="140"/>
      <c r="B497" s="924" t="s">
        <v>135</v>
      </c>
      <c r="C497" s="140"/>
      <c r="D497" s="1566" t="s">
        <v>1544</v>
      </c>
      <c r="E497" s="1566"/>
      <c r="F497" s="1566"/>
      <c r="G497" s="8"/>
    </row>
    <row r="498" spans="1:7" ht="12.75">
      <c r="A498" s="143"/>
      <c r="B498" s="143"/>
      <c r="C498" s="14"/>
      <c r="D498" s="282"/>
      <c r="E498" s="282"/>
      <c r="F498" s="282"/>
    </row>
    <row r="499" spans="1:7" ht="12.75">
      <c r="A499" s="1561" t="s">
        <v>1501</v>
      </c>
      <c r="B499" s="1561"/>
      <c r="C499" s="1561"/>
      <c r="D499" s="1561"/>
      <c r="E499" s="1561"/>
      <c r="F499" s="1561"/>
      <c r="G499" s="1561"/>
    </row>
    <row r="500" spans="1:7" ht="12.75">
      <c r="A500" s="143"/>
      <c r="B500" s="143"/>
      <c r="C500" s="14"/>
      <c r="D500" s="282"/>
      <c r="E500" s="282"/>
      <c r="F500" s="282"/>
    </row>
    <row r="501" spans="1:7" ht="12.75">
      <c r="A501" s="140"/>
      <c r="B501" s="140"/>
      <c r="C501" s="14"/>
      <c r="D501" s="1567" t="s">
        <v>1208</v>
      </c>
      <c r="E501" s="1567"/>
      <c r="F501" s="1567"/>
    </row>
    <row r="502" spans="1:7" ht="12.75">
      <c r="D502" s="1568" t="s">
        <v>1537</v>
      </c>
      <c r="E502" s="1568"/>
      <c r="F502" s="1568"/>
    </row>
    <row r="503" spans="1:7" ht="14.25">
      <c r="A503" s="413"/>
      <c r="B503" s="413"/>
      <c r="C503" s="14"/>
      <c r="D503" s="645"/>
      <c r="E503" s="282"/>
      <c r="F503" s="282"/>
    </row>
    <row r="504" spans="1:7" ht="14.25">
      <c r="A504" s="413"/>
      <c r="B504" s="924" t="s">
        <v>135</v>
      </c>
      <c r="C504" s="14"/>
      <c r="D504" s="1569" t="s">
        <v>1727</v>
      </c>
      <c r="E504" s="1569"/>
      <c r="F504" s="1569"/>
    </row>
    <row r="505" spans="1:7" ht="14.25">
      <c r="A505" s="413"/>
      <c r="B505" s="413"/>
      <c r="C505" s="14"/>
      <c r="D505" s="1569"/>
      <c r="E505" s="1569"/>
      <c r="F505" s="1569"/>
    </row>
    <row r="506" spans="1:7" ht="14.25">
      <c r="A506" s="413"/>
      <c r="B506" s="413"/>
      <c r="C506" s="14"/>
      <c r="D506" s="287"/>
      <c r="E506" s="282"/>
      <c r="F506" s="282"/>
    </row>
    <row r="507" spans="1:7" ht="14.25">
      <c r="A507" s="552"/>
      <c r="B507" s="924" t="s">
        <v>135</v>
      </c>
      <c r="D507" s="1570" t="s">
        <v>2070</v>
      </c>
      <c r="E507" s="1571"/>
      <c r="F507" s="1571"/>
    </row>
    <row r="508" spans="1:7" ht="14.25">
      <c r="A508" s="552"/>
      <c r="B508" s="552"/>
      <c r="D508" s="1571"/>
      <c r="E508" s="1571"/>
      <c r="F508" s="1571"/>
    </row>
    <row r="509" spans="1:7" ht="14.25">
      <c r="A509" s="552"/>
      <c r="B509" s="552"/>
      <c r="D509" s="1571"/>
      <c r="E509" s="1571"/>
      <c r="F509" s="1571"/>
      <c r="G509" s="2"/>
    </row>
    <row r="510" spans="1:7" ht="14.25">
      <c r="A510" s="552"/>
      <c r="B510" s="552"/>
      <c r="D510" s="1571"/>
      <c r="E510" s="1571"/>
      <c r="F510" s="1571"/>
      <c r="G510" s="2"/>
    </row>
    <row r="511" spans="1:7" ht="12.75">
      <c r="A511" s="150"/>
      <c r="B511" s="150"/>
      <c r="G511" s="2"/>
    </row>
    <row r="512" spans="1:7" ht="14.25">
      <c r="A512" s="413"/>
      <c r="B512" s="924" t="s">
        <v>135</v>
      </c>
      <c r="C512" s="14"/>
      <c r="D512" s="1555" t="s">
        <v>1729</v>
      </c>
      <c r="E512" s="1555"/>
      <c r="F512" s="1555"/>
      <c r="G512" s="2"/>
    </row>
    <row r="513" spans="1:7" ht="12.75">
      <c r="A513" s="140"/>
      <c r="B513" s="140"/>
      <c r="C513" s="14"/>
      <c r="D513" s="287"/>
      <c r="E513" s="282"/>
      <c r="F513" s="282"/>
      <c r="G513" s="2"/>
    </row>
    <row r="514" spans="1:7" ht="14.25">
      <c r="A514" s="413"/>
      <c r="B514" s="924" t="s">
        <v>135</v>
      </c>
      <c r="C514" s="14"/>
      <c r="D514" s="1553" t="s">
        <v>1730</v>
      </c>
      <c r="E514" s="1553"/>
      <c r="F514" s="1553"/>
      <c r="G514" s="2"/>
    </row>
    <row r="515" spans="1:7" ht="12.75">
      <c r="A515" s="140"/>
      <c r="B515" s="140"/>
      <c r="C515" s="14"/>
      <c r="D515" s="1553"/>
      <c r="E515" s="1553"/>
      <c r="F515" s="1553"/>
      <c r="G515" s="2"/>
    </row>
    <row r="516" spans="1:7" ht="12.75">
      <c r="A516" s="140"/>
      <c r="B516" s="140"/>
      <c r="C516" s="14"/>
      <c r="D516" s="680"/>
      <c r="E516" s="282"/>
      <c r="F516" s="282"/>
      <c r="G516" s="2"/>
    </row>
    <row r="517" spans="1:7" ht="14.25">
      <c r="A517" s="413"/>
      <c r="B517" s="924" t="s">
        <v>135</v>
      </c>
      <c r="C517" s="14"/>
      <c r="D517" s="1555" t="s">
        <v>1728</v>
      </c>
      <c r="E517" s="1555"/>
      <c r="F517" s="1555"/>
    </row>
    <row r="518" spans="1:7" ht="14.25">
      <c r="A518" s="413"/>
      <c r="B518" s="413"/>
      <c r="C518" s="14"/>
      <c r="D518" s="287"/>
      <c r="E518" s="282"/>
      <c r="F518" s="282"/>
    </row>
    <row r="519" spans="1:7" ht="12.75">
      <c r="A519" s="1561" t="s">
        <v>1502</v>
      </c>
      <c r="B519" s="1561"/>
      <c r="C519" s="1561"/>
      <c r="D519" s="1561"/>
      <c r="E519" s="1561"/>
      <c r="F519" s="1561"/>
      <c r="G519" s="1561"/>
    </row>
    <row r="520" spans="1:7" ht="12" customHeight="1">
      <c r="A520" s="413"/>
      <c r="B520" s="413"/>
      <c r="C520" s="14"/>
      <c r="D520" s="287"/>
      <c r="E520" s="282"/>
      <c r="F520" s="282"/>
    </row>
    <row r="521" spans="1:7" ht="12.75">
      <c r="A521" s="150"/>
      <c r="B521" s="924" t="s">
        <v>1515</v>
      </c>
      <c r="C521" s="406"/>
      <c r="D521" s="1610" t="s">
        <v>1664</v>
      </c>
      <c r="E521" s="1610"/>
      <c r="F521" s="1610"/>
    </row>
    <row r="522" spans="1:7" ht="12.75">
      <c r="A522" s="150"/>
      <c r="C522" s="406"/>
      <c r="D522" s="1610"/>
      <c r="E522" s="1610"/>
      <c r="F522" s="1610"/>
    </row>
    <row r="523" spans="1:7" ht="12.75">
      <c r="A523" s="555"/>
      <c r="B523" s="555"/>
      <c r="C523" s="553"/>
      <c r="D523" s="1610"/>
      <c r="E523" s="1610"/>
      <c r="F523" s="1610"/>
    </row>
    <row r="524" spans="1:7" ht="12.75">
      <c r="A524" s="555"/>
      <c r="B524" s="555"/>
      <c r="C524" s="553"/>
      <c r="D524" s="1610"/>
      <c r="E524" s="1610"/>
      <c r="F524" s="1610"/>
    </row>
    <row r="525" spans="1:7" ht="12.75">
      <c r="A525" s="555"/>
      <c r="B525" s="555"/>
      <c r="C525" s="553"/>
    </row>
    <row r="526" spans="1:7" ht="14.25">
      <c r="A526" s="413"/>
      <c r="B526" s="924" t="s">
        <v>135</v>
      </c>
      <c r="C526" s="322"/>
      <c r="D526" s="1586" t="s">
        <v>1678</v>
      </c>
      <c r="E526" s="1586"/>
      <c r="F526" s="1586"/>
      <c r="G526" s="2"/>
    </row>
    <row r="527" spans="1:7" ht="12.75">
      <c r="A527" s="355"/>
      <c r="B527" s="355"/>
      <c r="C527" s="322"/>
      <c r="D527" s="1586"/>
      <c r="E527" s="1586"/>
      <c r="F527" s="1586"/>
      <c r="G527" s="2"/>
    </row>
    <row r="528" spans="1:7" ht="12.75">
      <c r="A528" s="555"/>
      <c r="B528" s="555"/>
      <c r="C528" s="553"/>
      <c r="D528" s="403"/>
      <c r="G528" s="2"/>
    </row>
    <row r="529" spans="1:7" ht="12.75">
      <c r="A529" s="555"/>
      <c r="B529" s="924" t="s">
        <v>1499</v>
      </c>
      <c r="C529" s="553"/>
      <c r="D529" s="1508" t="s">
        <v>2314</v>
      </c>
      <c r="E529" s="1509"/>
      <c r="G529" s="2"/>
    </row>
    <row r="530" spans="1:7" ht="12.75">
      <c r="A530" s="555"/>
      <c r="B530" s="555"/>
      <c r="C530" s="553"/>
      <c r="D530" s="1509"/>
      <c r="E530" s="930" t="s">
        <v>2315</v>
      </c>
      <c r="G530" s="2"/>
    </row>
    <row r="531" spans="1:7" ht="14.25">
      <c r="A531" s="552"/>
      <c r="B531" s="2"/>
      <c r="D531" s="1611" t="s">
        <v>1656</v>
      </c>
      <c r="E531" s="1611"/>
      <c r="F531" s="1611"/>
      <c r="G531" s="2"/>
    </row>
    <row r="532" spans="1:7" ht="14.2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2.75">
      <c r="A535" s="1561" t="s">
        <v>1514</v>
      </c>
      <c r="B535" s="1561"/>
      <c r="C535" s="1561"/>
      <c r="D535" s="1561"/>
      <c r="E535" s="1561"/>
      <c r="F535" s="1561"/>
      <c r="G535" s="1561"/>
    </row>
    <row r="536" spans="1:7" ht="12" customHeight="1">
      <c r="A536" s="143"/>
      <c r="B536" s="143"/>
      <c r="C536" s="322"/>
      <c r="D536" s="282"/>
      <c r="E536" s="287"/>
      <c r="F536" s="282"/>
    </row>
    <row r="537" spans="1:7" ht="12.75">
      <c r="A537" s="140"/>
      <c r="B537" s="140"/>
      <c r="C537" s="322"/>
      <c r="D537" s="1562" t="s">
        <v>1545</v>
      </c>
      <c r="E537" s="1562"/>
      <c r="F537" s="1562"/>
    </row>
    <row r="538" spans="1:7" ht="12.75">
      <c r="A538" s="140"/>
      <c r="B538" s="140"/>
      <c r="C538" s="14"/>
      <c r="D538" s="282"/>
      <c r="E538" s="282"/>
      <c r="F538" s="282"/>
    </row>
    <row r="539" spans="1:7" ht="12.75">
      <c r="A539" s="140"/>
      <c r="B539" s="924" t="s">
        <v>135</v>
      </c>
      <c r="C539" s="14"/>
      <c r="D539" s="1553" t="s">
        <v>1696</v>
      </c>
      <c r="E539" s="1553"/>
      <c r="F539" s="1553"/>
    </row>
    <row r="540" spans="1:7" ht="12.75">
      <c r="A540" s="140"/>
      <c r="B540" s="140"/>
      <c r="C540" s="14"/>
      <c r="D540" s="1553"/>
      <c r="E540" s="1553"/>
      <c r="F540" s="1553"/>
    </row>
    <row r="541" spans="1:7" ht="12" customHeight="1">
      <c r="A541" s="355"/>
      <c r="B541" s="355"/>
      <c r="C541" s="322"/>
      <c r="D541" s="287"/>
      <c r="E541" s="282"/>
      <c r="F541" s="282"/>
    </row>
    <row r="542" spans="1:7" ht="14.25">
      <c r="A542" s="413"/>
      <c r="B542" s="924" t="s">
        <v>135</v>
      </c>
      <c r="C542" s="322"/>
      <c r="D542" s="1553" t="s">
        <v>1697</v>
      </c>
      <c r="E542" s="1553"/>
      <c r="F542" s="1553"/>
    </row>
    <row r="543" spans="1:7" ht="12.75">
      <c r="A543" s="355"/>
      <c r="B543" s="355"/>
      <c r="C543" s="322"/>
      <c r="D543" s="1553"/>
      <c r="E543" s="1553"/>
      <c r="F543" s="1553"/>
    </row>
    <row r="544" spans="1:7" ht="12" customHeight="1">
      <c r="A544" s="355"/>
      <c r="B544" s="355"/>
      <c r="C544" s="322"/>
      <c r="D544" s="287"/>
      <c r="E544" s="282"/>
      <c r="F544" s="282"/>
    </row>
    <row r="545" spans="1:7" ht="12.75">
      <c r="A545" s="1602" t="s">
        <v>1554</v>
      </c>
      <c r="B545" s="1602"/>
      <c r="C545" s="1602"/>
      <c r="D545" s="1602"/>
      <c r="E545" s="1602"/>
      <c r="F545" s="1602"/>
      <c r="G545" s="1602"/>
    </row>
    <row r="546" spans="1:7" ht="12" customHeight="1">
      <c r="A546" s="143"/>
      <c r="B546" s="143"/>
      <c r="C546" s="322"/>
      <c r="D546" s="287"/>
      <c r="E546" s="282"/>
      <c r="F546" s="282"/>
    </row>
    <row r="547" spans="1:7" ht="12.75">
      <c r="A547" s="140"/>
      <c r="B547" s="140"/>
      <c r="C547" s="322"/>
      <c r="D547" s="1562" t="s">
        <v>180</v>
      </c>
      <c r="E547" s="1562"/>
      <c r="F547" s="1562"/>
    </row>
    <row r="548" spans="1:7" ht="12.75">
      <c r="A548" s="140"/>
      <c r="B548" s="140"/>
      <c r="C548" s="322"/>
      <c r="D548" s="1555" t="s">
        <v>1674</v>
      </c>
      <c r="E548" s="1555"/>
      <c r="F548" s="1555"/>
    </row>
    <row r="549" spans="1:7" ht="12.75">
      <c r="A549" s="140"/>
      <c r="B549" s="140"/>
      <c r="C549" s="322"/>
      <c r="D549" s="287"/>
      <c r="E549" s="287"/>
      <c r="F549" s="287"/>
    </row>
    <row r="550" spans="1:7" ht="14.25">
      <c r="A550" s="413"/>
      <c r="B550" s="924" t="s">
        <v>1515</v>
      </c>
      <c r="C550" s="322"/>
      <c r="D550" s="1555" t="s">
        <v>1201</v>
      </c>
      <c r="E550" s="1555"/>
      <c r="F550" s="1555"/>
    </row>
    <row r="551" spans="1:7" ht="12" customHeight="1">
      <c r="A551" s="355"/>
      <c r="B551" s="355"/>
      <c r="C551" s="322"/>
      <c r="D551" s="287"/>
      <c r="E551" s="2"/>
      <c r="F551" s="2"/>
      <c r="G551" s="2"/>
    </row>
    <row r="552" spans="1:7" ht="14.45" customHeight="1">
      <c r="A552" s="413"/>
      <c r="B552" s="924" t="s">
        <v>1515</v>
      </c>
      <c r="C552" s="322"/>
      <c r="D552" s="1553" t="s">
        <v>1673</v>
      </c>
      <c r="E552" s="1553"/>
      <c r="F552" s="1553"/>
      <c r="G552" s="2"/>
    </row>
    <row r="553" spans="1:7" ht="12.75">
      <c r="A553" s="355"/>
      <c r="B553" s="355"/>
      <c r="C553" s="322"/>
      <c r="D553" s="1553"/>
      <c r="E553" s="1553"/>
      <c r="F553" s="1553"/>
      <c r="G553" s="2"/>
    </row>
    <row r="554" spans="1:7" ht="12" customHeight="1">
      <c r="A554" s="355"/>
      <c r="B554" s="355"/>
      <c r="C554" s="322"/>
      <c r="D554" s="287"/>
      <c r="E554" s="2"/>
      <c r="F554" s="2"/>
      <c r="G554" s="2"/>
    </row>
    <row r="555" spans="1:7" ht="14.25">
      <c r="A555" s="413"/>
      <c r="B555" s="924" t="s">
        <v>1499</v>
      </c>
      <c r="C555" s="322"/>
      <c r="D555" s="1553" t="s">
        <v>1675</v>
      </c>
      <c r="E555" s="1553"/>
      <c r="F555" s="1553"/>
      <c r="G555" s="2"/>
    </row>
    <row r="556" spans="1:7" ht="12.75">
      <c r="A556" s="355"/>
      <c r="B556" s="355"/>
      <c r="C556" s="322"/>
      <c r="D556" s="1553"/>
      <c r="E556" s="1553"/>
      <c r="F556" s="1553"/>
      <c r="G556" s="2"/>
    </row>
    <row r="557" spans="1:7" ht="12" customHeight="1">
      <c r="A557" s="355"/>
      <c r="B557" s="355"/>
      <c r="C557" s="322"/>
      <c r="D557" s="287"/>
      <c r="E557" s="2"/>
      <c r="F557" s="2"/>
      <c r="G557" s="2"/>
    </row>
    <row r="558" spans="1:7" ht="14.25">
      <c r="A558" s="413"/>
      <c r="B558" s="924" t="s">
        <v>1499</v>
      </c>
      <c r="C558" s="322"/>
      <c r="D558" s="1553" t="s">
        <v>1676</v>
      </c>
      <c r="E558" s="1553"/>
      <c r="F558" s="1553"/>
      <c r="G558" s="2"/>
    </row>
    <row r="559" spans="1:7" ht="12.75">
      <c r="A559" s="355"/>
      <c r="B559" s="355"/>
      <c r="C559" s="322"/>
      <c r="D559" s="1553"/>
      <c r="E559" s="1553"/>
      <c r="F559" s="1553"/>
      <c r="G559" s="2"/>
    </row>
    <row r="560" spans="1:7" ht="12" customHeight="1">
      <c r="A560" s="355"/>
      <c r="B560" s="355"/>
      <c r="C560" s="322"/>
      <c r="D560" s="287"/>
      <c r="E560" s="2"/>
      <c r="F560" s="2"/>
      <c r="G560" s="2"/>
    </row>
    <row r="561" spans="1:7" ht="14.45" customHeight="1">
      <c r="A561" s="413"/>
      <c r="B561" s="924" t="s">
        <v>1499</v>
      </c>
      <c r="C561" s="322"/>
      <c r="D561" s="1553" t="s">
        <v>1677</v>
      </c>
      <c r="E561" s="1553"/>
      <c r="F561" s="1553"/>
      <c r="G561" s="2"/>
    </row>
    <row r="562" spans="1:7" ht="12.75">
      <c r="A562" s="355"/>
      <c r="B562" s="355"/>
      <c r="C562" s="322"/>
      <c r="D562" s="1553"/>
      <c r="E562" s="1553"/>
      <c r="F562" s="1553"/>
      <c r="G562" s="2"/>
    </row>
    <row r="563" spans="1:7" ht="12.75">
      <c r="A563" s="355"/>
      <c r="B563" s="355"/>
      <c r="C563" s="322"/>
      <c r="D563" s="1553"/>
      <c r="E563" s="1553"/>
      <c r="F563" s="1553"/>
      <c r="G563" s="2"/>
    </row>
    <row r="564" spans="1:7" ht="12.75">
      <c r="A564" s="355"/>
      <c r="B564" s="355"/>
      <c r="C564" s="322"/>
      <c r="D564" s="287"/>
      <c r="E564" s="2"/>
      <c r="F564" s="2"/>
      <c r="G564" s="2"/>
    </row>
    <row r="565" spans="1:7" ht="14.25">
      <c r="A565" s="413"/>
      <c r="B565" s="924" t="s">
        <v>135</v>
      </c>
      <c r="C565" s="322"/>
      <c r="D565" s="1585" t="s">
        <v>1785</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4.25">
      <c r="A568" s="413"/>
      <c r="B568" s="924" t="s">
        <v>1515</v>
      </c>
      <c r="C568" s="322"/>
      <c r="D568" s="1553" t="s">
        <v>1679</v>
      </c>
      <c r="E568" s="1553"/>
      <c r="F568" s="1553"/>
      <c r="G568" s="2"/>
    </row>
    <row r="569" spans="1:7" ht="12.75">
      <c r="A569" s="355"/>
      <c r="B569" s="355"/>
      <c r="C569" s="322"/>
      <c r="D569" s="1553"/>
      <c r="E569" s="1553"/>
      <c r="F569" s="1553"/>
      <c r="G569" s="2"/>
    </row>
    <row r="570" spans="1:7" ht="12" customHeight="1">
      <c r="A570" s="355"/>
      <c r="B570" s="355"/>
      <c r="C570" s="322"/>
      <c r="D570" s="287"/>
      <c r="E570" s="282"/>
      <c r="F570" s="282"/>
      <c r="G570" s="2"/>
    </row>
    <row r="571" spans="1:7" ht="14.25">
      <c r="A571" s="413"/>
      <c r="B571" s="924" t="s">
        <v>1499</v>
      </c>
      <c r="C571" s="322"/>
      <c r="D571" s="1555" t="s">
        <v>1680</v>
      </c>
      <c r="E571" s="1555"/>
      <c r="F571" s="1555"/>
      <c r="G571" s="2"/>
    </row>
    <row r="572" spans="1:7" ht="14.25">
      <c r="A572" s="413"/>
      <c r="B572" s="413"/>
      <c r="C572" s="322"/>
      <c r="D572" s="1607" t="s">
        <v>2316</v>
      </c>
      <c r="E572" s="1607"/>
      <c r="F572" s="1607"/>
      <c r="G572" s="2"/>
    </row>
    <row r="573" spans="1:7" ht="12.75">
      <c r="A573" s="410"/>
      <c r="B573" s="410"/>
      <c r="C573" s="405"/>
      <c r="D573" s="1510"/>
      <c r="E573" s="930" t="s">
        <v>2317</v>
      </c>
      <c r="F573" s="1511"/>
      <c r="G573" s="2"/>
    </row>
    <row r="574" spans="1:7" ht="15" customHeight="1">
      <c r="A574" s="410"/>
      <c r="B574" s="410"/>
      <c r="C574" s="405"/>
      <c r="D574" s="1563" t="s">
        <v>1918</v>
      </c>
      <c r="E574" s="1596"/>
      <c r="F574" s="1596"/>
      <c r="G574" s="2"/>
    </row>
    <row r="575" spans="1:7" ht="12.75">
      <c r="A575" s="410"/>
      <c r="B575" s="410"/>
      <c r="C575" s="405"/>
      <c r="D575" s="1596"/>
      <c r="E575" s="1596"/>
      <c r="F575" s="1596"/>
      <c r="G575" s="2"/>
    </row>
    <row r="576" spans="1:7" ht="12.75">
      <c r="A576" s="410"/>
      <c r="B576" s="410"/>
      <c r="C576" s="405"/>
      <c r="D576" s="1596"/>
      <c r="E576" s="1596"/>
      <c r="F576" s="1596"/>
      <c r="G576" s="2"/>
    </row>
    <row r="577" spans="1:7" ht="12.75">
      <c r="A577" s="410"/>
      <c r="B577" s="410"/>
      <c r="C577" s="405"/>
      <c r="D577" s="1596"/>
      <c r="E577" s="1596"/>
      <c r="F577" s="1596"/>
      <c r="G577" s="2"/>
    </row>
    <row r="578" spans="1:7" ht="12.75">
      <c r="A578" s="410"/>
      <c r="B578" s="410"/>
      <c r="C578" s="405"/>
      <c r="D578" s="1596"/>
      <c r="E578" s="1596"/>
      <c r="F578" s="1596"/>
      <c r="G578" s="2"/>
    </row>
    <row r="579" spans="1:7" ht="12.75">
      <c r="A579" s="410"/>
      <c r="B579" s="410"/>
      <c r="C579" s="405"/>
      <c r="D579" s="1596"/>
      <c r="E579" s="1596"/>
      <c r="F579" s="1596"/>
      <c r="G579" s="2"/>
    </row>
    <row r="580" spans="1:7" ht="12.75">
      <c r="A580" s="410"/>
      <c r="B580" s="410"/>
      <c r="C580" s="405"/>
      <c r="D580" s="1596"/>
      <c r="E580" s="1596"/>
      <c r="F580" s="1596"/>
      <c r="G580" s="2"/>
    </row>
    <row r="581" spans="1:7" ht="12.75">
      <c r="A581" s="410"/>
      <c r="B581" s="410"/>
      <c r="C581" s="405"/>
      <c r="D581" s="1596"/>
      <c r="E581" s="1596"/>
      <c r="F581" s="1596"/>
      <c r="G581" s="2"/>
    </row>
    <row r="582" spans="1:7" ht="12.75">
      <c r="A582" s="410"/>
      <c r="B582" s="410"/>
      <c r="C582" s="405"/>
      <c r="D582" s="1596"/>
      <c r="E582" s="1596"/>
      <c r="F582" s="1596"/>
      <c r="G582" s="2"/>
    </row>
    <row r="583" spans="1:7" ht="12.75">
      <c r="A583" s="410"/>
      <c r="B583" s="410"/>
      <c r="C583" s="405"/>
      <c r="D583" s="928"/>
      <c r="E583" s="928"/>
      <c r="F583" s="928"/>
      <c r="G583" s="2"/>
    </row>
    <row r="584" spans="1:7" ht="14.25">
      <c r="A584" s="552"/>
      <c r="B584" s="924" t="s">
        <v>1499</v>
      </c>
      <c r="C584" s="405"/>
      <c r="D584" s="1614" t="s">
        <v>1681</v>
      </c>
      <c r="E584" s="1614"/>
      <c r="F584" s="1614"/>
      <c r="G584" s="2"/>
    </row>
    <row r="585" spans="1:7" ht="13.7" customHeight="1">
      <c r="A585" s="140"/>
      <c r="B585" s="140"/>
      <c r="C585" s="322"/>
      <c r="D585" s="1553" t="s">
        <v>1682</v>
      </c>
      <c r="E585" s="1553"/>
      <c r="F585" s="1553"/>
      <c r="G585" s="2"/>
    </row>
    <row r="586" spans="1:7" ht="12.75">
      <c r="A586" s="355"/>
      <c r="B586" s="355"/>
      <c r="C586" s="322"/>
      <c r="D586" s="1553"/>
      <c r="E586" s="1553"/>
      <c r="F586" s="1553"/>
      <c r="G586" s="2"/>
    </row>
    <row r="587" spans="1:7" ht="12.75">
      <c r="A587" s="355"/>
      <c r="B587" s="355"/>
      <c r="C587" s="322"/>
      <c r="D587" s="1553"/>
      <c r="E587" s="1553"/>
      <c r="F587" s="1553"/>
      <c r="G587" s="2"/>
    </row>
    <row r="588" spans="1:7" ht="12.75">
      <c r="A588" s="355"/>
      <c r="B588" s="355"/>
      <c r="C588" s="322"/>
      <c r="D588" s="954"/>
      <c r="E588" s="954"/>
      <c r="F588" s="954"/>
      <c r="G588" s="2"/>
    </row>
    <row r="589" spans="1:7" ht="14.45" customHeight="1">
      <c r="A589" s="413"/>
      <c r="B589" s="924" t="s">
        <v>1499</v>
      </c>
      <c r="C589" s="322"/>
      <c r="D589" s="1553" t="s">
        <v>1683</v>
      </c>
      <c r="E589" s="1553"/>
      <c r="F589" s="1553"/>
      <c r="G589" s="2"/>
    </row>
    <row r="590" spans="1:7" ht="14.25">
      <c r="A590" s="413"/>
      <c r="B590" s="413"/>
      <c r="C590" s="322"/>
      <c r="D590" s="1553"/>
      <c r="E590" s="1553"/>
      <c r="F590" s="1553"/>
      <c r="G590" s="2"/>
    </row>
    <row r="591" spans="1:7" ht="14.25">
      <c r="A591" s="413"/>
      <c r="B591" s="413"/>
      <c r="C591" s="322"/>
      <c r="D591" s="1553"/>
      <c r="E591" s="1553"/>
      <c r="F591" s="1553"/>
    </row>
    <row r="592" spans="1:7" ht="12.75">
      <c r="A592" s="355"/>
      <c r="B592" s="355"/>
      <c r="C592" s="322"/>
      <c r="D592" s="1553"/>
      <c r="E592" s="1553"/>
      <c r="F592" s="1553"/>
    </row>
    <row r="593" spans="1:7" ht="12.75">
      <c r="A593" s="355"/>
      <c r="B593" s="355"/>
      <c r="C593" s="322"/>
      <c r="D593" s="287"/>
      <c r="E593" s="282"/>
      <c r="F593" s="282"/>
    </row>
    <row r="594" spans="1:7" ht="12.75">
      <c r="A594" s="415"/>
      <c r="B594" s="924" t="s">
        <v>135</v>
      </c>
      <c r="C594" s="299"/>
      <c r="D594" s="1559" t="s">
        <v>1986</v>
      </c>
      <c r="E594" s="1560"/>
      <c r="F594" s="1560"/>
      <c r="G594" s="288"/>
    </row>
    <row r="595" spans="1:7" ht="12.75">
      <c r="A595" s="415"/>
      <c r="B595" s="415"/>
      <c r="C595" s="299"/>
      <c r="D595" s="282"/>
      <c r="E595" s="282"/>
      <c r="F595" s="282"/>
      <c r="G595" s="288"/>
    </row>
    <row r="596" spans="1:7" ht="12.75">
      <c r="A596" s="355"/>
      <c r="B596" s="355"/>
      <c r="C596" s="322"/>
      <c r="D596" s="933"/>
      <c r="E596" s="933"/>
      <c r="F596" s="933"/>
    </row>
    <row r="597" spans="1:7" ht="12.75">
      <c r="A597" s="1561" t="s">
        <v>1516</v>
      </c>
      <c r="B597" s="1561"/>
      <c r="C597" s="1561"/>
      <c r="D597" s="1561"/>
      <c r="E597" s="1561"/>
      <c r="F597" s="1561"/>
      <c r="G597" s="1561"/>
    </row>
    <row r="598" spans="1:7" ht="12.75">
      <c r="A598" s="355"/>
      <c r="B598" s="355"/>
      <c r="C598" s="322"/>
      <c r="D598" s="282"/>
      <c r="E598" s="282"/>
      <c r="F598" s="282"/>
    </row>
    <row r="599" spans="1:7" ht="12.75">
      <c r="A599" s="140"/>
      <c r="B599" s="140"/>
      <c r="C599" s="298"/>
      <c r="D599" s="1564" t="s">
        <v>181</v>
      </c>
      <c r="E599" s="1564"/>
      <c r="F599" s="1564"/>
      <c r="G599" s="288"/>
    </row>
    <row r="600" spans="1:7" ht="12.75">
      <c r="A600" s="140"/>
      <c r="B600" s="140"/>
      <c r="C600" s="298"/>
      <c r="D600" s="1565" t="s">
        <v>1571</v>
      </c>
      <c r="E600" s="1565"/>
      <c r="F600" s="1565"/>
      <c r="G600" s="288"/>
    </row>
    <row r="601" spans="1:7" ht="12.75">
      <c r="A601" s="140"/>
      <c r="B601" s="140"/>
      <c r="C601" s="298"/>
      <c r="D601" s="575"/>
      <c r="E601" s="282"/>
      <c r="F601" s="282"/>
      <c r="G601" s="288"/>
    </row>
    <row r="602" spans="1:7" ht="14.25">
      <c r="A602" s="413"/>
      <c r="B602" s="924" t="s">
        <v>1499</v>
      </c>
      <c r="C602" s="14"/>
      <c r="D602" s="1565" t="s">
        <v>1202</v>
      </c>
      <c r="E602" s="1565"/>
      <c r="F602" s="1565"/>
      <c r="G602" s="288"/>
    </row>
    <row r="603" spans="1:7" ht="12.75">
      <c r="A603" s="33"/>
      <c r="B603" s="33"/>
      <c r="C603" s="14"/>
      <c r="D603" s="579"/>
      <c r="E603" s="282"/>
      <c r="F603" s="282"/>
      <c r="G603" s="288"/>
    </row>
    <row r="604" spans="1:7" ht="14.45" customHeight="1">
      <c r="A604" s="413"/>
      <c r="B604" s="924" t="s">
        <v>86</v>
      </c>
      <c r="C604" s="14"/>
      <c r="D604" s="1571" t="s">
        <v>1573</v>
      </c>
      <c r="E604" s="1571"/>
      <c r="F604" s="1571"/>
      <c r="G604" s="288"/>
    </row>
    <row r="605" spans="1:7" ht="14.45" customHeight="1">
      <c r="A605" s="413"/>
      <c r="B605" s="413"/>
      <c r="C605" s="14"/>
      <c r="D605" s="1571"/>
      <c r="E605" s="1571"/>
      <c r="F605" s="1571"/>
      <c r="G605" s="288"/>
    </row>
    <row r="606" spans="1:7" ht="14.25">
      <c r="A606" s="413"/>
      <c r="B606" s="413"/>
      <c r="C606" s="14"/>
      <c r="D606" s="1571"/>
      <c r="E606" s="1571"/>
      <c r="F606" s="1571"/>
      <c r="G606" s="288"/>
    </row>
    <row r="607" spans="1:7" ht="14.25">
      <c r="A607" s="413"/>
      <c r="B607" s="413"/>
      <c r="C607" s="14"/>
      <c r="D607" s="932"/>
      <c r="E607" s="932"/>
      <c r="F607" s="932"/>
      <c r="G607" s="288"/>
    </row>
    <row r="608" spans="1:7" ht="14.25">
      <c r="A608" s="413"/>
      <c r="B608" s="924" t="s">
        <v>135</v>
      </c>
      <c r="C608" s="14"/>
      <c r="D608" s="1571" t="s">
        <v>1572</v>
      </c>
      <c r="E608" s="1571"/>
      <c r="F608" s="1571"/>
      <c r="G608" s="288"/>
    </row>
    <row r="609" spans="1:7" ht="14.25">
      <c r="A609" s="413"/>
      <c r="B609" s="413"/>
      <c r="C609" s="14"/>
      <c r="D609" s="1571"/>
      <c r="E609" s="1571"/>
      <c r="F609" s="1571"/>
      <c r="G609" s="288"/>
    </row>
    <row r="610" spans="1:7" ht="14.25">
      <c r="A610" s="413"/>
      <c r="B610" s="413"/>
      <c r="C610" s="14"/>
      <c r="D610" s="1571"/>
      <c r="E610" s="1571"/>
      <c r="F610" s="1571"/>
      <c r="G610" s="288"/>
    </row>
    <row r="611" spans="1:7" ht="14.25">
      <c r="A611" s="413"/>
      <c r="B611" s="413"/>
      <c r="C611" s="14"/>
      <c r="D611" s="1571"/>
      <c r="E611" s="1571"/>
      <c r="F611" s="1571"/>
      <c r="G611" s="288"/>
    </row>
    <row r="612" spans="1:7" ht="14.25">
      <c r="A612" s="413"/>
      <c r="B612" s="413"/>
      <c r="C612" s="14"/>
      <c r="D612" s="575"/>
      <c r="E612" s="282"/>
      <c r="F612" s="282"/>
      <c r="G612" s="288"/>
    </row>
    <row r="613" spans="1:7" ht="14.25">
      <c r="A613" s="552"/>
      <c r="B613" s="924" t="s">
        <v>1515</v>
      </c>
      <c r="D613" s="1571" t="s">
        <v>1574</v>
      </c>
      <c r="E613" s="1571"/>
      <c r="F613" s="1571"/>
      <c r="G613" s="288"/>
    </row>
    <row r="614" spans="1:7" ht="14.25">
      <c r="A614" s="552"/>
      <c r="B614" s="552"/>
      <c r="D614" s="1571"/>
      <c r="E614" s="1571"/>
      <c r="F614" s="1571"/>
      <c r="G614" s="288"/>
    </row>
    <row r="615" spans="1:7" ht="14.25">
      <c r="A615" s="413"/>
      <c r="B615" s="413"/>
      <c r="C615" s="14"/>
      <c r="D615" s="575"/>
      <c r="E615" s="282"/>
      <c r="F615" s="282"/>
      <c r="G615" s="288"/>
    </row>
    <row r="616" spans="1:7" ht="14.45" customHeight="1">
      <c r="A616" s="413"/>
      <c r="B616" s="924" t="s">
        <v>135</v>
      </c>
      <c r="C616" s="14"/>
      <c r="D616" s="1565" t="s">
        <v>1579</v>
      </c>
      <c r="E616" s="1565"/>
      <c r="F616" s="1565"/>
      <c r="G616" s="288"/>
    </row>
    <row r="617" spans="1:7" ht="14.25">
      <c r="A617" s="413"/>
      <c r="B617" s="413"/>
      <c r="C617" s="14"/>
      <c r="D617" s="1565"/>
      <c r="E617" s="1565"/>
      <c r="F617" s="1565"/>
      <c r="G617" s="288"/>
    </row>
    <row r="618" spans="1:7" ht="14.25">
      <c r="A618" s="413"/>
      <c r="B618" s="413"/>
      <c r="C618" s="14"/>
      <c r="D618" s="575"/>
      <c r="E618" s="282"/>
      <c r="F618" s="282"/>
      <c r="G618" s="288"/>
    </row>
    <row r="619" spans="1:7" ht="14.25">
      <c r="A619" s="413"/>
      <c r="B619" s="924" t="s">
        <v>1499</v>
      </c>
      <c r="C619" s="14"/>
      <c r="D619" s="1565" t="s">
        <v>1203</v>
      </c>
      <c r="E619" s="1565"/>
      <c r="F619" s="1565"/>
      <c r="G619" s="288"/>
    </row>
    <row r="620" spans="1:7" ht="12.75">
      <c r="A620" s="33"/>
      <c r="B620" s="33"/>
      <c r="C620" s="14"/>
      <c r="D620" s="282"/>
      <c r="E620" s="282"/>
      <c r="F620" s="282"/>
      <c r="G620" s="288"/>
    </row>
    <row r="621" spans="1:7" ht="12.75">
      <c r="A621" s="1561" t="s">
        <v>1518</v>
      </c>
      <c r="B621" s="1561"/>
      <c r="C621" s="1561"/>
      <c r="D621" s="1561"/>
      <c r="E621" s="1561"/>
      <c r="F621" s="1561"/>
      <c r="G621" s="1561"/>
    </row>
    <row r="622" spans="1:7" ht="12.75">
      <c r="A622" s="107"/>
      <c r="B622" s="107"/>
      <c r="C622" s="302"/>
      <c r="D622" s="283"/>
      <c r="E622" s="283"/>
      <c r="F622" s="283"/>
      <c r="G622" s="288"/>
    </row>
    <row r="623" spans="1:7" ht="12.75">
      <c r="A623" s="140"/>
      <c r="B623" s="140"/>
      <c r="C623" s="299"/>
      <c r="D623" s="1617" t="s">
        <v>1517</v>
      </c>
      <c r="E623" s="1617"/>
      <c r="F623" s="1617"/>
    </row>
    <row r="624" spans="1:7" ht="12.75">
      <c r="A624" s="140"/>
      <c r="B624" s="140"/>
      <c r="C624" s="299"/>
      <c r="D624" s="1560" t="s">
        <v>1546</v>
      </c>
      <c r="E624" s="1560"/>
      <c r="F624" s="1560"/>
    </row>
    <row r="625" spans="1:7" ht="12.75">
      <c r="A625" s="958"/>
      <c r="B625" s="958"/>
      <c r="C625" s="299"/>
      <c r="D625" s="956"/>
      <c r="E625" s="956"/>
      <c r="F625" s="956"/>
    </row>
    <row r="626" spans="1:7" ht="14.25" customHeight="1">
      <c r="A626" s="552"/>
      <c r="B626" s="924" t="s">
        <v>1515</v>
      </c>
      <c r="D626" s="1546" t="s">
        <v>2319</v>
      </c>
      <c r="E626" s="1547"/>
      <c r="F626" s="1547"/>
    </row>
    <row r="627" spans="1:7" ht="12.75">
      <c r="A627" s="140"/>
      <c r="B627" s="140"/>
      <c r="C627" s="14"/>
      <c r="D627" s="1547"/>
      <c r="E627" s="1547"/>
      <c r="F627" s="1547"/>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561" t="s">
        <v>1520</v>
      </c>
      <c r="B630" s="1561"/>
      <c r="C630" s="1561"/>
      <c r="D630" s="1561"/>
      <c r="E630" s="1561"/>
      <c r="F630" s="1561"/>
      <c r="G630" s="1561"/>
    </row>
    <row r="631" spans="1:7" ht="12.75">
      <c r="A631" s="143"/>
      <c r="B631" s="143"/>
      <c r="C631" s="14"/>
      <c r="D631" s="282"/>
      <c r="E631" s="282"/>
      <c r="F631" s="282"/>
      <c r="G631" s="288"/>
    </row>
    <row r="632" spans="1:7" ht="12.75">
      <c r="A632" s="140"/>
      <c r="B632" s="140"/>
      <c r="C632" s="303"/>
      <c r="D632" s="1562" t="s">
        <v>1519</v>
      </c>
      <c r="E632" s="1562"/>
      <c r="F632" s="1562"/>
      <c r="G632" s="288"/>
    </row>
    <row r="633" spans="1:7" ht="12.75">
      <c r="A633" s="415"/>
      <c r="B633" s="415"/>
      <c r="C633" s="299"/>
      <c r="D633" s="1555" t="s">
        <v>1698</v>
      </c>
      <c r="E633" s="1555"/>
      <c r="F633" s="1555"/>
      <c r="G633" s="288"/>
    </row>
    <row r="634" spans="1:7" ht="12.75">
      <c r="A634" s="415"/>
      <c r="B634" s="415"/>
      <c r="C634" s="299"/>
      <c r="D634" s="282"/>
      <c r="E634" s="282"/>
      <c r="F634" s="282"/>
      <c r="G634" s="288"/>
    </row>
    <row r="635" spans="1:7" ht="14.25">
      <c r="A635" s="413"/>
      <c r="B635" s="413"/>
      <c r="C635" s="14"/>
      <c r="D635" s="1617" t="s">
        <v>948</v>
      </c>
      <c r="E635" s="1617"/>
      <c r="F635" s="1617"/>
      <c r="G635" s="288"/>
    </row>
    <row r="636" spans="1:7" ht="14.25">
      <c r="A636" s="413"/>
      <c r="B636" s="924" t="s">
        <v>1515</v>
      </c>
      <c r="C636" s="14"/>
      <c r="D636" s="1560" t="s">
        <v>1699</v>
      </c>
      <c r="E636" s="1560"/>
      <c r="F636" s="1560"/>
      <c r="G636" s="288"/>
    </row>
    <row r="637" spans="1:7" ht="14.25">
      <c r="A637" s="413"/>
      <c r="B637" s="413"/>
      <c r="C637" s="14"/>
      <c r="D637" s="287"/>
      <c r="E637" s="282"/>
      <c r="F637" s="282"/>
      <c r="G637" s="288"/>
    </row>
    <row r="638" spans="1:7" ht="14.25">
      <c r="A638" s="413"/>
      <c r="B638" s="924" t="s">
        <v>135</v>
      </c>
      <c r="C638" s="14"/>
      <c r="D638" s="1553" t="s">
        <v>1700</v>
      </c>
      <c r="E638" s="1553"/>
      <c r="F638" s="1553"/>
      <c r="G638" s="288"/>
    </row>
    <row r="639" spans="1:7" ht="14.25">
      <c r="A639" s="413"/>
      <c r="B639" s="413"/>
      <c r="C639" s="14"/>
      <c r="D639" s="1553"/>
      <c r="E639" s="1553"/>
      <c r="F639" s="1553"/>
      <c r="G639" s="288"/>
    </row>
    <row r="640" spans="1:7" ht="14.25">
      <c r="A640" s="413"/>
      <c r="B640" s="413"/>
      <c r="C640" s="14"/>
      <c r="D640" s="287"/>
      <c r="E640" s="282"/>
      <c r="F640" s="282"/>
      <c r="G640" s="288"/>
    </row>
    <row r="641" spans="1:7" ht="14.25">
      <c r="A641" s="552"/>
      <c r="B641" s="924" t="s">
        <v>1499</v>
      </c>
      <c r="D641" s="1563" t="s">
        <v>2124</v>
      </c>
      <c r="E641" s="1563"/>
      <c r="F641" s="1563"/>
      <c r="G641" s="288"/>
    </row>
    <row r="642" spans="1:7" ht="13.7" customHeight="1">
      <c r="D642" s="1563"/>
      <c r="E642" s="1563"/>
      <c r="F642" s="1563"/>
    </row>
    <row r="643" spans="1:7" ht="12.75">
      <c r="A643" s="140"/>
      <c r="B643" s="140"/>
      <c r="C643" s="14"/>
      <c r="D643" s="282"/>
      <c r="E643" s="282"/>
      <c r="F643" s="282"/>
      <c r="G643" s="288"/>
    </row>
    <row r="644" spans="1:7" ht="14.25">
      <c r="A644" s="413"/>
      <c r="B644" s="924" t="s">
        <v>135</v>
      </c>
      <c r="C644" s="14"/>
      <c r="D644" s="1560" t="s">
        <v>1701</v>
      </c>
      <c r="E644" s="1560"/>
      <c r="F644" s="1560"/>
      <c r="G644" s="288"/>
    </row>
    <row r="645" spans="1:7" ht="12.75">
      <c r="A645" s="418"/>
      <c r="B645" s="418"/>
      <c r="C645" s="303"/>
      <c r="D645" s="282"/>
      <c r="E645" s="282"/>
      <c r="F645" s="282"/>
      <c r="G645" s="288"/>
    </row>
    <row r="646" spans="1:7" ht="12.75">
      <c r="A646" s="1561" t="s">
        <v>1521</v>
      </c>
      <c r="B646" s="1561"/>
      <c r="C646" s="1561"/>
      <c r="D646" s="1561"/>
      <c r="E646" s="1561"/>
      <c r="F646" s="1561"/>
      <c r="G646" s="1561"/>
    </row>
    <row r="647" spans="1:7" ht="12.75">
      <c r="A647" s="418"/>
      <c r="B647" s="418"/>
      <c r="C647" s="303"/>
      <c r="D647" s="282"/>
      <c r="E647" s="282"/>
      <c r="F647" s="282"/>
      <c r="G647" s="288"/>
    </row>
    <row r="648" spans="1:7" ht="12.75">
      <c r="A648" s="140"/>
      <c r="B648" s="140"/>
      <c r="C648" s="320"/>
      <c r="D648" s="1635" t="s">
        <v>1547</v>
      </c>
      <c r="E648" s="1635"/>
      <c r="F648" s="1635"/>
      <c r="G648" s="288"/>
    </row>
    <row r="649" spans="1:7" ht="12.75">
      <c r="A649" s="33"/>
      <c r="B649" s="33"/>
      <c r="C649" s="302"/>
      <c r="D649" s="6"/>
      <c r="E649" s="283"/>
      <c r="F649" s="283"/>
      <c r="G649" s="288"/>
    </row>
    <row r="650" spans="1:7" ht="14.25" customHeight="1">
      <c r="A650" s="413"/>
      <c r="B650" s="924" t="s">
        <v>1499</v>
      </c>
      <c r="C650" s="302"/>
      <c r="D650" s="1548" t="s">
        <v>2320</v>
      </c>
      <c r="E650" s="1548"/>
      <c r="F650" s="1548"/>
      <c r="G650" s="288"/>
    </row>
    <row r="651" spans="1:7" ht="14.25">
      <c r="A651" s="413"/>
      <c r="B651" s="413"/>
      <c r="C651" s="302"/>
      <c r="D651" s="1548"/>
      <c r="E651" s="1548"/>
      <c r="F651" s="1548"/>
      <c r="G651" s="288"/>
    </row>
    <row r="652" spans="1:7" ht="12.75">
      <c r="A652" s="140"/>
      <c r="B652" s="140"/>
      <c r="C652" s="302"/>
      <c r="D652" s="1513"/>
      <c r="E652" s="1505" t="s">
        <v>2322</v>
      </c>
      <c r="F652" s="1513"/>
      <c r="G652" s="288"/>
    </row>
    <row r="653" spans="1:7" ht="12.75">
      <c r="A653" s="140"/>
      <c r="B653" s="140"/>
      <c r="C653" s="302"/>
      <c r="D653" s="1545" t="s">
        <v>2321</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135</v>
      </c>
      <c r="C657" s="302"/>
      <c r="D657" s="1636" t="s">
        <v>1702</v>
      </c>
      <c r="E657" s="1636"/>
      <c r="F657" s="1636"/>
      <c r="G657" s="284"/>
    </row>
    <row r="658" spans="1:9" ht="14.25">
      <c r="A658" s="468"/>
      <c r="B658" s="468"/>
      <c r="C658" s="302"/>
      <c r="D658" s="1636"/>
      <c r="E658" s="1636"/>
      <c r="F658" s="1636"/>
      <c r="G658" s="284"/>
    </row>
    <row r="659" spans="1:9" ht="14.25">
      <c r="A659" s="468"/>
      <c r="B659" s="468"/>
      <c r="C659" s="302"/>
      <c r="D659" s="287"/>
      <c r="E659" s="286"/>
      <c r="F659" s="286"/>
      <c r="G659" s="284"/>
    </row>
    <row r="660" spans="1:9" ht="13.7" customHeight="1">
      <c r="A660" s="468"/>
      <c r="B660" s="924" t="s">
        <v>135</v>
      </c>
      <c r="C660" s="302"/>
      <c r="D660" s="1606" t="s">
        <v>1987</v>
      </c>
      <c r="E660" s="1606"/>
      <c r="F660" s="1606"/>
      <c r="G660" s="284"/>
    </row>
    <row r="661" spans="1:9" ht="14.25">
      <c r="A661" s="468"/>
      <c r="B661" s="468"/>
      <c r="C661" s="302"/>
      <c r="D661" s="1606"/>
      <c r="E661" s="1606"/>
      <c r="F661" s="1606"/>
      <c r="G661" s="284"/>
    </row>
    <row r="662" spans="1:9" ht="14.25">
      <c r="A662" s="552"/>
      <c r="B662" s="552"/>
      <c r="C662" s="285"/>
      <c r="D662" s="962"/>
      <c r="E662" s="962"/>
      <c r="F662" s="962"/>
      <c r="G662" s="284"/>
    </row>
    <row r="663" spans="1:9" ht="14.25">
      <c r="A663" s="413"/>
      <c r="B663" s="924" t="s">
        <v>135</v>
      </c>
      <c r="C663" s="322"/>
      <c r="D663" s="1637" t="s">
        <v>1703</v>
      </c>
      <c r="E663" s="1637"/>
      <c r="F663" s="1637"/>
      <c r="G663" s="284"/>
    </row>
    <row r="664" spans="1:9" ht="12.75">
      <c r="A664" s="143"/>
      <c r="B664" s="143"/>
      <c r="C664" s="322"/>
      <c r="D664" s="286"/>
      <c r="E664" s="286"/>
      <c r="F664" s="286"/>
      <c r="G664" s="284"/>
      <c r="H664" s="404"/>
      <c r="I664" s="404"/>
    </row>
    <row r="665" spans="1:9" ht="12.75">
      <c r="A665" s="1561" t="s">
        <v>1523</v>
      </c>
      <c r="B665" s="1561"/>
      <c r="C665" s="1561"/>
      <c r="D665" s="1561"/>
      <c r="E665" s="1561"/>
      <c r="F665" s="1561"/>
      <c r="G665" s="1561"/>
    </row>
    <row r="666" spans="1:9" ht="12.75">
      <c r="A666" s="143"/>
      <c r="B666" s="143"/>
      <c r="C666" s="322"/>
      <c r="D666" s="286"/>
      <c r="E666" s="286"/>
      <c r="F666" s="286"/>
      <c r="G666" s="284"/>
    </row>
    <row r="667" spans="1:9" ht="12.75">
      <c r="A667" s="140"/>
      <c r="B667" s="140"/>
      <c r="C667" s="303"/>
      <c r="D667" s="1638" t="s">
        <v>1522</v>
      </c>
      <c r="E667" s="1638"/>
      <c r="F667" s="1638"/>
      <c r="G667" s="284"/>
    </row>
    <row r="668" spans="1:9" ht="12.75">
      <c r="A668" s="415"/>
      <c r="B668" s="415"/>
      <c r="C668" s="299"/>
      <c r="D668" s="1625" t="s">
        <v>1548</v>
      </c>
      <c r="E668" s="1625"/>
      <c r="F668" s="1625"/>
      <c r="G668" s="284"/>
    </row>
    <row r="669" spans="1:9" ht="12.75">
      <c r="A669" s="415"/>
      <c r="B669" s="415"/>
      <c r="C669" s="299"/>
      <c r="D669" s="968"/>
      <c r="E669" s="968"/>
      <c r="F669" s="968"/>
      <c r="G669" s="284"/>
    </row>
    <row r="670" spans="1:9" ht="14.45" customHeight="1">
      <c r="A670" s="413"/>
      <c r="B670" s="924" t="s">
        <v>135</v>
      </c>
      <c r="C670" s="322"/>
      <c r="D670" s="1522" t="s">
        <v>2072</v>
      </c>
      <c r="E670" s="1522"/>
      <c r="F670" s="1522"/>
      <c r="G670" s="284"/>
    </row>
    <row r="671" spans="1:9" ht="14.25">
      <c r="A671" s="413"/>
      <c r="B671" s="413"/>
      <c r="C671" s="322"/>
      <c r="D671" s="1522"/>
      <c r="E671" s="1522"/>
      <c r="F671" s="1522"/>
      <c r="G671" s="284"/>
    </row>
    <row r="672" spans="1:9" ht="14.25">
      <c r="A672" s="413"/>
      <c r="B672" s="413"/>
      <c r="C672" s="322"/>
      <c r="D672" s="1522"/>
      <c r="E672" s="1522"/>
      <c r="F672" s="1522"/>
      <c r="G672" s="284"/>
    </row>
    <row r="673" spans="1:7" ht="14.25">
      <c r="A673" s="413"/>
      <c r="B673" s="413"/>
      <c r="C673" s="322"/>
      <c r="D673" s="1522"/>
      <c r="E673" s="1522"/>
      <c r="F673" s="1522"/>
      <c r="G673" s="284"/>
    </row>
    <row r="674" spans="1:7" ht="14.25">
      <c r="A674" s="413"/>
      <c r="B674" s="413"/>
      <c r="C674" s="322"/>
      <c r="D674" s="1522"/>
      <c r="E674" s="1522"/>
      <c r="F674" s="1522"/>
      <c r="G674" s="284"/>
    </row>
    <row r="675" spans="1:7" ht="14.25">
      <c r="A675" s="413"/>
      <c r="B675" s="413"/>
      <c r="C675" s="322"/>
      <c r="D675" s="1522"/>
      <c r="E675" s="1522"/>
      <c r="F675" s="1522"/>
      <c r="G675" s="284"/>
    </row>
    <row r="676" spans="1:7" ht="14.25" hidden="1">
      <c r="A676" s="552"/>
      <c r="B676" s="552"/>
      <c r="C676" s="405"/>
      <c r="D676" s="688"/>
      <c r="F676" s="284"/>
      <c r="G676" s="284"/>
    </row>
    <row r="677" spans="1:7" ht="14.25" hidden="1">
      <c r="A677" s="552"/>
      <c r="B677" s="924" t="s">
        <v>86</v>
      </c>
      <c r="C677" s="405"/>
      <c r="D677" s="1615" t="s">
        <v>1569</v>
      </c>
      <c r="E677" s="1615"/>
      <c r="F677" s="1615"/>
      <c r="G677" s="284"/>
    </row>
    <row r="678" spans="1:7" ht="14.25" hidden="1">
      <c r="A678" s="552"/>
      <c r="B678" s="552"/>
      <c r="C678" s="405"/>
      <c r="D678" s="1632" t="s">
        <v>1731</v>
      </c>
      <c r="E678" s="1632"/>
      <c r="F678" s="1632"/>
      <c r="G678" s="284"/>
    </row>
    <row r="679" spans="1:7" ht="14.25" hidden="1">
      <c r="A679" s="552"/>
      <c r="B679" s="552"/>
      <c r="C679" s="405"/>
      <c r="D679" s="1632"/>
      <c r="E679" s="1632"/>
      <c r="F679" s="1632"/>
      <c r="G679" s="284"/>
    </row>
    <row r="680" spans="1:7" ht="14.25" hidden="1">
      <c r="A680" s="552"/>
      <c r="B680" s="552"/>
      <c r="C680" s="405"/>
      <c r="D680" s="1632"/>
      <c r="E680" s="1632"/>
      <c r="F680" s="1632"/>
      <c r="G680" s="284"/>
    </row>
    <row r="681" spans="1:7" ht="14.25" hidden="1">
      <c r="A681" s="552"/>
      <c r="B681" s="552"/>
      <c r="C681" s="405"/>
      <c r="D681" s="1632"/>
      <c r="E681" s="1632"/>
      <c r="F681" s="1632"/>
      <c r="G681" s="284"/>
    </row>
    <row r="682" spans="1:7" ht="14.25" hidden="1">
      <c r="A682" s="552"/>
      <c r="B682" s="552"/>
      <c r="C682" s="405"/>
      <c r="D682" s="1632"/>
      <c r="E682" s="1632"/>
      <c r="F682" s="1632"/>
      <c r="G682" s="284"/>
    </row>
    <row r="683" spans="1:7" ht="14.25" hidden="1">
      <c r="A683" s="552"/>
      <c r="B683" s="552"/>
      <c r="C683" s="405"/>
      <c r="D683" s="1639" t="s">
        <v>2071</v>
      </c>
      <c r="E683" s="1639"/>
      <c r="F683" s="1639"/>
      <c r="G683" s="284"/>
    </row>
    <row r="684" spans="1:7" ht="12.75">
      <c r="A684" s="143"/>
      <c r="B684" s="143"/>
      <c r="C684" s="322"/>
      <c r="D684" s="286"/>
      <c r="E684" s="286"/>
      <c r="F684" s="286"/>
      <c r="G684" s="284"/>
    </row>
    <row r="685" spans="1:7" ht="12.75">
      <c r="A685" s="1561" t="s">
        <v>1524</v>
      </c>
      <c r="B685" s="1561"/>
      <c r="C685" s="1561"/>
      <c r="D685" s="1561"/>
      <c r="E685" s="1561"/>
      <c r="F685" s="1561"/>
      <c r="G685" s="1561"/>
    </row>
    <row r="686" spans="1:7" ht="12.75">
      <c r="A686" s="143"/>
      <c r="B686" s="143"/>
      <c r="C686" s="322"/>
      <c r="D686" s="286"/>
      <c r="E686" s="286"/>
      <c r="F686" s="286"/>
      <c r="G686" s="284"/>
    </row>
    <row r="687" spans="1:7" ht="12.75">
      <c r="A687" s="140"/>
      <c r="B687" s="140"/>
      <c r="C687" s="303"/>
      <c r="D687" s="1562" t="s">
        <v>848</v>
      </c>
      <c r="E687" s="1562"/>
      <c r="F687" s="1562"/>
      <c r="G687" s="284"/>
    </row>
    <row r="688" spans="1:7" ht="12.75">
      <c r="A688" s="418"/>
      <c r="B688" s="418"/>
      <c r="C688" s="303"/>
      <c r="D688" s="1562" t="s">
        <v>949</v>
      </c>
      <c r="E688" s="1562"/>
      <c r="F688" s="1562"/>
      <c r="G688" s="284"/>
    </row>
    <row r="689" spans="1:7" ht="12.75">
      <c r="A689" s="415"/>
      <c r="B689" s="415"/>
      <c r="C689" s="299"/>
      <c r="D689" s="1555" t="s">
        <v>1663</v>
      </c>
      <c r="E689" s="1555"/>
      <c r="F689" s="1555"/>
      <c r="G689" s="288"/>
    </row>
    <row r="690" spans="1:7" ht="14.25" customHeight="1">
      <c r="A690" s="415"/>
      <c r="B690" s="415"/>
      <c r="C690" s="299"/>
      <c r="D690" s="282"/>
      <c r="E690" s="282"/>
      <c r="F690" s="282"/>
      <c r="G690" s="288"/>
    </row>
    <row r="691" spans="1:7" ht="14.25">
      <c r="A691" s="413"/>
      <c r="B691" s="924" t="s">
        <v>1515</v>
      </c>
      <c r="C691" s="299"/>
      <c r="D691" s="1555" t="s">
        <v>1204</v>
      </c>
      <c r="E691" s="1555"/>
      <c r="F691" s="1555"/>
      <c r="G691" s="288"/>
    </row>
    <row r="692" spans="1:7" ht="12.75">
      <c r="A692" s="415"/>
      <c r="B692" s="415"/>
      <c r="C692" s="299"/>
      <c r="D692" s="1555" t="s">
        <v>1225</v>
      </c>
      <c r="E692" s="1555"/>
      <c r="F692" s="1555"/>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135</v>
      </c>
      <c r="C696" s="299"/>
      <c r="D696" s="1553" t="s">
        <v>1665</v>
      </c>
      <c r="E696" s="1553"/>
      <c r="F696" s="1553"/>
      <c r="G696" s="288"/>
    </row>
    <row r="697" spans="1:7" ht="12.75">
      <c r="A697" s="33"/>
      <c r="B697" s="33"/>
      <c r="C697" s="299"/>
      <c r="D697" s="1553"/>
      <c r="E697" s="1553"/>
      <c r="F697" s="1553"/>
      <c r="G697" s="288"/>
    </row>
    <row r="698" spans="1:7" ht="12.75">
      <c r="A698" s="415"/>
      <c r="B698" s="415"/>
      <c r="C698" s="299"/>
      <c r="D698" s="1553"/>
      <c r="E698" s="1553"/>
      <c r="F698" s="1553"/>
      <c r="G698" s="288"/>
    </row>
    <row r="699" spans="1:7" ht="12.75">
      <c r="A699" s="415"/>
      <c r="B699" s="415"/>
      <c r="C699" s="299"/>
      <c r="D699" s="282"/>
      <c r="E699" s="282"/>
      <c r="F699" s="282"/>
      <c r="G699" s="288"/>
    </row>
    <row r="700" spans="1:7" ht="14.25">
      <c r="A700" s="413"/>
      <c r="B700" s="924" t="s">
        <v>1499</v>
      </c>
      <c r="C700" s="299"/>
      <c r="D700" s="1555" t="s">
        <v>1269</v>
      </c>
      <c r="E700" s="1555"/>
      <c r="F700" s="1555"/>
      <c r="G700" s="288"/>
    </row>
    <row r="701" spans="1:7" ht="14.25">
      <c r="A701" s="413"/>
      <c r="B701" s="413"/>
      <c r="C701" s="299"/>
      <c r="D701" s="1555" t="s">
        <v>1225</v>
      </c>
      <c r="E701" s="1555"/>
      <c r="F701" s="1555"/>
      <c r="G701" s="288"/>
    </row>
    <row r="702" spans="1:7" ht="12.75">
      <c r="A702" s="415"/>
      <c r="B702" s="415"/>
      <c r="C702" s="299"/>
      <c r="D702" s="282"/>
      <c r="E702" s="1581" t="s">
        <v>2325</v>
      </c>
      <c r="F702" s="1581"/>
      <c r="G702" s="288"/>
    </row>
    <row r="703" spans="1:7" ht="12.75">
      <c r="A703" s="415"/>
      <c r="B703" s="415"/>
      <c r="C703" s="299"/>
      <c r="D703" s="6"/>
      <c r="E703" s="282"/>
      <c r="F703" s="282"/>
      <c r="G703" s="288"/>
    </row>
    <row r="704" spans="1:7" ht="14.25">
      <c r="A704" s="413"/>
      <c r="B704" s="924" t="s">
        <v>135</v>
      </c>
      <c r="C704" s="299"/>
      <c r="D704" s="1586" t="s">
        <v>1666</v>
      </c>
      <c r="E704" s="1586"/>
      <c r="F704" s="1586"/>
      <c r="G704" s="288"/>
    </row>
    <row r="705" spans="1:7" ht="12.75">
      <c r="A705" s="415"/>
      <c r="B705" s="415"/>
      <c r="C705" s="299"/>
      <c r="D705" s="1586"/>
      <c r="E705" s="1586"/>
      <c r="F705" s="1586"/>
      <c r="G705" s="288"/>
    </row>
    <row r="706" spans="1:7" ht="12.75">
      <c r="A706" s="415"/>
      <c r="B706" s="415"/>
      <c r="C706" s="299"/>
      <c r="D706" s="1586"/>
      <c r="E706" s="1586"/>
      <c r="F706" s="1586"/>
      <c r="G706" s="288"/>
    </row>
    <row r="707" spans="1:7" ht="12.75">
      <c r="A707" s="415"/>
      <c r="B707" s="415"/>
      <c r="C707" s="299"/>
      <c r="D707" s="1586"/>
      <c r="E707" s="1586"/>
      <c r="F707" s="1586"/>
      <c r="G707" s="288"/>
    </row>
    <row r="708" spans="1:7" ht="12.75">
      <c r="A708" s="415"/>
      <c r="B708" s="415"/>
      <c r="C708" s="299"/>
      <c r="D708" s="1586"/>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924" t="s">
        <v>135</v>
      </c>
      <c r="C711" s="299"/>
      <c r="D711" s="1585" t="s">
        <v>1897</v>
      </c>
      <c r="E711" s="1586"/>
      <c r="F711" s="1586"/>
      <c r="G711" s="288"/>
    </row>
    <row r="712" spans="1:7" ht="12.75">
      <c r="A712" s="415"/>
      <c r="B712" s="415"/>
      <c r="C712" s="299"/>
      <c r="D712" s="1586"/>
      <c r="E712" s="1586"/>
      <c r="F712" s="1586"/>
      <c r="G712" s="288"/>
    </row>
    <row r="713" spans="1:7" ht="12.75">
      <c r="A713" s="415"/>
      <c r="B713" s="415"/>
      <c r="C713" s="299"/>
      <c r="D713" s="136"/>
      <c r="E713" s="282"/>
      <c r="F713" s="282"/>
      <c r="G713" s="288"/>
    </row>
    <row r="714" spans="1:7" ht="14.45" customHeight="1">
      <c r="A714" s="413"/>
      <c r="B714" s="924" t="s">
        <v>135</v>
      </c>
      <c r="C714" s="299"/>
      <c r="D714" s="1586" t="s">
        <v>1667</v>
      </c>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ht="12.75">
      <c r="A721" s="415"/>
      <c r="B721" s="415"/>
      <c r="C721" s="299"/>
      <c r="D721" s="1586"/>
      <c r="E721" s="1586"/>
      <c r="F721" s="1586"/>
      <c r="G721" s="288"/>
    </row>
    <row r="722" spans="1:9" ht="12.75">
      <c r="A722" s="415"/>
      <c r="B722" s="415"/>
      <c r="C722" s="299"/>
      <c r="D722" s="1586"/>
      <c r="E722" s="1586"/>
      <c r="F722" s="1586"/>
      <c r="G722" s="288"/>
    </row>
    <row r="723" spans="1:9" ht="12.75">
      <c r="A723" s="415"/>
      <c r="B723" s="415"/>
      <c r="C723" s="299"/>
      <c r="D723" s="1586"/>
      <c r="E723" s="1586"/>
      <c r="F723" s="1586"/>
      <c r="G723" s="288"/>
    </row>
    <row r="724" spans="1:9" ht="12.75">
      <c r="A724" s="415"/>
      <c r="B724" s="415"/>
      <c r="C724" s="299"/>
      <c r="D724" s="1586"/>
      <c r="E724" s="1586"/>
      <c r="F724" s="1586"/>
      <c r="G724" s="288"/>
    </row>
    <row r="725" spans="1:9" ht="12.75">
      <c r="A725" s="415"/>
      <c r="B725" s="415"/>
      <c r="C725" s="299"/>
      <c r="D725" s="1586"/>
      <c r="E725" s="1586"/>
      <c r="F725" s="1586"/>
      <c r="G725" s="288"/>
    </row>
    <row r="726" spans="1:9" ht="12.75">
      <c r="A726" s="415"/>
      <c r="B726" s="415"/>
      <c r="C726" s="299"/>
      <c r="D726" s="1586"/>
      <c r="E726" s="1586"/>
      <c r="F726" s="1586"/>
      <c r="G726" s="288"/>
    </row>
    <row r="727" spans="1:9" s="50" customFormat="1" ht="12.75">
      <c r="A727" s="415"/>
      <c r="B727" s="924" t="s">
        <v>135</v>
      </c>
      <c r="C727" s="415"/>
      <c r="D727" s="1586" t="s">
        <v>1671</v>
      </c>
      <c r="E727" s="1586"/>
      <c r="F727" s="1586"/>
      <c r="G727" s="71"/>
      <c r="H727" s="860"/>
      <c r="I727" s="1060"/>
    </row>
    <row r="728" spans="1:9" s="50" customFormat="1" ht="12.75">
      <c r="A728" s="415"/>
      <c r="B728" s="415"/>
      <c r="C728" s="415"/>
      <c r="D728" s="1586"/>
      <c r="E728" s="1586"/>
      <c r="F728" s="1586"/>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6" t="s">
        <v>1672</v>
      </c>
      <c r="E730" s="1586"/>
      <c r="F730" s="1586"/>
      <c r="G730" s="71"/>
      <c r="H730" s="860"/>
      <c r="I730" s="1060"/>
    </row>
    <row r="731" spans="1:9" s="50" customFormat="1" ht="12.75">
      <c r="A731" s="415"/>
      <c r="B731" s="415"/>
      <c r="C731" s="415"/>
      <c r="D731" s="1586"/>
      <c r="E731" s="1586"/>
      <c r="F731" s="1586"/>
      <c r="G731" s="71"/>
      <c r="H731" s="860"/>
      <c r="I731" s="1060"/>
    </row>
    <row r="732" spans="1:9" s="50" customFormat="1" ht="12.75">
      <c r="A732" s="415"/>
      <c r="B732" s="415"/>
      <c r="C732" s="415"/>
      <c r="D732" s="1586"/>
      <c r="E732" s="1586"/>
      <c r="F732" s="1586"/>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5" t="s">
        <v>2125</v>
      </c>
      <c r="E734" s="1586"/>
      <c r="F734" s="1586"/>
      <c r="G734" s="288"/>
    </row>
    <row r="735" spans="1:9" ht="12.75">
      <c r="A735" s="415"/>
      <c r="B735" s="415"/>
      <c r="C735" s="299"/>
      <c r="D735" s="1586"/>
      <c r="E735" s="1586"/>
      <c r="F735" s="1586"/>
      <c r="G735" s="288"/>
    </row>
    <row r="736" spans="1:9" ht="12.75">
      <c r="A736" s="415"/>
      <c r="B736" s="415"/>
      <c r="C736" s="299"/>
      <c r="D736" s="1586"/>
      <c r="E736" s="1586"/>
      <c r="F736" s="1586"/>
      <c r="G736" s="288"/>
    </row>
    <row r="737" spans="1:9" ht="12.75">
      <c r="A737" s="415"/>
      <c r="B737" s="415"/>
      <c r="C737" s="299"/>
      <c r="D737" s="136"/>
      <c r="E737" s="282"/>
      <c r="F737" s="282"/>
      <c r="G737" s="288"/>
    </row>
    <row r="738" spans="1:9" ht="14.45" customHeight="1">
      <c r="A738" s="413"/>
      <c r="B738" s="924" t="s">
        <v>135</v>
      </c>
      <c r="C738" s="299"/>
      <c r="D738" s="1586" t="s">
        <v>1668</v>
      </c>
      <c r="E738" s="1586"/>
      <c r="F738" s="1586"/>
      <c r="G738" s="288"/>
    </row>
    <row r="739" spans="1:9" ht="12.75">
      <c r="A739" s="415"/>
      <c r="B739" s="415"/>
      <c r="C739" s="299"/>
      <c r="D739" s="1586"/>
      <c r="E739" s="1586"/>
      <c r="F739" s="1586"/>
      <c r="G739" s="288"/>
    </row>
    <row r="740" spans="1:9" ht="12.75">
      <c r="A740" s="415"/>
      <c r="B740" s="415"/>
      <c r="C740" s="299"/>
      <c r="D740" s="1586"/>
      <c r="E740" s="1586"/>
      <c r="F740" s="1586"/>
      <c r="G740" s="288"/>
    </row>
    <row r="741" spans="1:9" ht="12.75">
      <c r="A741" s="415"/>
      <c r="B741" s="415"/>
      <c r="C741" s="299"/>
      <c r="D741" s="332"/>
      <c r="E741" s="282"/>
      <c r="F741" s="282"/>
      <c r="G741" s="288"/>
      <c r="H741" s="404"/>
      <c r="I741" s="404"/>
    </row>
    <row r="742" spans="1:9" ht="14.25">
      <c r="A742" s="413"/>
      <c r="B742" s="924" t="s">
        <v>135</v>
      </c>
      <c r="C742" s="299"/>
      <c r="D742" s="1553" t="s">
        <v>1670</v>
      </c>
      <c r="E742" s="1553"/>
      <c r="F742" s="1553"/>
      <c r="G742" s="288"/>
    </row>
    <row r="743" spans="1:9" ht="12.75">
      <c r="A743" s="415"/>
      <c r="B743" s="415"/>
      <c r="C743" s="299"/>
      <c r="D743" s="1553"/>
      <c r="E743" s="1553"/>
      <c r="F743" s="1553"/>
      <c r="G743" s="288"/>
    </row>
    <row r="744" spans="1:9" ht="12.75">
      <c r="A744" s="415"/>
      <c r="B744" s="415"/>
      <c r="C744" s="299"/>
      <c r="D744" s="1553"/>
      <c r="E744" s="1553"/>
      <c r="F744" s="1553"/>
      <c r="G744" s="288"/>
    </row>
    <row r="745" spans="1:9" ht="12.75">
      <c r="A745" s="415"/>
      <c r="B745" s="415"/>
      <c r="C745" s="299"/>
      <c r="D745" s="1553"/>
      <c r="E745" s="1553"/>
      <c r="F745" s="1553"/>
      <c r="G745" s="288"/>
    </row>
    <row r="746" spans="1:9" ht="12.75">
      <c r="A746" s="415"/>
      <c r="B746" s="415"/>
      <c r="C746" s="299"/>
      <c r="D746" s="933"/>
      <c r="E746" s="933"/>
      <c r="F746" s="933"/>
      <c r="G746" s="288"/>
    </row>
    <row r="747" spans="1:9" s="50" customFormat="1" ht="14.25">
      <c r="A747" s="413"/>
      <c r="B747" s="1517" t="s">
        <v>135</v>
      </c>
      <c r="C747" s="415"/>
      <c r="D747" s="1586" t="s">
        <v>1839</v>
      </c>
      <c r="E747" s="1586"/>
      <c r="F747" s="1586"/>
      <c r="G747" s="71"/>
      <c r="H747" s="860"/>
      <c r="I747" s="1060"/>
    </row>
    <row r="748" spans="1:9" s="50" customFormat="1" ht="12.75">
      <c r="A748" s="415"/>
      <c r="B748" s="415"/>
      <c r="C748" s="415"/>
      <c r="D748" s="1586"/>
      <c r="E748" s="1586"/>
      <c r="F748" s="1586"/>
      <c r="G748" s="71"/>
      <c r="H748" s="860"/>
      <c r="I748" s="1060"/>
    </row>
    <row r="749" spans="1:9" s="50" customFormat="1" ht="12.75">
      <c r="A749" s="415"/>
      <c r="B749" s="415"/>
      <c r="C749" s="415"/>
      <c r="D749" s="1586"/>
      <c r="E749" s="1586"/>
      <c r="F749" s="1586"/>
      <c r="G749" s="71"/>
      <c r="H749" s="860"/>
      <c r="I749" s="1060"/>
    </row>
    <row r="750" spans="1:9" s="50" customFormat="1" ht="12.75">
      <c r="A750" s="415"/>
      <c r="B750" s="415"/>
      <c r="C750" s="415"/>
      <c r="D750" s="1586"/>
      <c r="E750" s="1586"/>
      <c r="F750" s="1586"/>
      <c r="G750" s="71"/>
      <c r="H750" s="860"/>
      <c r="I750" s="1060"/>
    </row>
    <row r="751" spans="1:9" s="50" customFormat="1" ht="12.75">
      <c r="A751" s="415"/>
      <c r="B751" s="415"/>
      <c r="C751" s="415"/>
      <c r="D751" s="1586"/>
      <c r="E751" s="1586"/>
      <c r="F751" s="1586"/>
      <c r="G751" s="71"/>
      <c r="H751" s="860"/>
      <c r="I751" s="1060"/>
    </row>
    <row r="752" spans="1:9" s="50" customFormat="1" ht="12.75">
      <c r="A752" s="415"/>
      <c r="B752" s="415"/>
      <c r="C752" s="415"/>
      <c r="D752" s="1586"/>
      <c r="E752" s="1586"/>
      <c r="F752" s="1586"/>
      <c r="G752" s="71"/>
      <c r="H752" s="860"/>
      <c r="I752" s="1060"/>
    </row>
    <row r="753" spans="1:9" s="50" customFormat="1" ht="12.75">
      <c r="A753" s="415"/>
      <c r="B753" s="415"/>
      <c r="C753" s="415"/>
      <c r="D753" s="1586"/>
      <c r="E753" s="1586"/>
      <c r="F753" s="1586"/>
      <c r="G753" s="71"/>
      <c r="H753" s="860"/>
      <c r="I753" s="1060"/>
    </row>
    <row r="754" spans="1:9" s="50" customFormat="1" ht="12.75">
      <c r="A754" s="415"/>
      <c r="B754" s="415"/>
      <c r="C754" s="415"/>
      <c r="D754" s="1631" t="s">
        <v>1669</v>
      </c>
      <c r="E754" s="1631"/>
      <c r="F754" s="1631"/>
      <c r="G754" s="71"/>
      <c r="H754" s="860"/>
      <c r="I754" s="1060"/>
    </row>
    <row r="755" spans="1:9" s="50" customFormat="1" ht="12.75">
      <c r="A755" s="415"/>
      <c r="B755" s="415"/>
      <c r="C755" s="415"/>
      <c r="D755" s="865"/>
      <c r="E755" s="8"/>
      <c r="F755" s="8"/>
      <c r="G755" s="71"/>
      <c r="H755" s="860"/>
      <c r="I755" s="1060"/>
    </row>
    <row r="756" spans="1:9" ht="12.75">
      <c r="A756" s="1602" t="s">
        <v>1555</v>
      </c>
      <c r="B756" s="1602"/>
      <c r="C756" s="1602"/>
      <c r="D756" s="1602"/>
      <c r="E756" s="1602"/>
      <c r="F756" s="1602"/>
      <c r="G756" s="1602"/>
      <c r="H756" s="404"/>
      <c r="I756" s="404"/>
    </row>
    <row r="757" spans="1:9" ht="12.75">
      <c r="A757" s="415"/>
      <c r="B757" s="415"/>
      <c r="C757" s="299"/>
      <c r="D757" s="332"/>
      <c r="E757" s="282"/>
      <c r="F757" s="282"/>
      <c r="G757" s="288"/>
      <c r="H757" s="404"/>
      <c r="I757" s="404"/>
    </row>
    <row r="758" spans="1:9" ht="12.75">
      <c r="A758" s="140"/>
      <c r="B758" s="140"/>
      <c r="C758" s="299"/>
      <c r="D758" s="1564" t="s">
        <v>1580</v>
      </c>
      <c r="E758" s="1564"/>
      <c r="F758" s="1564"/>
      <c r="G758" s="288"/>
      <c r="H758" s="404"/>
      <c r="I758" s="404"/>
    </row>
    <row r="759" spans="1:9" ht="12.75">
      <c r="A759" s="414"/>
      <c r="B759" s="414"/>
      <c r="C759" s="298"/>
      <c r="D759" s="1560" t="s">
        <v>1583</v>
      </c>
      <c r="E759" s="1560"/>
      <c r="F759" s="1560"/>
      <c r="G759" s="288"/>
      <c r="H759" s="404"/>
      <c r="I759" s="404"/>
    </row>
    <row r="760" spans="1:9" ht="12.75">
      <c r="A760" s="415"/>
      <c r="B760" s="415"/>
      <c r="C760" s="299"/>
      <c r="D760" s="282"/>
      <c r="E760" s="282"/>
      <c r="F760" s="282"/>
      <c r="G760" s="288"/>
      <c r="H760" s="404"/>
      <c r="I760" s="404"/>
    </row>
    <row r="761" spans="1:9" ht="14.25" customHeight="1">
      <c r="A761" s="413"/>
      <c r="B761" s="924" t="s">
        <v>1515</v>
      </c>
      <c r="C761" s="14"/>
      <c r="D761" s="1553" t="s">
        <v>1581</v>
      </c>
      <c r="E761" s="1553"/>
      <c r="F761" s="1553"/>
      <c r="G761" s="288"/>
      <c r="H761" s="404"/>
      <c r="I761" s="404"/>
    </row>
    <row r="762" spans="1:9" ht="11.25" customHeight="1">
      <c r="A762" s="140"/>
      <c r="B762" s="140"/>
      <c r="C762" s="14"/>
      <c r="D762" s="1553"/>
      <c r="E762" s="1553"/>
      <c r="F762" s="1553"/>
      <c r="G762" s="288"/>
      <c r="H762" s="404"/>
      <c r="I762" s="404"/>
    </row>
    <row r="763" spans="1:9" ht="12.75">
      <c r="A763" s="140"/>
      <c r="B763" s="140"/>
      <c r="C763" s="14"/>
      <c r="D763" s="1553"/>
      <c r="E763" s="1553"/>
      <c r="F763" s="1553"/>
      <c r="G763" s="288"/>
      <c r="H763" s="404"/>
      <c r="I763" s="404"/>
    </row>
    <row r="764" spans="1:9" ht="12.75">
      <c r="A764" s="140"/>
      <c r="B764" s="140"/>
      <c r="C764" s="14"/>
      <c r="D764" s="1553"/>
      <c r="E764" s="1553"/>
      <c r="F764" s="1553"/>
      <c r="G764" s="288"/>
      <c r="H764" s="404"/>
      <c r="I764" s="404"/>
    </row>
    <row r="765" spans="1:9" ht="12.7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75">
      <c r="A767" s="150"/>
      <c r="B767" s="150"/>
      <c r="D767" s="403"/>
      <c r="E767" s="403"/>
      <c r="F767" s="403"/>
      <c r="G767" s="288"/>
      <c r="H767" s="404"/>
      <c r="I767" s="404"/>
    </row>
    <row r="768" spans="1:9" ht="12.75" customHeight="1">
      <c r="A768" s="140"/>
      <c r="B768" s="924" t="s">
        <v>135</v>
      </c>
      <c r="C768" s="14"/>
      <c r="D768" s="1606" t="s">
        <v>2055</v>
      </c>
      <c r="E768" s="1606"/>
      <c r="F768" s="1606"/>
      <c r="G768" s="288"/>
      <c r="H768" s="404"/>
      <c r="I768" s="404"/>
    </row>
    <row r="769" spans="1:9" ht="12.75">
      <c r="A769" s="140"/>
      <c r="B769" s="140"/>
      <c r="C769" s="14"/>
      <c r="D769" s="1606"/>
      <c r="E769" s="1606"/>
      <c r="F769" s="1606"/>
      <c r="G769" s="288"/>
      <c r="H769" s="404"/>
      <c r="I769" s="404"/>
    </row>
    <row r="770" spans="1:9" ht="12.75">
      <c r="A770" s="140"/>
      <c r="B770" s="140"/>
      <c r="C770" s="14"/>
      <c r="D770" s="1606"/>
      <c r="E770" s="1606"/>
      <c r="F770" s="1606"/>
      <c r="G770" s="288"/>
      <c r="H770" s="404"/>
      <c r="I770" s="404"/>
    </row>
    <row r="771" spans="1:9" ht="12.75">
      <c r="A771" s="140"/>
      <c r="B771" s="140"/>
      <c r="C771" s="14"/>
      <c r="D771" s="1606"/>
      <c r="E771" s="1606"/>
      <c r="F771" s="1606"/>
      <c r="G771" s="288"/>
      <c r="H771" s="404"/>
      <c r="I771" s="404"/>
    </row>
    <row r="772" spans="1:9" ht="12.75">
      <c r="A772" s="140"/>
      <c r="B772" s="140"/>
      <c r="C772" s="14"/>
      <c r="D772" s="403"/>
      <c r="G772" s="288"/>
      <c r="H772" s="404"/>
      <c r="I772" s="404"/>
    </row>
    <row r="773" spans="1:9" ht="12.75">
      <c r="A773" s="140"/>
      <c r="B773" s="924" t="s">
        <v>135</v>
      </c>
      <c r="C773" s="667"/>
      <c r="D773" s="1603" t="s">
        <v>2056</v>
      </c>
      <c r="E773" s="1604"/>
      <c r="F773" s="1604"/>
      <c r="G773" s="689"/>
      <c r="H773" s="404"/>
      <c r="I773" s="404"/>
    </row>
    <row r="774" spans="1:9" ht="12.75">
      <c r="A774" s="667"/>
      <c r="B774" s="667"/>
      <c r="C774" s="667"/>
      <c r="D774" s="1604"/>
      <c r="E774" s="1604"/>
      <c r="F774" s="1604"/>
      <c r="G774" s="689"/>
      <c r="H774" s="404"/>
      <c r="I774" s="404"/>
    </row>
    <row r="775" spans="1:9" ht="12.75">
      <c r="A775" s="667"/>
      <c r="B775" s="667"/>
      <c r="C775" s="667"/>
      <c r="D775" s="1604"/>
      <c r="E775" s="1604"/>
      <c r="F775" s="1604"/>
      <c r="G775" s="689"/>
      <c r="H775" s="404"/>
      <c r="I775" s="404"/>
    </row>
    <row r="776" spans="1:9" ht="12.75">
      <c r="A776" s="150"/>
      <c r="B776" s="150"/>
      <c r="D776" s="403"/>
      <c r="E776" s="403"/>
      <c r="F776" s="403"/>
      <c r="G776" s="288"/>
      <c r="H776" s="404"/>
      <c r="I776" s="404"/>
    </row>
    <row r="777" spans="1:9" ht="12.75">
      <c r="A777" s="150"/>
      <c r="B777" s="924" t="s">
        <v>135</v>
      </c>
      <c r="D777" s="1596" t="s">
        <v>1582</v>
      </c>
      <c r="E777" s="1596"/>
      <c r="F777" s="1596"/>
      <c r="G777" s="288"/>
      <c r="H777" s="404"/>
      <c r="I777" s="404"/>
    </row>
    <row r="778" spans="1:9" ht="12.75">
      <c r="A778" s="150"/>
      <c r="B778" s="150"/>
      <c r="D778" s="1596"/>
      <c r="E778" s="1596"/>
      <c r="F778" s="1596"/>
      <c r="G778" s="288"/>
      <c r="H778" s="404"/>
      <c r="I778" s="404"/>
    </row>
    <row r="779" spans="1:9" ht="12.75">
      <c r="A779" s="150"/>
      <c r="B779" s="150"/>
      <c r="D779" s="931"/>
      <c r="E779" s="931"/>
      <c r="F779" s="931"/>
      <c r="G779" s="288"/>
      <c r="H779" s="404"/>
      <c r="I779" s="404"/>
    </row>
    <row r="780" spans="1:9" ht="13.7" customHeight="1">
      <c r="A780" s="150"/>
      <c r="B780" s="924" t="s">
        <v>135</v>
      </c>
      <c r="D780" s="1563" t="s">
        <v>1921</v>
      </c>
      <c r="E780" s="1596"/>
      <c r="F780" s="1596"/>
      <c r="G780" s="288"/>
      <c r="H780" s="404"/>
      <c r="I780" s="404"/>
    </row>
    <row r="781" spans="1:9" ht="12.75">
      <c r="A781" s="150"/>
      <c r="B781" s="150"/>
      <c r="D781" s="1596"/>
      <c r="E781" s="1596"/>
      <c r="F781" s="1596"/>
      <c r="G781" s="288"/>
      <c r="H781" s="404"/>
      <c r="I781" s="404"/>
    </row>
    <row r="782" spans="1:9" ht="12.75">
      <c r="A782" s="150"/>
      <c r="B782" s="150"/>
      <c r="D782" s="1596"/>
      <c r="E782" s="1596"/>
      <c r="F782" s="1596"/>
      <c r="G782" s="288"/>
      <c r="H782" s="404"/>
      <c r="I782" s="404"/>
    </row>
    <row r="783" spans="1:9" ht="12.75">
      <c r="A783" s="150"/>
      <c r="B783" s="150"/>
      <c r="D783" s="931"/>
      <c r="E783" s="931"/>
      <c r="F783" s="931"/>
      <c r="G783" s="288"/>
      <c r="H783" s="404"/>
      <c r="I783" s="404"/>
    </row>
    <row r="784" spans="1:9" ht="12" customHeight="1">
      <c r="A784" s="1602" t="s">
        <v>1742</v>
      </c>
      <c r="B784" s="1602"/>
      <c r="C784" s="1602"/>
      <c r="D784" s="1602"/>
      <c r="E784" s="1602"/>
      <c r="F784" s="1602"/>
      <c r="G784" s="1602"/>
      <c r="H784" s="404"/>
      <c r="I784" s="404"/>
    </row>
    <row r="785" spans="1:9" ht="12.75">
      <c r="A785" s="107"/>
      <c r="B785" s="107"/>
      <c r="C785" s="302"/>
      <c r="D785" s="283"/>
      <c r="E785" s="283"/>
      <c r="F785" s="283"/>
      <c r="G785" s="288"/>
      <c r="H785" s="404"/>
      <c r="I785" s="404"/>
    </row>
    <row r="786" spans="1:9" ht="13.7" customHeight="1">
      <c r="A786" s="107"/>
      <c r="B786" s="107"/>
      <c r="C786" s="302"/>
      <c r="D786" s="1646" t="s">
        <v>1743</v>
      </c>
      <c r="E786" s="1646"/>
      <c r="F786" s="1646"/>
      <c r="G786" s="288"/>
      <c r="H786" s="404"/>
      <c r="I786" s="404"/>
    </row>
    <row r="787" spans="1:9" ht="12.75">
      <c r="A787" s="107"/>
      <c r="B787" s="107"/>
      <c r="C787" s="302"/>
      <c r="D787" s="1647" t="s">
        <v>1744</v>
      </c>
      <c r="E787" s="1647"/>
      <c r="F787" s="1647"/>
      <c r="G787" s="288"/>
      <c r="H787" s="404"/>
      <c r="I787" s="404"/>
    </row>
    <row r="788" spans="1:9" ht="12.75">
      <c r="A788" s="107"/>
      <c r="B788" s="107"/>
      <c r="C788" s="302"/>
      <c r="D788" s="970"/>
      <c r="E788" s="970"/>
      <c r="F788" s="970"/>
      <c r="G788" s="288"/>
      <c r="H788" s="404"/>
      <c r="I788" s="404"/>
    </row>
    <row r="789" spans="1:9" ht="12.75">
      <c r="A789" s="107"/>
      <c r="B789" s="924" t="s">
        <v>1499</v>
      </c>
      <c r="C789" s="302"/>
      <c r="D789" s="1632" t="s">
        <v>1745</v>
      </c>
      <c r="E789" s="1632"/>
      <c r="F789" s="1632"/>
      <c r="G789" s="288"/>
      <c r="H789" s="404"/>
      <c r="I789" s="404"/>
    </row>
    <row r="790" spans="1:9" ht="12.75">
      <c r="A790" s="107"/>
      <c r="B790" s="107"/>
      <c r="C790" s="302"/>
      <c r="D790" s="1632"/>
      <c r="E790" s="1632"/>
      <c r="F790" s="1632"/>
      <c r="G790" s="288"/>
      <c r="H790" s="404"/>
      <c r="I790" s="404"/>
    </row>
    <row r="791" spans="1:9" ht="12.75">
      <c r="A791" s="415"/>
      <c r="B791" s="415"/>
      <c r="C791" s="299"/>
      <c r="D791" s="1632"/>
      <c r="E791" s="1632"/>
      <c r="F791" s="1632"/>
      <c r="G791" s="284"/>
      <c r="H791" s="404"/>
      <c r="I791" s="404"/>
    </row>
    <row r="792" spans="1:9" ht="12.75">
      <c r="A792" s="150"/>
      <c r="B792" s="150"/>
      <c r="C792" s="285"/>
      <c r="D792" s="411"/>
      <c r="E792" s="288"/>
      <c r="F792" s="288"/>
      <c r="G792" s="288"/>
      <c r="H792" s="404"/>
      <c r="I792" s="404"/>
    </row>
    <row r="793" spans="1:9" ht="12.75">
      <c r="A793" s="418"/>
      <c r="B793" s="924" t="s">
        <v>135</v>
      </c>
      <c r="C793" s="303"/>
      <c r="D793" s="1632" t="s">
        <v>1746</v>
      </c>
      <c r="E793" s="1632"/>
      <c r="F793" s="1632"/>
      <c r="G793" s="288"/>
      <c r="H793" s="404"/>
      <c r="I793" s="404"/>
    </row>
    <row r="794" spans="1:9" ht="12.75">
      <c r="A794" s="718"/>
      <c r="B794" s="718"/>
      <c r="C794" s="719"/>
      <c r="D794" s="1632"/>
      <c r="E794" s="1632"/>
      <c r="F794" s="1632"/>
      <c r="G794" s="288"/>
      <c r="H794" s="404"/>
      <c r="I794" s="404"/>
    </row>
    <row r="795" spans="1:9" ht="12.75">
      <c r="A795" s="418"/>
      <c r="B795" s="418"/>
      <c r="C795" s="303"/>
      <c r="D795" s="1632"/>
      <c r="E795" s="1632"/>
      <c r="F795" s="1632"/>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3" t="s">
        <v>1860</v>
      </c>
      <c r="E797" s="1573"/>
      <c r="F797" s="1573"/>
      <c r="G797" s="554"/>
      <c r="H797" s="404"/>
      <c r="I797" s="404"/>
    </row>
    <row r="798" spans="1:9" ht="14.25">
      <c r="A798" s="413"/>
      <c r="B798" s="413"/>
      <c r="C798" s="322"/>
      <c r="D798" s="1573"/>
      <c r="E798" s="1573"/>
      <c r="F798" s="1573"/>
      <c r="G798" s="554"/>
      <c r="H798" s="404"/>
      <c r="I798" s="404"/>
    </row>
    <row r="799" spans="1:9" ht="14.25">
      <c r="A799" s="413"/>
      <c r="B799" s="413"/>
      <c r="C799" s="322"/>
      <c r="D799" s="1573"/>
      <c r="E799" s="1573"/>
      <c r="F799" s="1573"/>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2" t="s">
        <v>1747</v>
      </c>
      <c r="E801" s="1632"/>
      <c r="F801" s="1632"/>
      <c r="G801" s="554"/>
      <c r="H801" s="404"/>
      <c r="I801" s="404"/>
    </row>
    <row r="802" spans="1:9" ht="14.25">
      <c r="A802" s="413"/>
      <c r="B802" s="413"/>
      <c r="C802" s="322"/>
      <c r="D802" s="1632"/>
      <c r="E802" s="1632"/>
      <c r="F802" s="1632"/>
      <c r="G802" s="554"/>
      <c r="H802" s="404"/>
      <c r="I802" s="404"/>
    </row>
    <row r="803" spans="1:9" ht="14.25">
      <c r="A803" s="413"/>
      <c r="B803" s="413"/>
      <c r="C803" s="322"/>
      <c r="D803" s="1632"/>
      <c r="E803" s="1632"/>
      <c r="F803" s="1632"/>
      <c r="G803" s="554"/>
      <c r="H803" s="404"/>
      <c r="I803" s="404"/>
    </row>
    <row r="804" spans="1:9" ht="14.25">
      <c r="A804" s="413"/>
      <c r="B804" s="413"/>
      <c r="C804" s="322"/>
      <c r="D804" s="1632"/>
      <c r="E804" s="1632"/>
      <c r="F804" s="1632"/>
      <c r="G804" s="554"/>
      <c r="H804" s="404"/>
      <c r="I804" s="404"/>
    </row>
    <row r="805" spans="1:9" ht="14.25">
      <c r="A805" s="413"/>
      <c r="B805" s="413"/>
      <c r="C805" s="322"/>
      <c r="D805" s="1632"/>
      <c r="E805" s="1632"/>
      <c r="F805" s="1632"/>
      <c r="G805" s="554"/>
      <c r="H805" s="404"/>
      <c r="I805" s="404"/>
    </row>
    <row r="806" spans="1:9" ht="14.25">
      <c r="A806" s="413"/>
      <c r="B806" s="413"/>
      <c r="C806" s="322"/>
      <c r="D806" s="1573" t="s">
        <v>2229</v>
      </c>
      <c r="E806" s="1573"/>
      <c r="F806" s="1573"/>
      <c r="G806" s="554"/>
      <c r="H806" s="404"/>
      <c r="I806" s="404"/>
    </row>
    <row r="807" spans="1:9" ht="14.25">
      <c r="A807" s="413"/>
      <c r="B807" s="413"/>
      <c r="C807" s="322"/>
      <c r="D807" s="1573"/>
      <c r="E807" s="1573"/>
      <c r="F807" s="1573"/>
      <c r="G807" s="554"/>
      <c r="H807" s="404"/>
      <c r="I807" s="404"/>
    </row>
    <row r="808" spans="1:9" ht="14.25">
      <c r="A808" s="413"/>
      <c r="B808" s="413"/>
      <c r="C808" s="322"/>
      <c r="D808" s="1573"/>
      <c r="E808" s="1573"/>
      <c r="F808" s="1573"/>
      <c r="G808" s="554"/>
      <c r="H808" s="404"/>
      <c r="I808" s="404"/>
    </row>
    <row r="809" spans="1:9" ht="14.25">
      <c r="A809" s="413"/>
      <c r="B809" s="14"/>
      <c r="C809" s="322"/>
      <c r="D809" s="1298"/>
      <c r="E809" s="1298"/>
      <c r="F809" s="1298"/>
      <c r="G809" s="554"/>
      <c r="H809" s="404"/>
      <c r="I809" s="404"/>
    </row>
    <row r="810" spans="1:9" ht="14.25">
      <c r="A810" s="413"/>
      <c r="B810" s="924" t="s">
        <v>135</v>
      </c>
      <c r="C810" s="322"/>
      <c r="D810" s="1632" t="s">
        <v>1749</v>
      </c>
      <c r="E810" s="1632"/>
      <c r="F810" s="1632"/>
      <c r="G810" s="554"/>
      <c r="H810" s="404"/>
      <c r="I810" s="404"/>
    </row>
    <row r="811" spans="1:9" ht="14.25">
      <c r="A811" s="413"/>
      <c r="B811" s="413"/>
      <c r="C811" s="322"/>
      <c r="D811" s="1632"/>
      <c r="E811" s="1632"/>
      <c r="F811" s="1632"/>
      <c r="G811" s="554"/>
      <c r="H811" s="404"/>
      <c r="I811" s="404"/>
    </row>
    <row r="812" spans="1:9" ht="14.25">
      <c r="A812" s="413"/>
      <c r="B812" s="413"/>
      <c r="C812" s="322"/>
      <c r="D812" s="1632"/>
      <c r="E812" s="1632"/>
      <c r="F812" s="1632"/>
      <c r="G812" s="554"/>
      <c r="H812" s="404"/>
      <c r="I812" s="404"/>
    </row>
    <row r="813" spans="1:9" ht="14.25">
      <c r="A813" s="413"/>
      <c r="B813" s="413"/>
      <c r="C813" s="322"/>
      <c r="D813" s="1632"/>
      <c r="E813" s="1632"/>
      <c r="F813" s="1632"/>
      <c r="G813" s="554"/>
      <c r="H813" s="404"/>
      <c r="I813" s="404"/>
    </row>
    <row r="814" spans="1:9" ht="14.25">
      <c r="A814" s="413"/>
      <c r="B814" s="413"/>
      <c r="C814" s="322"/>
      <c r="D814" s="1632"/>
      <c r="E814" s="1632"/>
      <c r="F814" s="1632"/>
      <c r="G814" s="554"/>
      <c r="H814" s="404"/>
      <c r="I814" s="404"/>
    </row>
    <row r="815" spans="1:9" ht="14.25">
      <c r="A815" s="413"/>
      <c r="B815" s="413"/>
      <c r="C815" s="322"/>
      <c r="D815" s="1632"/>
      <c r="E815" s="1632"/>
      <c r="F815" s="1632"/>
      <c r="G815" s="554"/>
      <c r="H815" s="404"/>
      <c r="I815" s="404"/>
    </row>
    <row r="816" spans="1:9" ht="14.25">
      <c r="A816" s="413"/>
      <c r="B816" s="413"/>
      <c r="C816" s="322"/>
      <c r="D816" s="1286"/>
      <c r="E816" s="1286"/>
      <c r="F816" s="1286"/>
      <c r="G816" s="554"/>
      <c r="H816" s="404"/>
      <c r="I816" s="404"/>
    </row>
    <row r="817" spans="1:9" ht="14.25">
      <c r="A817" s="413"/>
      <c r="B817" s="1287" t="s">
        <v>135</v>
      </c>
      <c r="C817" s="322"/>
      <c r="D817" s="1573" t="s">
        <v>2057</v>
      </c>
      <c r="E817" s="1632"/>
      <c r="F817" s="1632"/>
      <c r="G817" s="554"/>
      <c r="H817" s="404"/>
      <c r="I817" s="404"/>
    </row>
    <row r="818" spans="1:9" ht="14.25">
      <c r="A818" s="413"/>
      <c r="B818" s="413"/>
      <c r="C818" s="322"/>
      <c r="D818" s="1632"/>
      <c r="E818" s="1632"/>
      <c r="F818" s="1632"/>
      <c r="G818" s="554"/>
      <c r="H818" s="404"/>
      <c r="I818" s="404"/>
    </row>
    <row r="819" spans="1:9" ht="14.25">
      <c r="A819" s="413"/>
      <c r="B819" s="413"/>
      <c r="C819" s="322"/>
      <c r="D819" s="1632"/>
      <c r="E819" s="1632"/>
      <c r="F819" s="1632"/>
      <c r="G819" s="554"/>
      <c r="H819" s="404"/>
      <c r="I819" s="404"/>
    </row>
    <row r="820" spans="1:9" ht="14.25">
      <c r="A820" s="413"/>
      <c r="B820" s="413"/>
      <c r="C820" s="322"/>
      <c r="D820" s="1632"/>
      <c r="E820" s="1632"/>
      <c r="F820" s="1632"/>
      <c r="G820" s="554"/>
      <c r="H820" s="404"/>
      <c r="I820" s="404"/>
    </row>
    <row r="821" spans="1:9" ht="14.25">
      <c r="A821" s="413"/>
      <c r="B821" s="413"/>
      <c r="C821" s="322"/>
      <c r="D821" s="1632"/>
      <c r="E821" s="1632"/>
      <c r="F821" s="1632"/>
      <c r="G821" s="554"/>
      <c r="H821" s="404"/>
      <c r="I821" s="404"/>
    </row>
    <row r="822" spans="1:9" ht="14.25">
      <c r="A822" s="413"/>
      <c r="B822" s="413"/>
      <c r="C822" s="322"/>
      <c r="D822" s="1031"/>
      <c r="E822" s="1031"/>
      <c r="F822" s="1031"/>
      <c r="G822" s="554"/>
      <c r="H822" s="404"/>
      <c r="I822" s="404"/>
    </row>
    <row r="823" spans="1:9" ht="14.25">
      <c r="A823" s="413"/>
      <c r="B823" s="924" t="s">
        <v>135</v>
      </c>
      <c r="C823" s="322"/>
      <c r="D823" s="1632" t="s">
        <v>1748</v>
      </c>
      <c r="E823" s="1632"/>
      <c r="F823" s="1632"/>
      <c r="G823" s="554"/>
      <c r="H823" s="404"/>
      <c r="I823" s="404"/>
    </row>
    <row r="824" spans="1:9" ht="14.25">
      <c r="A824" s="413"/>
      <c r="B824" s="413"/>
      <c r="C824" s="322"/>
      <c r="D824" s="1632"/>
      <c r="E824" s="1632"/>
      <c r="F824" s="1632"/>
      <c r="G824" s="554"/>
      <c r="H824" s="404"/>
      <c r="I824" s="404"/>
    </row>
    <row r="825" spans="1:9" ht="14.25">
      <c r="A825" s="413"/>
      <c r="B825" s="413"/>
      <c r="C825" s="322"/>
      <c r="D825" s="1632"/>
      <c r="E825" s="1632"/>
      <c r="F825" s="1632"/>
      <c r="G825" s="554"/>
      <c r="H825" s="404"/>
      <c r="I825" s="404"/>
    </row>
    <row r="826" spans="1:9" ht="14.25">
      <c r="A826" s="413"/>
      <c r="B826" s="413"/>
      <c r="C826" s="322"/>
      <c r="D826" s="1632"/>
      <c r="E826" s="1632"/>
      <c r="F826" s="1632"/>
      <c r="G826" s="554"/>
      <c r="H826" s="404"/>
      <c r="I826" s="404"/>
    </row>
    <row r="827" spans="1:9" ht="14.25">
      <c r="A827" s="413"/>
      <c r="B827" s="413"/>
      <c r="C827" s="322"/>
      <c r="D827" s="296"/>
      <c r="E827" s="282"/>
      <c r="F827" s="282"/>
      <c r="G827" s="554"/>
      <c r="H827" s="404"/>
      <c r="I827" s="404"/>
    </row>
    <row r="828" spans="1:9" ht="14.25">
      <c r="A828" s="413"/>
      <c r="B828" s="924" t="s">
        <v>135</v>
      </c>
      <c r="C828" s="322"/>
      <c r="D828" s="1633" t="s">
        <v>1751</v>
      </c>
      <c r="E828" s="1633"/>
      <c r="F828" s="1633"/>
      <c r="G828" s="554"/>
      <c r="H828" s="404"/>
      <c r="I828" s="404"/>
    </row>
    <row r="829" spans="1:9" ht="14.25">
      <c r="A829" s="413"/>
      <c r="B829" s="413"/>
      <c r="C829" s="322"/>
      <c r="D829" s="1633"/>
      <c r="E829" s="1633"/>
      <c r="F829" s="1633"/>
      <c r="G829" s="554"/>
      <c r="H829" s="404"/>
      <c r="I829" s="404"/>
    </row>
    <row r="830" spans="1:9" ht="12.75">
      <c r="A830" s="33"/>
      <c r="B830" s="33"/>
      <c r="C830" s="322"/>
      <c r="D830" s="1633"/>
      <c r="E830" s="1633"/>
      <c r="F830" s="1633"/>
      <c r="G830" s="554"/>
      <c r="H830" s="404"/>
      <c r="I830" s="404"/>
    </row>
    <row r="831" spans="1:9" ht="14.25">
      <c r="A831" s="413"/>
      <c r="B831" s="971"/>
      <c r="C831" s="322"/>
      <c r="D831" s="1633"/>
      <c r="E831" s="1633"/>
      <c r="F831" s="1633"/>
      <c r="G831" s="554"/>
      <c r="H831" s="404"/>
      <c r="I831" s="404"/>
    </row>
    <row r="832" spans="1:9" ht="14.25">
      <c r="A832" s="413"/>
      <c r="B832" s="971"/>
      <c r="C832" s="322"/>
      <c r="D832" s="1633"/>
      <c r="E832" s="1633"/>
      <c r="F832" s="1633"/>
      <c r="G832" s="554"/>
      <c r="H832" s="404"/>
      <c r="I832" s="404"/>
    </row>
    <row r="833" spans="1:9" ht="14.25">
      <c r="A833" s="413"/>
      <c r="B833" s="971"/>
      <c r="C833" s="322"/>
      <c r="D833" s="1633"/>
      <c r="E833" s="1633"/>
      <c r="F833" s="1633"/>
      <c r="G833" s="554"/>
      <c r="H833" s="404"/>
      <c r="I833" s="404"/>
    </row>
    <row r="834" spans="1:9" ht="14.25">
      <c r="A834" s="413"/>
      <c r="B834" s="1032"/>
      <c r="C834" s="322"/>
      <c r="D834" s="1030"/>
      <c r="E834" s="1030"/>
      <c r="F834" s="1030"/>
      <c r="G834" s="554"/>
      <c r="H834" s="404"/>
      <c r="I834" s="404"/>
    </row>
    <row r="835" spans="1:9" ht="14.25">
      <c r="A835" s="413"/>
      <c r="B835" s="924" t="s">
        <v>135</v>
      </c>
      <c r="C835" s="322"/>
      <c r="D835" s="1632" t="s">
        <v>1750</v>
      </c>
      <c r="E835" s="1632"/>
      <c r="F835" s="1632"/>
      <c r="G835" s="554"/>
      <c r="H835" s="404"/>
      <c r="I835" s="404"/>
    </row>
    <row r="836" spans="1:9" ht="14.25">
      <c r="A836" s="413"/>
      <c r="B836" s="413"/>
      <c r="C836" s="322"/>
      <c r="D836" s="1632"/>
      <c r="E836" s="1632"/>
      <c r="F836" s="1632"/>
      <c r="G836" s="554"/>
      <c r="H836" s="404"/>
      <c r="I836" s="404"/>
    </row>
    <row r="837" spans="1:9" ht="14.25">
      <c r="A837" s="413"/>
      <c r="B837" s="413"/>
      <c r="C837" s="322"/>
      <c r="D837" s="296"/>
      <c r="E837" s="282"/>
      <c r="F837" s="282"/>
      <c r="G837" s="554"/>
      <c r="H837" s="404"/>
      <c r="I837" s="404"/>
    </row>
    <row r="838" spans="1:9" ht="14.25">
      <c r="A838" s="413"/>
      <c r="B838" s="924" t="s">
        <v>135</v>
      </c>
      <c r="C838" s="322"/>
      <c r="D838" s="1633" t="s">
        <v>1752</v>
      </c>
      <c r="E838" s="1633"/>
      <c r="F838" s="1633"/>
      <c r="G838" s="554"/>
      <c r="H838" s="404"/>
      <c r="I838" s="404"/>
    </row>
    <row r="839" spans="1:9" ht="14.25">
      <c r="A839" s="413"/>
      <c r="B839" s="413"/>
      <c r="C839" s="322"/>
      <c r="D839" s="1633"/>
      <c r="E839" s="1633"/>
      <c r="F839" s="1633"/>
      <c r="G839" s="554"/>
      <c r="H839" s="404"/>
      <c r="I839" s="404"/>
    </row>
    <row r="840" spans="1:9" ht="12.75">
      <c r="A840" s="33"/>
      <c r="B840" s="33"/>
      <c r="C840" s="322"/>
      <c r="D840" s="296"/>
      <c r="E840" s="282"/>
      <c r="F840" s="282"/>
      <c r="G840" s="554"/>
      <c r="H840" s="404"/>
      <c r="I840" s="404"/>
    </row>
    <row r="841" spans="1:9" ht="12.75">
      <c r="A841" s="1561" t="s">
        <v>2077</v>
      </c>
      <c r="B841" s="1561"/>
      <c r="C841" s="1561"/>
      <c r="D841" s="1561"/>
      <c r="E841" s="1561"/>
      <c r="F841" s="1561"/>
      <c r="G841" s="1561"/>
      <c r="H841" s="404"/>
      <c r="I841" s="404"/>
    </row>
    <row r="842" spans="1:9" ht="12.75">
      <c r="A842" s="414"/>
      <c r="B842" s="414"/>
      <c r="C842" s="322"/>
      <c r="D842" s="296"/>
      <c r="E842" s="296"/>
      <c r="F842" s="296"/>
      <c r="G842" s="554"/>
      <c r="H842" s="404"/>
      <c r="I842" s="404"/>
    </row>
    <row r="843" spans="1:9" ht="14.25">
      <c r="A843" s="413"/>
      <c r="B843" s="413"/>
      <c r="C843" s="14"/>
      <c r="D843" s="1564" t="s">
        <v>1655</v>
      </c>
      <c r="E843" s="1564"/>
      <c r="F843" s="1564"/>
      <c r="H843" s="404"/>
      <c r="I843" s="404"/>
    </row>
    <row r="844" spans="1:9" ht="14.25">
      <c r="A844" s="413"/>
      <c r="B844" s="413"/>
      <c r="C844" s="14"/>
      <c r="D844" s="1587" t="s">
        <v>2074</v>
      </c>
      <c r="E844" s="1587"/>
      <c r="F844" s="1587"/>
      <c r="H844" s="404"/>
      <c r="I844" s="404"/>
    </row>
    <row r="845" spans="1:9" ht="14.25">
      <c r="A845" s="413"/>
      <c r="B845" s="413"/>
      <c r="C845" s="14"/>
      <c r="D845" s="1301"/>
      <c r="E845" s="1303"/>
      <c r="F845" s="1303"/>
      <c r="H845" s="404"/>
      <c r="I845" s="404"/>
    </row>
    <row r="846" spans="1:9" ht="12.75">
      <c r="A846" s="140"/>
      <c r="B846" s="924" t="s">
        <v>1499</v>
      </c>
      <c r="C846" s="322"/>
      <c r="D846" s="1553" t="s">
        <v>1586</v>
      </c>
      <c r="E846" s="1553"/>
      <c r="F846" s="1553"/>
      <c r="H846" s="404"/>
      <c r="I846" s="404"/>
    </row>
    <row r="847" spans="1:9" ht="12.75">
      <c r="A847" s="33"/>
      <c r="B847" s="33"/>
      <c r="C847" s="322"/>
      <c r="D847" s="6" t="s">
        <v>1559</v>
      </c>
      <c r="E847" s="1648" t="s">
        <v>2307</v>
      </c>
      <c r="F847" s="1648"/>
      <c r="H847" s="404"/>
      <c r="I847" s="404"/>
    </row>
    <row r="848" spans="1:9" ht="12.75">
      <c r="A848" s="33"/>
      <c r="B848" s="33"/>
      <c r="C848" s="322"/>
      <c r="D848" s="333"/>
      <c r="E848" s="282"/>
      <c r="F848" s="282"/>
      <c r="H848" s="404"/>
      <c r="I848" s="404"/>
    </row>
    <row r="849" spans="1:9" ht="12.75">
      <c r="A849" s="1008"/>
      <c r="B849" s="1007" t="s">
        <v>135</v>
      </c>
      <c r="C849" s="322"/>
      <c r="D849" s="1634" t="s">
        <v>1837</v>
      </c>
      <c r="E849" s="1634"/>
      <c r="F849" s="1634"/>
      <c r="H849" s="404"/>
      <c r="I849" s="404"/>
    </row>
    <row r="850" spans="1:9" ht="12.75">
      <c r="A850" s="1008"/>
      <c r="B850" s="1008"/>
      <c r="C850" s="322"/>
      <c r="D850" s="1634"/>
      <c r="E850" s="1634"/>
      <c r="F850" s="1634"/>
      <c r="H850" s="404"/>
      <c r="I850" s="404"/>
    </row>
    <row r="851" spans="1:9" ht="12.75">
      <c r="A851" s="1008"/>
      <c r="B851" s="1008"/>
      <c r="C851" s="322"/>
      <c r="D851" s="1634"/>
      <c r="E851" s="1634"/>
      <c r="F851" s="1634"/>
      <c r="H851" s="404"/>
      <c r="I851" s="404"/>
    </row>
    <row r="852" spans="1:9" ht="12.75">
      <c r="A852" s="1008"/>
      <c r="B852" s="1008"/>
      <c r="C852" s="322"/>
      <c r="D852" s="1634"/>
      <c r="E852" s="1634"/>
      <c r="F852" s="1634"/>
      <c r="H852" s="404"/>
      <c r="I852" s="404"/>
    </row>
    <row r="853" spans="1:9" ht="12.75">
      <c r="A853" s="1008"/>
      <c r="B853" s="1008"/>
      <c r="C853" s="322"/>
      <c r="D853" s="1634"/>
      <c r="E853" s="1634"/>
      <c r="F853" s="1634"/>
      <c r="H853" s="404"/>
      <c r="I853" s="404"/>
    </row>
    <row r="854" spans="1:9" ht="12.75">
      <c r="A854" s="1008"/>
      <c r="B854" s="1008"/>
      <c r="C854" s="322"/>
      <c r="D854" s="1634"/>
      <c r="E854" s="1634"/>
      <c r="F854" s="1634"/>
      <c r="H854" s="404"/>
      <c r="I854" s="404"/>
    </row>
    <row r="855" spans="1:9" ht="12.75">
      <c r="A855" s="1008"/>
      <c r="B855" s="1008"/>
      <c r="C855" s="322"/>
      <c r="D855" s="1634"/>
      <c r="E855" s="1634"/>
      <c r="F855" s="1634"/>
      <c r="H855" s="404"/>
      <c r="I855" s="404"/>
    </row>
    <row r="856" spans="1:9" ht="12.75">
      <c r="A856" s="1008"/>
      <c r="B856" s="1008"/>
      <c r="C856" s="322"/>
      <c r="D856" s="1634"/>
      <c r="E856" s="1634"/>
      <c r="F856" s="1634"/>
      <c r="H856" s="404"/>
      <c r="I856" s="404"/>
    </row>
    <row r="857" spans="1:9" ht="12.75">
      <c r="A857" s="1008"/>
      <c r="B857" s="1008"/>
      <c r="C857" s="322"/>
      <c r="D857" s="1634"/>
      <c r="E857" s="1634"/>
      <c r="F857" s="1634"/>
      <c r="H857" s="404"/>
      <c r="I857" s="404"/>
    </row>
    <row r="858" spans="1:9" ht="12.75">
      <c r="A858" s="1008"/>
      <c r="B858" s="1008"/>
      <c r="C858" s="322"/>
      <c r="D858" s="333"/>
      <c r="E858" s="282"/>
      <c r="F858" s="282"/>
      <c r="H858" s="404"/>
      <c r="I858" s="404"/>
    </row>
    <row r="859" spans="1:9" ht="14.25">
      <c r="A859" s="413"/>
      <c r="B859" s="924" t="s">
        <v>1499</v>
      </c>
      <c r="C859" s="322"/>
      <c r="D859" s="1553" t="s">
        <v>1587</v>
      </c>
      <c r="E859" s="1553"/>
      <c r="F859" s="1553"/>
      <c r="H859" s="404"/>
      <c r="I859" s="404"/>
    </row>
    <row r="860" spans="1:9" ht="14.25">
      <c r="A860" s="413"/>
      <c r="B860" s="413"/>
      <c r="C860" s="322"/>
      <c r="D860" s="1553"/>
      <c r="E860" s="1553"/>
      <c r="F860" s="1553"/>
      <c r="H860" s="404"/>
      <c r="I860" s="404"/>
    </row>
    <row r="861" spans="1:9" ht="14.25">
      <c r="A861" s="413"/>
      <c r="B861" s="413"/>
      <c r="C861" s="322"/>
      <c r="D861" s="1553"/>
      <c r="E861" s="1553"/>
      <c r="F861" s="1553"/>
      <c r="H861" s="404"/>
      <c r="I861" s="404"/>
    </row>
    <row r="862" spans="1:9" ht="14.25">
      <c r="A862" s="552"/>
      <c r="B862" s="552"/>
      <c r="C862" s="405"/>
      <c r="D862" s="403"/>
      <c r="H862" s="404"/>
      <c r="I862" s="404"/>
    </row>
    <row r="863" spans="1:9" ht="12.75">
      <c r="A863" s="684"/>
      <c r="B863" s="924" t="s">
        <v>135</v>
      </c>
      <c r="C863" s="405"/>
      <c r="D863" s="1642" t="s">
        <v>1588</v>
      </c>
      <c r="E863" s="1642"/>
      <c r="F863" s="1642"/>
      <c r="H863" s="404"/>
      <c r="I863" s="404"/>
    </row>
    <row r="864" spans="1:9" ht="12.75">
      <c r="A864" s="14"/>
      <c r="B864" s="684"/>
      <c r="C864" s="405"/>
      <c r="D864" s="1642"/>
      <c r="E864" s="1642"/>
      <c r="F864" s="1642"/>
      <c r="H864" s="404"/>
      <c r="I864" s="404"/>
    </row>
    <row r="865" spans="1:9" ht="14.25" customHeight="1">
      <c r="A865" s="552"/>
      <c r="B865" s="14"/>
      <c r="C865" s="405"/>
      <c r="D865" s="1596" t="s">
        <v>1613</v>
      </c>
      <c r="E865" s="1596"/>
      <c r="F865" s="1596"/>
      <c r="H865" s="404"/>
      <c r="I865" s="404"/>
    </row>
    <row r="866" spans="1:9" ht="14.25">
      <c r="A866" s="552"/>
      <c r="B866" s="552"/>
      <c r="C866" s="405"/>
      <c r="D866" s="1596"/>
      <c r="E866" s="1596"/>
      <c r="F866" s="1596"/>
      <c r="H866" s="404"/>
      <c r="I866" s="404"/>
    </row>
    <row r="867" spans="1:9" ht="14.25">
      <c r="A867" s="552"/>
      <c r="B867" s="552"/>
      <c r="C867" s="405"/>
      <c r="D867" s="1596"/>
      <c r="E867" s="1596"/>
      <c r="F867" s="1596"/>
      <c r="H867" s="404"/>
      <c r="I867" s="404"/>
    </row>
    <row r="868" spans="1:9" ht="14.25">
      <c r="A868" s="552"/>
      <c r="B868" s="552"/>
      <c r="C868" s="405"/>
      <c r="D868" s="1596"/>
      <c r="E868" s="1596"/>
      <c r="F868" s="1596"/>
      <c r="H868" s="404"/>
      <c r="I868" s="404"/>
    </row>
    <row r="869" spans="1:9" ht="14.25">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25">
      <c r="A871" s="552"/>
      <c r="B871" s="552"/>
      <c r="C871" s="405"/>
      <c r="D871" s="403"/>
      <c r="H871" s="404"/>
      <c r="I871" s="404"/>
    </row>
    <row r="872" spans="1:9" ht="14.25">
      <c r="A872" s="552"/>
      <c r="B872" s="924" t="s">
        <v>135</v>
      </c>
      <c r="C872" s="405"/>
      <c r="D872" s="1596" t="s">
        <v>1270</v>
      </c>
      <c r="E872" s="1596"/>
      <c r="F872" s="1596"/>
      <c r="H872" s="404"/>
      <c r="I872" s="404"/>
    </row>
    <row r="873" spans="1:9" ht="14.25">
      <c r="A873" s="552"/>
      <c r="B873" s="552"/>
      <c r="C873" s="405"/>
      <c r="D873" s="1596" t="s">
        <v>1271</v>
      </c>
      <c r="E873" s="1596"/>
      <c r="F873" s="1596"/>
      <c r="H873" s="404"/>
      <c r="I873" s="404"/>
    </row>
    <row r="874" spans="1:9" ht="14.25">
      <c r="A874" s="552"/>
      <c r="B874" s="552"/>
      <c r="C874" s="405"/>
      <c r="D874" s="330" t="s">
        <v>1558</v>
      </c>
      <c r="E874" s="1649" t="s">
        <v>2309</v>
      </c>
      <c r="F874" s="1649"/>
      <c r="H874" s="404"/>
      <c r="I874" s="404"/>
    </row>
    <row r="875" spans="1:9" ht="14.25">
      <c r="A875" s="552"/>
      <c r="B875" s="552"/>
      <c r="C875" s="405"/>
      <c r="D875" s="403"/>
      <c r="H875" s="404"/>
      <c r="I875" s="404"/>
    </row>
    <row r="876" spans="1:9" ht="14.25">
      <c r="A876" s="552"/>
      <c r="B876" s="924" t="s">
        <v>135</v>
      </c>
      <c r="C876" s="405"/>
      <c r="D876" s="1596" t="s">
        <v>1589</v>
      </c>
      <c r="E876" s="1596"/>
      <c r="F876" s="1596"/>
      <c r="H876" s="404"/>
      <c r="I876" s="404"/>
    </row>
    <row r="877" spans="1:9" ht="14.25">
      <c r="A877" s="552"/>
      <c r="B877" s="552"/>
      <c r="C877" s="405"/>
      <c r="D877" s="1596"/>
      <c r="E877" s="1596"/>
      <c r="F877" s="1596"/>
      <c r="H877" s="404"/>
      <c r="I877" s="404"/>
    </row>
    <row r="878" spans="1:9" ht="14.25">
      <c r="A878" s="552"/>
      <c r="B878" s="552"/>
      <c r="C878" s="405"/>
      <c r="D878" s="1596"/>
      <c r="E878" s="1596"/>
      <c r="F878" s="1596"/>
      <c r="H878" s="404"/>
      <c r="I878" s="404"/>
    </row>
    <row r="879" spans="1:9" ht="14.25">
      <c r="A879" s="552"/>
      <c r="B879" s="552"/>
      <c r="C879" s="405"/>
      <c r="D879" s="1596"/>
      <c r="E879" s="1596"/>
      <c r="F879" s="1596"/>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2" t="s">
        <v>1654</v>
      </c>
      <c r="E883" s="1562"/>
      <c r="F883" s="1562"/>
      <c r="G883" s="554"/>
      <c r="H883" s="404"/>
      <c r="I883" s="404"/>
    </row>
    <row r="884" spans="1:9" ht="12.75">
      <c r="A884" s="996"/>
      <c r="B884" s="996"/>
      <c r="C884" s="299"/>
      <c r="D884" s="1644" t="s">
        <v>2075</v>
      </c>
      <c r="E884" s="1645"/>
      <c r="F884" s="1645"/>
      <c r="G884" s="554"/>
      <c r="H884" s="404"/>
      <c r="I884" s="404"/>
    </row>
    <row r="885" spans="1:9" ht="12.75">
      <c r="A885" s="996"/>
      <c r="B885" s="996"/>
      <c r="C885" s="299"/>
      <c r="D885" s="989"/>
      <c r="E885" s="989"/>
      <c r="F885" s="989"/>
      <c r="G885" s="554"/>
      <c r="H885" s="404"/>
      <c r="I885" s="404"/>
    </row>
    <row r="886" spans="1:9" ht="14.25">
      <c r="A886" s="413"/>
      <c r="B886" s="924" t="s">
        <v>1499</v>
      </c>
      <c r="C886" s="14"/>
      <c r="D886" s="1555" t="s">
        <v>1612</v>
      </c>
      <c r="E886" s="1555"/>
      <c r="F886" s="1555"/>
      <c r="G886" s="554"/>
      <c r="H886" s="404"/>
      <c r="I886" s="404"/>
    </row>
    <row r="887" spans="1:9" ht="12.75">
      <c r="A887" s="140"/>
      <c r="B887" s="140"/>
      <c r="C887" s="14"/>
      <c r="D887" s="6" t="s">
        <v>1558</v>
      </c>
      <c r="E887" s="1643" t="s">
        <v>2309</v>
      </c>
      <c r="F887" s="1643"/>
      <c r="G887" s="554"/>
    </row>
    <row r="888" spans="1:9" ht="12.75">
      <c r="A888" s="140"/>
      <c r="B888" s="140"/>
      <c r="C888" s="14"/>
      <c r="D888" s="287"/>
      <c r="E888" s="296"/>
      <c r="F888" s="296"/>
      <c r="G888" s="554"/>
      <c r="H888" s="404"/>
      <c r="I888" s="404"/>
    </row>
    <row r="889" spans="1:9" ht="14.25">
      <c r="A889" s="413"/>
      <c r="B889" s="924" t="s">
        <v>1499</v>
      </c>
      <c r="C889" s="14"/>
      <c r="D889" s="1587" t="s">
        <v>2078</v>
      </c>
      <c r="E889" s="1605"/>
      <c r="F889" s="1605"/>
    </row>
    <row r="890" spans="1:9" ht="12.6" customHeight="1">
      <c r="A890" s="140"/>
      <c r="B890" s="140"/>
      <c r="C890" s="14"/>
      <c r="D890" s="1605"/>
      <c r="E890" s="1605"/>
      <c r="F890" s="1605"/>
    </row>
    <row r="891" spans="1:9" ht="14.25">
      <c r="A891" s="413"/>
      <c r="B891" s="413"/>
      <c r="C891" s="14"/>
      <c r="D891" s="287"/>
      <c r="E891" s="296"/>
      <c r="F891" s="296"/>
      <c r="G891" s="554"/>
      <c r="H891" s="404"/>
      <c r="I891" s="404"/>
    </row>
    <row r="892" spans="1:9" ht="12.75">
      <c r="A892" s="14"/>
      <c r="B892" s="924" t="s">
        <v>135</v>
      </c>
      <c r="D892" s="1640" t="s">
        <v>1840</v>
      </c>
      <c r="E892" s="1640"/>
      <c r="F892" s="1640"/>
      <c r="G892" s="554"/>
      <c r="H892" s="404"/>
      <c r="I892" s="404"/>
    </row>
    <row r="893" spans="1:9" ht="29.45" customHeight="1">
      <c r="A893" s="14"/>
      <c r="B893" s="872"/>
      <c r="D893" s="1640"/>
      <c r="E893" s="1640"/>
      <c r="F893" s="1640"/>
      <c r="G893" s="554"/>
      <c r="H893" s="404"/>
      <c r="I893" s="404"/>
    </row>
    <row r="894" spans="1:9" ht="14.25">
      <c r="A894" s="413"/>
      <c r="B894" s="2"/>
      <c r="C894" s="14"/>
      <c r="D894" s="1596" t="s">
        <v>1613</v>
      </c>
      <c r="E894" s="1596"/>
      <c r="F894" s="1596"/>
      <c r="G894" s="554"/>
      <c r="H894" s="404"/>
      <c r="I894" s="404"/>
    </row>
    <row r="895" spans="1:9" ht="14.25">
      <c r="A895" s="413"/>
      <c r="B895" s="413"/>
      <c r="C895" s="14"/>
      <c r="D895" s="1596"/>
      <c r="E895" s="1596"/>
      <c r="F895" s="1596"/>
      <c r="G895" s="554"/>
      <c r="H895" s="404"/>
      <c r="I895" s="404"/>
    </row>
    <row r="896" spans="1:9" ht="14.25">
      <c r="A896" s="413"/>
      <c r="B896" s="413"/>
      <c r="C896" s="14"/>
      <c r="D896" s="1596"/>
      <c r="E896" s="1596"/>
      <c r="F896" s="1596"/>
      <c r="G896" s="554"/>
      <c r="H896" s="404"/>
      <c r="I896" s="404"/>
    </row>
    <row r="897" spans="1:9" ht="14.25">
      <c r="A897" s="413"/>
      <c r="B897" s="413"/>
      <c r="C897" s="14"/>
      <c r="D897" s="1596"/>
      <c r="E897" s="1596"/>
      <c r="F897" s="1596"/>
      <c r="G897" s="554"/>
      <c r="H897" s="404"/>
      <c r="I897" s="404"/>
    </row>
    <row r="898" spans="1:9" ht="14.25">
      <c r="A898" s="413"/>
      <c r="B898" s="413"/>
      <c r="C898" s="14"/>
      <c r="D898" s="1596"/>
      <c r="E898" s="1596"/>
      <c r="F898" s="1596"/>
      <c r="G898" s="554"/>
      <c r="H898" s="404"/>
      <c r="I898" s="404"/>
    </row>
    <row r="899" spans="1:9" ht="14.25">
      <c r="A899" s="413"/>
      <c r="B899" s="413"/>
      <c r="C899" s="14"/>
      <c r="D899" s="1596"/>
      <c r="E899" s="1596"/>
      <c r="F899" s="1596"/>
      <c r="G899" s="554"/>
      <c r="H899" s="404"/>
      <c r="I899" s="404"/>
    </row>
    <row r="900" spans="1:9" ht="14.25">
      <c r="A900" s="413"/>
      <c r="B900" s="413"/>
      <c r="C900" s="14"/>
      <c r="D900" s="287"/>
      <c r="E900" s="296"/>
      <c r="F900" s="296"/>
      <c r="G900" s="554"/>
      <c r="H900" s="404"/>
      <c r="I900" s="404"/>
    </row>
    <row r="901" spans="1:9" ht="14.25">
      <c r="A901" s="413"/>
      <c r="B901" s="924" t="s">
        <v>135</v>
      </c>
      <c r="C901" s="14"/>
      <c r="D901" s="1560" t="s">
        <v>1270</v>
      </c>
      <c r="E901" s="1560"/>
      <c r="F901" s="1560"/>
      <c r="G901" s="554"/>
      <c r="H901" s="404"/>
      <c r="I901" s="404"/>
    </row>
    <row r="902" spans="1:9" ht="14.25">
      <c r="A902" s="413"/>
      <c r="B902" s="413"/>
      <c r="C902" s="14"/>
      <c r="D902" s="1560" t="s">
        <v>1271</v>
      </c>
      <c r="E902" s="1560"/>
      <c r="F902" s="1560"/>
      <c r="G902" s="554"/>
      <c r="H902" s="404"/>
      <c r="I902" s="404"/>
    </row>
    <row r="903" spans="1:9" ht="14.25">
      <c r="A903" s="413"/>
      <c r="B903" s="413"/>
      <c r="C903" s="14"/>
      <c r="D903" s="6" t="s">
        <v>1614</v>
      </c>
      <c r="E903" s="1641" t="s">
        <v>2309</v>
      </c>
      <c r="F903" s="1641"/>
      <c r="G903" s="554"/>
      <c r="H903" s="404"/>
      <c r="I903" s="404"/>
    </row>
    <row r="904" spans="1:9" ht="14.25">
      <c r="A904" s="413"/>
      <c r="B904" s="413"/>
      <c r="C904" s="14"/>
      <c r="D904" s="287"/>
      <c r="E904" s="296"/>
      <c r="F904" s="296"/>
      <c r="G904" s="554"/>
      <c r="H904" s="404"/>
      <c r="I904" s="404"/>
    </row>
    <row r="905" spans="1:9" ht="14.25">
      <c r="A905" s="413"/>
      <c r="B905" s="924" t="s">
        <v>135</v>
      </c>
      <c r="C905" s="14"/>
      <c r="D905" s="1553" t="s">
        <v>1589</v>
      </c>
      <c r="E905" s="1553"/>
      <c r="F905" s="1553"/>
      <c r="G905" s="554"/>
      <c r="H905" s="404"/>
      <c r="I905" s="404"/>
    </row>
    <row r="906" spans="1:9" ht="14.25">
      <c r="A906" s="413"/>
      <c r="B906" s="413"/>
      <c r="C906" s="14"/>
      <c r="D906" s="1553"/>
      <c r="E906" s="1553"/>
      <c r="F906" s="1553"/>
      <c r="G906" s="554"/>
      <c r="H906" s="404"/>
      <c r="I906" s="404"/>
    </row>
    <row r="907" spans="1:9" ht="14.25">
      <c r="A907" s="413"/>
      <c r="B907" s="413"/>
      <c r="C907" s="14"/>
      <c r="D907" s="1553"/>
      <c r="E907" s="1553"/>
      <c r="F907" s="1553"/>
      <c r="G907" s="554"/>
      <c r="H907" s="404"/>
      <c r="I907" s="404"/>
    </row>
    <row r="908" spans="1:9" ht="14.25">
      <c r="A908" s="413"/>
      <c r="B908" s="413"/>
      <c r="C908" s="14"/>
      <c r="D908" s="1553"/>
      <c r="E908" s="1553"/>
      <c r="F908" s="1553"/>
      <c r="G908" s="554"/>
      <c r="H908" s="404"/>
      <c r="I908" s="404"/>
    </row>
    <row r="909" spans="1:9" ht="12.75">
      <c r="A909" s="143"/>
      <c r="B909" s="143"/>
      <c r="C909" s="322"/>
      <c r="D909" s="296"/>
      <c r="E909" s="296"/>
      <c r="F909" s="296"/>
      <c r="G909" s="554"/>
      <c r="H909" s="404"/>
      <c r="I909" s="404"/>
    </row>
    <row r="910" spans="1:9" ht="12.75">
      <c r="A910" s="1561" t="s">
        <v>1526</v>
      </c>
      <c r="B910" s="1561"/>
      <c r="C910" s="1561"/>
      <c r="D910" s="1561"/>
      <c r="E910" s="1561"/>
      <c r="F910" s="1561"/>
      <c r="G910" s="1561"/>
      <c r="H910" s="404"/>
      <c r="I910" s="404"/>
    </row>
    <row r="911" spans="1:9" ht="12.75">
      <c r="A911" s="143"/>
      <c r="B911" s="143"/>
      <c r="C911" s="322"/>
      <c r="D911" s="296"/>
      <c r="E911" s="296"/>
      <c r="F911" s="296"/>
      <c r="G911" s="554"/>
      <c r="H911" s="404"/>
      <c r="I911" s="404"/>
    </row>
    <row r="912" spans="1:9" ht="12.75">
      <c r="A912" s="140"/>
      <c r="B912" s="140"/>
      <c r="C912" s="322"/>
      <c r="D912" s="1615" t="s">
        <v>1789</v>
      </c>
      <c r="E912" s="1615"/>
      <c r="F912" s="1615"/>
      <c r="G912" s="554"/>
      <c r="H912" s="404"/>
      <c r="I912" s="404"/>
    </row>
    <row r="913" spans="1:9" ht="12.75">
      <c r="A913" s="414"/>
      <c r="B913" s="414"/>
      <c r="C913" s="298"/>
      <c r="D913" s="1555" t="s">
        <v>1611</v>
      </c>
      <c r="E913" s="1555"/>
      <c r="F913" s="1555"/>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1" t="s">
        <v>1799</v>
      </c>
      <c r="E915" s="1651"/>
      <c r="F915" s="1651"/>
      <c r="G915" s="554"/>
      <c r="H915" s="404"/>
      <c r="I915" s="404"/>
    </row>
    <row r="916" spans="1:9" ht="12.75">
      <c r="A916" s="414"/>
      <c r="B916" s="414"/>
      <c r="C916" s="298"/>
      <c r="D916" s="1651"/>
      <c r="E916" s="1651"/>
      <c r="F916" s="1651"/>
      <c r="G916" s="554"/>
      <c r="H916" s="404"/>
      <c r="I916" s="404"/>
    </row>
    <row r="917" spans="1:9" ht="12.75">
      <c r="A917" s="414"/>
      <c r="B917" s="414"/>
      <c r="C917" s="298"/>
      <c r="D917" s="1651"/>
      <c r="E917" s="1651"/>
      <c r="F917" s="1651"/>
      <c r="G917" s="554"/>
      <c r="H917" s="404"/>
      <c r="I917" s="404"/>
    </row>
    <row r="918" spans="1:9" ht="12.75">
      <c r="A918" s="414"/>
      <c r="B918" s="414"/>
      <c r="C918" s="298"/>
      <c r="D918" s="1651"/>
      <c r="E918" s="1651"/>
      <c r="F918" s="1651"/>
      <c r="G918" s="554"/>
      <c r="H918" s="404"/>
      <c r="I918" s="404"/>
    </row>
    <row r="919" spans="1:9" ht="12.75">
      <c r="A919" s="414"/>
      <c r="B919" s="414"/>
      <c r="C919" s="298"/>
      <c r="D919" s="1651"/>
      <c r="E919" s="1651"/>
      <c r="F919" s="1651"/>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49" t="s">
        <v>1893</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649" t="s">
        <v>1894</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25">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10" t="s">
        <v>1800</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9" t="s">
        <v>1801</v>
      </c>
      <c r="E947" s="1649"/>
      <c r="F947" s="1649"/>
      <c r="G947" s="554"/>
      <c r="H947" s="747"/>
    </row>
    <row r="948" spans="1:9" s="685" customFormat="1" ht="14.25">
      <c r="A948" s="552"/>
      <c r="B948" s="552"/>
      <c r="C948" s="553"/>
      <c r="D948" s="1649"/>
      <c r="E948" s="1649"/>
      <c r="F948" s="1649"/>
      <c r="G948" s="554"/>
      <c r="H948" s="747"/>
    </row>
    <row r="949" spans="1:9" s="685" customFormat="1" ht="14.25">
      <c r="A949" s="552"/>
      <c r="B949" s="552"/>
      <c r="C949" s="553"/>
      <c r="D949" s="1649"/>
      <c r="E949" s="1649"/>
      <c r="F949" s="1649"/>
      <c r="G949" s="554"/>
      <c r="H949" s="747"/>
    </row>
    <row r="950" spans="1:9" s="685" customFormat="1" ht="14.25">
      <c r="A950" s="552"/>
      <c r="B950" s="552"/>
      <c r="C950" s="553"/>
      <c r="D950" s="1649"/>
      <c r="E950" s="1649"/>
      <c r="F950" s="1649"/>
      <c r="G950" s="554"/>
      <c r="H950" s="747"/>
    </row>
    <row r="951" spans="1:9" s="685" customFormat="1" ht="14.25">
      <c r="A951" s="552"/>
      <c r="B951" s="552"/>
      <c r="C951" s="553"/>
      <c r="D951" s="330"/>
      <c r="E951" s="329"/>
      <c r="F951" s="554"/>
      <c r="G951" s="554"/>
      <c r="H951" s="747"/>
    </row>
    <row r="952" spans="1:9" ht="14.25" customHeight="1">
      <c r="A952" s="33"/>
      <c r="B952" s="33"/>
      <c r="C952" s="322"/>
      <c r="D952" s="1553" t="s">
        <v>1802</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3" t="s">
        <v>1803</v>
      </c>
      <c r="E955" s="1553"/>
      <c r="F955" s="1553"/>
    </row>
    <row r="956" spans="1:9" ht="12.7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1792</v>
      </c>
      <c r="E958" s="1615"/>
      <c r="F958" s="1615"/>
      <c r="G958" s="554"/>
      <c r="H958" s="404"/>
      <c r="I958" s="404"/>
    </row>
    <row r="959" spans="1:9" ht="14.25" customHeight="1">
      <c r="A959" s="415"/>
      <c r="B959" s="415"/>
      <c r="C959" s="299"/>
      <c r="D959" s="991"/>
      <c r="E959" s="282"/>
      <c r="F959" s="296"/>
      <c r="G959" s="554"/>
      <c r="H959" s="404"/>
      <c r="I959" s="404"/>
    </row>
    <row r="960" spans="1:9" ht="14.45" customHeight="1">
      <c r="A960" s="413"/>
      <c r="B960" s="924" t="s">
        <v>1499</v>
      </c>
      <c r="C960" s="322"/>
      <c r="D960" s="1571" t="s">
        <v>1791</v>
      </c>
      <c r="E960" s="1571"/>
      <c r="F960" s="1571"/>
      <c r="G960" s="554"/>
      <c r="H960" s="404"/>
      <c r="I960" s="404"/>
    </row>
    <row r="961" spans="1:9" ht="12.75">
      <c r="A961" s="355"/>
      <c r="B961" s="355"/>
      <c r="C961" s="322"/>
      <c r="D961" s="1571"/>
      <c r="E961" s="1571"/>
      <c r="F961" s="1571"/>
      <c r="G961" s="554"/>
      <c r="H961" s="404"/>
      <c r="I961" s="404"/>
    </row>
    <row r="962" spans="1:9" ht="12.75">
      <c r="A962" s="355"/>
      <c r="B962" s="355"/>
      <c r="C962" s="322"/>
      <c r="D962" s="1571"/>
      <c r="E962" s="1571"/>
      <c r="F962" s="1571"/>
      <c r="G962" s="554"/>
      <c r="H962" s="404"/>
      <c r="I962" s="404"/>
    </row>
    <row r="963" spans="1:9" ht="12.75">
      <c r="A963" s="355"/>
      <c r="B963" s="355"/>
      <c r="C963" s="322"/>
      <c r="D963" s="1571"/>
      <c r="E963" s="1571"/>
      <c r="F963" s="1571"/>
      <c r="G963" s="554"/>
      <c r="H963" s="404"/>
      <c r="I963" s="404"/>
    </row>
    <row r="964" spans="1:9" ht="12.75">
      <c r="A964" s="355"/>
      <c r="B964" s="355"/>
      <c r="C964" s="322"/>
      <c r="D964" s="1571"/>
      <c r="E964" s="1571"/>
      <c r="F964" s="1571"/>
      <c r="G964" s="554"/>
      <c r="H964" s="404"/>
      <c r="I964" s="404"/>
    </row>
    <row r="965" spans="1:9" ht="12.75">
      <c r="A965" s="355"/>
      <c r="B965" s="355"/>
      <c r="C965" s="322"/>
      <c r="D965" s="1571"/>
      <c r="E965" s="1571"/>
      <c r="F965" s="1571"/>
      <c r="G965" s="554"/>
      <c r="H965" s="404"/>
      <c r="I965" s="404"/>
    </row>
    <row r="966" spans="1:9" ht="12.75">
      <c r="A966" s="355"/>
      <c r="B966" s="355"/>
      <c r="C966" s="322"/>
      <c r="D966" s="993"/>
      <c r="E966" s="993"/>
      <c r="F966" s="993"/>
      <c r="G966" s="554"/>
      <c r="H966" s="404"/>
      <c r="I966" s="404"/>
    </row>
    <row r="967" spans="1:9" ht="14.45" customHeight="1">
      <c r="A967" s="413"/>
      <c r="B967" s="924" t="s">
        <v>86</v>
      </c>
      <c r="C967" s="322"/>
      <c r="D967" s="1571" t="s">
        <v>1790</v>
      </c>
      <c r="E967" s="1571"/>
      <c r="F967" s="1571"/>
      <c r="G967" s="554"/>
      <c r="H967" s="404"/>
      <c r="I967" s="404"/>
    </row>
    <row r="968" spans="1:9" ht="12.75">
      <c r="A968" s="355"/>
      <c r="B968" s="355"/>
      <c r="C968" s="322"/>
      <c r="D968" s="1571"/>
      <c r="E968" s="1571"/>
      <c r="F968" s="1571"/>
      <c r="G968" s="554"/>
      <c r="H968" s="404"/>
      <c r="I968" s="404"/>
    </row>
    <row r="969" spans="1:9" ht="12.75">
      <c r="A969" s="355"/>
      <c r="B969" s="355"/>
      <c r="C969" s="322"/>
      <c r="D969" s="1571"/>
      <c r="E969" s="1571"/>
      <c r="F969" s="1571"/>
      <c r="G969" s="554"/>
      <c r="H969" s="404"/>
      <c r="I969" s="404"/>
    </row>
    <row r="970" spans="1:9" ht="12.75">
      <c r="A970" s="355"/>
      <c r="B970" s="355"/>
      <c r="C970" s="322"/>
      <c r="D970" s="1571"/>
      <c r="E970" s="1571"/>
      <c r="F970" s="1571"/>
      <c r="G970" s="554"/>
      <c r="H970" s="404"/>
      <c r="I970" s="404"/>
    </row>
    <row r="971" spans="1:9" ht="12.75">
      <c r="A971" s="355"/>
      <c r="B971" s="355"/>
      <c r="C971" s="322"/>
      <c r="D971" s="1571"/>
      <c r="E971" s="1571"/>
      <c r="F971" s="1571"/>
      <c r="G971" s="554"/>
      <c r="H971" s="404"/>
      <c r="I971" s="404"/>
    </row>
    <row r="972" spans="1:9" ht="12.75">
      <c r="A972" s="355"/>
      <c r="B972" s="355"/>
      <c r="C972" s="322"/>
      <c r="D972" s="688"/>
      <c r="E972" s="296"/>
      <c r="F972" s="296"/>
      <c r="G972" s="554"/>
      <c r="H972" s="404"/>
      <c r="I972" s="404"/>
    </row>
    <row r="973" spans="1:9" ht="14.25">
      <c r="A973" s="413"/>
      <c r="B973" s="924" t="s">
        <v>86</v>
      </c>
      <c r="C973" s="322"/>
      <c r="D973" s="1571" t="s">
        <v>1793</v>
      </c>
      <c r="E973" s="1571"/>
      <c r="F973" s="1571"/>
      <c r="G973" s="554"/>
      <c r="H973" s="404"/>
      <c r="I973" s="404"/>
    </row>
    <row r="974" spans="1:9" ht="12.75">
      <c r="A974" s="355"/>
      <c r="B974" s="355"/>
      <c r="C974" s="322"/>
      <c r="D974" s="1571"/>
      <c r="E974" s="1571"/>
      <c r="F974" s="1571"/>
      <c r="G974" s="554"/>
      <c r="H974" s="404"/>
      <c r="I974" s="404"/>
    </row>
    <row r="975" spans="1:9" ht="12.75">
      <c r="A975" s="355"/>
      <c r="B975" s="355"/>
      <c r="C975" s="322"/>
      <c r="D975" s="1571"/>
      <c r="E975" s="1571"/>
      <c r="F975" s="1571"/>
      <c r="G975" s="554"/>
      <c r="H975" s="404"/>
      <c r="I975" s="404"/>
    </row>
    <row r="976" spans="1:9" ht="12.75">
      <c r="A976" s="355"/>
      <c r="B976" s="355"/>
      <c r="C976" s="322"/>
      <c r="D976" s="1571"/>
      <c r="E976" s="1571"/>
      <c r="F976" s="1571"/>
      <c r="G976" s="554"/>
      <c r="H976" s="404"/>
      <c r="I976" s="404"/>
    </row>
    <row r="977" spans="1:9" ht="12.75">
      <c r="A977" s="355"/>
      <c r="B977" s="355"/>
      <c r="C977" s="322"/>
      <c r="D977" s="1571"/>
      <c r="E977" s="1571"/>
      <c r="F977" s="1571"/>
      <c r="G977" s="554"/>
      <c r="H977" s="404"/>
      <c r="I977" s="404"/>
    </row>
    <row r="978" spans="1:9" ht="12.75">
      <c r="A978" s="355"/>
      <c r="B978" s="355"/>
      <c r="C978" s="322"/>
      <c r="D978" s="688"/>
      <c r="E978" s="296"/>
      <c r="F978" s="296"/>
      <c r="G978" s="554"/>
      <c r="H978" s="404"/>
      <c r="I978" s="404"/>
    </row>
    <row r="979" spans="1:9" ht="14.45" customHeight="1">
      <c r="A979" s="413"/>
      <c r="B979" s="924" t="s">
        <v>86</v>
      </c>
      <c r="C979" s="322"/>
      <c r="D979" s="1571" t="s">
        <v>1794</v>
      </c>
      <c r="E979" s="1571"/>
      <c r="F979" s="1571"/>
      <c r="G979" s="554"/>
      <c r="H979" s="404"/>
      <c r="I979" s="404"/>
    </row>
    <row r="980" spans="1:9" ht="12.75">
      <c r="A980" s="355"/>
      <c r="B980" s="355"/>
      <c r="C980" s="322"/>
      <c r="D980" s="1571"/>
      <c r="E980" s="1571"/>
      <c r="F980" s="1571"/>
      <c r="G980" s="554"/>
      <c r="H980" s="404"/>
      <c r="I980" s="404"/>
    </row>
    <row r="981" spans="1:9" ht="12.75">
      <c r="A981" s="355"/>
      <c r="B981" s="355"/>
      <c r="C981" s="322"/>
      <c r="D981" s="1571"/>
      <c r="E981" s="1571"/>
      <c r="F981" s="1571"/>
      <c r="G981" s="554"/>
      <c r="H981" s="404"/>
      <c r="I981" s="404"/>
    </row>
    <row r="982" spans="1:9" ht="12.75">
      <c r="A982" s="355"/>
      <c r="B982" s="355"/>
      <c r="C982" s="322"/>
      <c r="D982" s="993"/>
      <c r="E982" s="993"/>
      <c r="F982" s="993"/>
      <c r="G982" s="554"/>
      <c r="H982" s="404"/>
      <c r="I982" s="404"/>
    </row>
    <row r="983" spans="1:9" ht="14.25">
      <c r="A983" s="413"/>
      <c r="B983" s="924" t="s">
        <v>86</v>
      </c>
      <c r="C983" s="322"/>
      <c r="D983" s="1571" t="s">
        <v>1795</v>
      </c>
      <c r="E983" s="1571"/>
      <c r="F983" s="1571"/>
      <c r="G983" s="554"/>
      <c r="H983" s="404"/>
      <c r="I983" s="404"/>
    </row>
    <row r="984" spans="1:9" ht="12.75">
      <c r="A984" s="355"/>
      <c r="B984" s="355"/>
      <c r="C984" s="322"/>
      <c r="D984" s="1571"/>
      <c r="E984" s="1571"/>
      <c r="F984" s="1571"/>
      <c r="G984" s="554"/>
      <c r="H984" s="404"/>
      <c r="I984" s="404"/>
    </row>
    <row r="985" spans="1:9" ht="12.75">
      <c r="A985" s="355"/>
      <c r="B985" s="355"/>
      <c r="C985" s="322"/>
      <c r="D985" s="688"/>
      <c r="E985" s="296"/>
      <c r="F985" s="296"/>
      <c r="G985" s="554"/>
      <c r="H985" s="404"/>
      <c r="I985" s="404"/>
    </row>
    <row r="986" spans="1:9" ht="12.75">
      <c r="A986" s="355"/>
      <c r="B986" s="924" t="s">
        <v>86</v>
      </c>
      <c r="C986" s="322"/>
      <c r="D986" s="1553" t="s">
        <v>1796</v>
      </c>
      <c r="E986" s="1553"/>
      <c r="F986" s="1553"/>
      <c r="G986" s="554"/>
      <c r="H986" s="404"/>
      <c r="I986" s="404"/>
    </row>
    <row r="987" spans="1:9" ht="12.75">
      <c r="A987" s="355"/>
      <c r="B987" s="355"/>
      <c r="C987" s="322"/>
      <c r="D987" s="1553"/>
      <c r="E987" s="1553"/>
      <c r="F987" s="1553"/>
      <c r="G987" s="554"/>
      <c r="H987" s="404"/>
      <c r="I987" s="404"/>
    </row>
    <row r="988" spans="1:9" ht="12.75">
      <c r="A988" s="355"/>
      <c r="B988" s="355"/>
      <c r="C988" s="322"/>
      <c r="D988" s="296"/>
      <c r="E988" s="296"/>
      <c r="F988" s="296"/>
      <c r="G988" s="554"/>
      <c r="H988" s="404"/>
      <c r="I988" s="404"/>
    </row>
    <row r="989" spans="1:9" ht="12.75">
      <c r="A989" s="355"/>
      <c r="B989" s="924" t="s">
        <v>86</v>
      </c>
      <c r="C989" s="322"/>
      <c r="D989" s="1650" t="s">
        <v>1939</v>
      </c>
      <c r="E989" s="1633"/>
      <c r="F989" s="1633"/>
      <c r="G989" s="554"/>
      <c r="H989" s="404"/>
      <c r="I989" s="404"/>
    </row>
    <row r="990" spans="1:9" ht="12.75">
      <c r="A990" s="355"/>
      <c r="B990" s="355"/>
      <c r="C990" s="322"/>
      <c r="D990" s="1650"/>
      <c r="E990" s="1633"/>
      <c r="F990" s="1633"/>
      <c r="G990" s="554"/>
      <c r="H990" s="404"/>
      <c r="I990" s="404"/>
    </row>
    <row r="991" spans="1:9" ht="12.75">
      <c r="A991" s="355"/>
      <c r="B991" s="355"/>
      <c r="C991" s="322"/>
      <c r="D991" s="1650"/>
      <c r="E991" s="1633"/>
      <c r="F991" s="1633"/>
      <c r="G991" s="554"/>
      <c r="H991" s="404"/>
      <c r="I991" s="404"/>
    </row>
    <row r="992" spans="1:9" ht="12.75">
      <c r="A992" s="355"/>
      <c r="B992" s="355"/>
      <c r="C992" s="322"/>
      <c r="D992" s="1633"/>
      <c r="E992" s="1633"/>
      <c r="F992" s="1633"/>
      <c r="G992" s="554"/>
      <c r="H992" s="404"/>
      <c r="I992" s="404"/>
    </row>
    <row r="993" spans="1:9" ht="12.75">
      <c r="A993" s="355"/>
      <c r="B993" s="355"/>
      <c r="C993" s="322"/>
      <c r="D993" s="287"/>
      <c r="E993" s="296"/>
      <c r="F993" s="296"/>
      <c r="G993" s="554"/>
      <c r="H993" s="404"/>
      <c r="I993" s="404"/>
    </row>
    <row r="994" spans="1:9" ht="12.75">
      <c r="A994" s="355"/>
      <c r="B994" s="924" t="s">
        <v>86</v>
      </c>
      <c r="C994" s="322"/>
      <c r="D994" s="1555" t="s">
        <v>1205</v>
      </c>
      <c r="E994" s="1555"/>
      <c r="F994" s="1555"/>
      <c r="G994" s="554"/>
      <c r="H994" s="404"/>
      <c r="I994" s="404"/>
    </row>
    <row r="995" spans="1:9" ht="12.75">
      <c r="A995" s="355"/>
      <c r="B995" s="355"/>
      <c r="C995" s="322"/>
      <c r="D995" s="287"/>
      <c r="E995" s="296"/>
      <c r="F995" s="296"/>
      <c r="G995" s="554"/>
      <c r="H995" s="404"/>
      <c r="I995" s="404"/>
    </row>
    <row r="996" spans="1:9" ht="12.75">
      <c r="A996" s="355"/>
      <c r="B996" s="924" t="s">
        <v>86</v>
      </c>
      <c r="C996" s="322"/>
      <c r="D996" s="1555" t="s">
        <v>1206</v>
      </c>
      <c r="E996" s="1555"/>
      <c r="F996" s="1555"/>
      <c r="G996" s="554"/>
      <c r="H996" s="404"/>
      <c r="I996" s="404"/>
    </row>
    <row r="997" spans="1:9" ht="12.75" customHeight="1">
      <c r="A997" s="355"/>
      <c r="B997" s="355"/>
      <c r="C997" s="322"/>
      <c r="D997" s="296"/>
      <c r="E997" s="296"/>
      <c r="F997" s="296"/>
      <c r="G997" s="554"/>
      <c r="H997" s="404"/>
      <c r="I997" s="404"/>
    </row>
    <row r="998" spans="1:9" ht="12.75">
      <c r="A998" s="355"/>
      <c r="B998" s="14"/>
      <c r="C998" s="322"/>
      <c r="D998" s="1562" t="s">
        <v>1615</v>
      </c>
      <c r="E998" s="1562"/>
      <c r="F998" s="1562"/>
      <c r="G998" s="554"/>
      <c r="H998" s="404"/>
      <c r="I998" s="404"/>
    </row>
    <row r="999" spans="1:9" ht="12.75">
      <c r="A999" s="355"/>
      <c r="B999" s="14"/>
      <c r="C999" s="322"/>
      <c r="D999" s="991"/>
      <c r="E999" s="296"/>
      <c r="F999" s="296"/>
      <c r="G999" s="554"/>
      <c r="H999" s="404"/>
      <c r="I999" s="404"/>
    </row>
    <row r="1000" spans="1:9" ht="14.25">
      <c r="A1000" s="413"/>
      <c r="B1000" s="924" t="s">
        <v>86</v>
      </c>
      <c r="C1000" s="322"/>
      <c r="D1000" s="1596" t="s">
        <v>1797</v>
      </c>
      <c r="E1000" s="1596"/>
      <c r="F1000" s="1596"/>
      <c r="G1000" s="554"/>
      <c r="H1000" s="404"/>
      <c r="I1000" s="404"/>
    </row>
    <row r="1001" spans="1:9" ht="12.75">
      <c r="A1001" s="355"/>
      <c r="B1001" s="355"/>
      <c r="C1001" s="322"/>
      <c r="D1001" s="1596"/>
      <c r="E1001" s="1596"/>
      <c r="F1001" s="1596"/>
      <c r="G1001" s="554"/>
      <c r="H1001" s="404"/>
      <c r="I1001" s="404"/>
    </row>
    <row r="1002" spans="1:9" ht="12.75">
      <c r="A1002" s="355"/>
      <c r="B1002" s="355"/>
      <c r="C1002" s="322"/>
      <c r="D1002" s="1596"/>
      <c r="E1002" s="1596"/>
      <c r="F1002" s="1596"/>
      <c r="G1002" s="554"/>
      <c r="H1002" s="404"/>
      <c r="I1002" s="404"/>
    </row>
    <row r="1003" spans="1:9" ht="12.75">
      <c r="A1003" s="355"/>
      <c r="B1003" s="355"/>
      <c r="C1003" s="322"/>
      <c r="D1003" s="1596"/>
      <c r="E1003" s="1596"/>
      <c r="F1003" s="1596"/>
      <c r="G1003" s="554"/>
      <c r="H1003" s="404"/>
      <c r="I1003" s="404"/>
    </row>
    <row r="1004" spans="1:9" ht="12.75">
      <c r="A1004" s="355"/>
      <c r="B1004" s="355"/>
      <c r="C1004" s="322"/>
      <c r="D1004" s="1596"/>
      <c r="E1004" s="1596"/>
      <c r="F1004" s="1596"/>
      <c r="G1004" s="554"/>
      <c r="H1004" s="404"/>
      <c r="I1004" s="404"/>
    </row>
    <row r="1005" spans="1:9" ht="12.75">
      <c r="A1005" s="355"/>
      <c r="B1005" s="355"/>
      <c r="C1005" s="322"/>
      <c r="E1005" s="282"/>
      <c r="F1005" s="282"/>
      <c r="G1005" s="554"/>
      <c r="H1005" s="404"/>
      <c r="I1005" s="404"/>
    </row>
    <row r="1006" spans="1:9" ht="14.25">
      <c r="A1006" s="413"/>
      <c r="B1006" s="924" t="s">
        <v>86</v>
      </c>
      <c r="C1006" s="322"/>
      <c r="D1006" s="1596" t="s">
        <v>1798</v>
      </c>
      <c r="E1006" s="1596"/>
      <c r="F1006" s="1596"/>
      <c r="G1006" s="554"/>
      <c r="H1006" s="404"/>
      <c r="I1006" s="404"/>
    </row>
    <row r="1007" spans="1:9" ht="12.75">
      <c r="A1007" s="355"/>
      <c r="B1007" s="355"/>
      <c r="C1007" s="322"/>
      <c r="D1007" s="1596"/>
      <c r="E1007" s="1596"/>
      <c r="F1007" s="1596"/>
      <c r="G1007" s="554"/>
      <c r="H1007" s="404"/>
      <c r="I1007" s="404"/>
    </row>
    <row r="1008" spans="1:9" ht="12.75">
      <c r="A1008" s="355"/>
      <c r="B1008" s="355"/>
      <c r="C1008" s="322"/>
      <c r="D1008" s="1596"/>
      <c r="E1008" s="1596"/>
      <c r="F1008" s="1596"/>
      <c r="G1008" s="554"/>
      <c r="H1008" s="404"/>
      <c r="I1008" s="404"/>
    </row>
    <row r="1009" spans="1:9" ht="12.75">
      <c r="A1009" s="355"/>
      <c r="B1009" s="355"/>
      <c r="C1009" s="322"/>
      <c r="D1009" s="1596"/>
      <c r="E1009" s="1596"/>
      <c r="F1009" s="1596"/>
      <c r="G1009" s="554"/>
      <c r="H1009" s="404"/>
      <c r="I1009" s="404"/>
    </row>
    <row r="1010" spans="1:9" ht="12.75">
      <c r="A1010" s="355"/>
      <c r="B1010" s="355"/>
      <c r="C1010" s="322"/>
      <c r="D1010" s="1596"/>
      <c r="E1010" s="1596"/>
      <c r="F1010" s="1596"/>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2" t="s">
        <v>1616</v>
      </c>
      <c r="E1012" s="1562"/>
      <c r="F1012" s="1562"/>
      <c r="G1012" s="554"/>
      <c r="H1012" s="404"/>
      <c r="I1012" s="404"/>
    </row>
    <row r="1013" spans="1:9" ht="12.75">
      <c r="A1013" s="355"/>
      <c r="B1013" s="355"/>
      <c r="C1013" s="322"/>
      <c r="D1013" s="991"/>
      <c r="E1013" s="296"/>
      <c r="F1013" s="296"/>
      <c r="G1013" s="554"/>
      <c r="H1013" s="404"/>
      <c r="I1013" s="404"/>
    </row>
    <row r="1014" spans="1:9" ht="14.25">
      <c r="A1014" s="413"/>
      <c r="B1014" s="924" t="s">
        <v>86</v>
      </c>
      <c r="C1014" s="322"/>
      <c r="D1014" s="1596" t="s">
        <v>1804</v>
      </c>
      <c r="E1014" s="1596"/>
      <c r="F1014" s="1596"/>
      <c r="G1014" s="554"/>
      <c r="H1014" s="404"/>
      <c r="I1014" s="404"/>
    </row>
    <row r="1015" spans="1:9" ht="12.75">
      <c r="A1015" s="355"/>
      <c r="B1015" s="355"/>
      <c r="C1015" s="322"/>
      <c r="D1015" s="1596"/>
      <c r="E1015" s="1596"/>
      <c r="F1015" s="1596"/>
      <c r="G1015" s="554"/>
      <c r="H1015" s="404"/>
      <c r="I1015" s="404"/>
    </row>
    <row r="1016" spans="1:9" ht="12.75">
      <c r="A1016" s="355"/>
      <c r="B1016" s="355"/>
      <c r="C1016" s="322"/>
      <c r="D1016" s="1596"/>
      <c r="E1016" s="1596"/>
      <c r="F1016" s="1596"/>
      <c r="G1016" s="554"/>
      <c r="H1016" s="404"/>
      <c r="I1016" s="404"/>
    </row>
    <row r="1017" spans="1:9" ht="12.75">
      <c r="A1017" s="355"/>
      <c r="B1017" s="355"/>
      <c r="C1017" s="322"/>
      <c r="E1017" s="282"/>
      <c r="F1017" s="282"/>
      <c r="G1017" s="554"/>
      <c r="H1017" s="404"/>
      <c r="I1017" s="404"/>
    </row>
    <row r="1018" spans="1:9" ht="14.25">
      <c r="A1018" s="413"/>
      <c r="B1018" s="924" t="s">
        <v>86</v>
      </c>
      <c r="C1018" s="322"/>
      <c r="D1018" s="1596" t="s">
        <v>1805</v>
      </c>
      <c r="E1018" s="1596"/>
      <c r="F1018" s="1596"/>
      <c r="G1018" s="554"/>
      <c r="H1018" s="404"/>
      <c r="I1018" s="404"/>
    </row>
    <row r="1019" spans="1:9" ht="12.75">
      <c r="A1019" s="355"/>
      <c r="B1019" s="355"/>
      <c r="C1019" s="322"/>
      <c r="D1019" s="1596"/>
      <c r="E1019" s="1596"/>
      <c r="F1019" s="1596"/>
      <c r="G1019" s="554"/>
      <c r="H1019" s="404"/>
      <c r="I1019" s="404"/>
    </row>
    <row r="1020" spans="1:9" ht="12.75">
      <c r="A1020" s="355"/>
      <c r="B1020" s="355"/>
      <c r="C1020" s="322"/>
      <c r="D1020" s="1596"/>
      <c r="E1020" s="1596"/>
      <c r="F1020" s="1596"/>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2" t="s">
        <v>1617</v>
      </c>
      <c r="E1022" s="1562"/>
      <c r="F1022" s="1562"/>
      <c r="G1022" s="554"/>
      <c r="H1022" s="404"/>
      <c r="I1022" s="404"/>
    </row>
    <row r="1023" spans="1:9" ht="12.75">
      <c r="A1023" s="355"/>
      <c r="B1023" s="355"/>
      <c r="C1023" s="322"/>
      <c r="D1023" s="991"/>
      <c r="E1023" s="296"/>
      <c r="F1023" s="296"/>
      <c r="G1023" s="554"/>
      <c r="H1023" s="404"/>
      <c r="I1023" s="404"/>
    </row>
    <row r="1024" spans="1:9" ht="14.25" customHeight="1">
      <c r="A1024" s="413"/>
      <c r="B1024" s="924" t="s">
        <v>86</v>
      </c>
      <c r="C1024" s="322"/>
      <c r="D1024" s="1599" t="s">
        <v>1807</v>
      </c>
      <c r="E1024" s="1599"/>
      <c r="F1024" s="1599"/>
      <c r="G1024" s="460"/>
      <c r="H1024" s="463"/>
      <c r="I1024" s="463"/>
    </row>
    <row r="1025" spans="1:9" ht="12.75">
      <c r="A1025" s="355"/>
      <c r="B1025" s="355"/>
      <c r="C1025" s="322"/>
      <c r="D1025" s="1599"/>
      <c r="E1025" s="1599"/>
      <c r="F1025" s="1599"/>
      <c r="G1025" s="460"/>
      <c r="H1025" s="463"/>
      <c r="I1025" s="463"/>
    </row>
    <row r="1026" spans="1:9" ht="12.7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86</v>
      </c>
      <c r="C1028" s="322"/>
      <c r="D1028" s="1599" t="s">
        <v>1806</v>
      </c>
      <c r="E1028" s="1599"/>
      <c r="F1028" s="1599"/>
      <c r="G1028" s="463"/>
      <c r="H1028" s="404"/>
      <c r="I1028" s="404"/>
    </row>
    <row r="1029" spans="1:9" ht="12.75">
      <c r="A1029" s="355"/>
      <c r="B1029" s="355"/>
      <c r="C1029" s="322"/>
      <c r="D1029" s="1599"/>
      <c r="E1029" s="1599"/>
      <c r="F1029" s="1599"/>
      <c r="G1029" s="463"/>
      <c r="H1029" s="404"/>
      <c r="I1029" s="404"/>
    </row>
    <row r="1030" spans="1:9" ht="12.7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86</v>
      </c>
      <c r="C1032" s="322"/>
      <c r="D1032" s="1652" t="s">
        <v>1808</v>
      </c>
      <c r="E1032" s="1652"/>
      <c r="F1032" s="1652"/>
      <c r="G1032" s="546"/>
      <c r="H1032" s="404"/>
      <c r="I1032" s="404"/>
    </row>
    <row r="1033" spans="1:9" ht="12.75">
      <c r="A1033" s="355"/>
      <c r="B1033" s="355"/>
      <c r="C1033" s="322"/>
      <c r="D1033" s="1652"/>
      <c r="E1033" s="1652"/>
      <c r="F1033" s="1652"/>
      <c r="G1033" s="546"/>
      <c r="H1033" s="404"/>
      <c r="I1033" s="404"/>
    </row>
    <row r="1034" spans="1:9" ht="12.7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86</v>
      </c>
      <c r="C1036" s="322"/>
      <c r="D1036" s="1599" t="s">
        <v>1809</v>
      </c>
      <c r="E1036" s="1599"/>
      <c r="F1036" s="1599"/>
      <c r="G1036" s="546"/>
      <c r="H1036" s="546"/>
      <c r="I1036" s="546"/>
    </row>
    <row r="1037" spans="1:9" ht="12.75">
      <c r="A1037" s="355"/>
      <c r="B1037" s="355"/>
      <c r="C1037" s="322"/>
      <c r="D1037" s="1599"/>
      <c r="E1037" s="1599"/>
      <c r="F1037" s="1599"/>
      <c r="G1037" s="546"/>
      <c r="H1037" s="546"/>
      <c r="I1037" s="546"/>
    </row>
    <row r="1038" spans="1:9" ht="12.75">
      <c r="A1038" s="355"/>
      <c r="B1038" s="355"/>
      <c r="C1038" s="322"/>
      <c r="D1038" s="1599"/>
      <c r="E1038" s="1599"/>
      <c r="F1038" s="1599"/>
      <c r="G1038" s="546"/>
      <c r="H1038" s="546"/>
      <c r="I1038" s="546"/>
    </row>
    <row r="1039" spans="1:9" ht="14.25">
      <c r="A1039" s="413"/>
      <c r="B1039" s="413"/>
      <c r="C1039" s="322"/>
      <c r="D1039" s="287"/>
      <c r="E1039" s="296"/>
      <c r="F1039" s="296"/>
      <c r="G1039" s="554"/>
      <c r="H1039" s="404"/>
      <c r="I1039" s="404"/>
    </row>
    <row r="1040" spans="1:9" ht="12.75" customHeight="1">
      <c r="A1040" s="355"/>
      <c r="B1040" s="924" t="s">
        <v>86</v>
      </c>
      <c r="C1040" s="322"/>
      <c r="D1040" s="1599" t="s">
        <v>1810</v>
      </c>
      <c r="E1040" s="1599"/>
      <c r="F1040" s="1599"/>
      <c r="G1040" s="546"/>
      <c r="H1040" s="546"/>
      <c r="I1040" s="546"/>
    </row>
    <row r="1041" spans="1:9" ht="12.75">
      <c r="A1041" s="355"/>
      <c r="B1041" s="355"/>
      <c r="C1041" s="322"/>
      <c r="D1041" s="1599"/>
      <c r="E1041" s="1599"/>
      <c r="F1041" s="1599"/>
      <c r="G1041" s="546"/>
      <c r="H1041" s="546"/>
      <c r="I1041" s="546"/>
    </row>
    <row r="1042" spans="1:9" ht="12.75">
      <c r="A1042" s="355"/>
      <c r="B1042" s="355"/>
      <c r="C1042" s="322"/>
      <c r="D1042" s="1599"/>
      <c r="E1042" s="1599"/>
      <c r="F1042" s="1599"/>
      <c r="G1042" s="546"/>
      <c r="H1042" s="546"/>
      <c r="I1042" s="546"/>
    </row>
    <row r="1043" spans="1:9" ht="12.75">
      <c r="A1043" s="355"/>
      <c r="B1043" s="355"/>
      <c r="C1043" s="322"/>
      <c r="D1043" s="287"/>
      <c r="E1043" s="296"/>
      <c r="F1043" s="296"/>
      <c r="G1043" s="554"/>
      <c r="H1043" s="404"/>
      <c r="I1043" s="404"/>
    </row>
    <row r="1044" spans="1:9" ht="12.75" customHeight="1">
      <c r="A1044" s="355"/>
      <c r="B1044" s="924" t="s">
        <v>86</v>
      </c>
      <c r="C1044" s="322"/>
      <c r="D1044" s="1599" t="s">
        <v>1618</v>
      </c>
      <c r="E1044" s="1599"/>
      <c r="F1044" s="1599"/>
      <c r="G1044" s="460"/>
      <c r="H1044" s="404"/>
      <c r="I1044" s="404"/>
    </row>
    <row r="1045" spans="1:9" ht="12.75">
      <c r="A1045" s="355"/>
      <c r="B1045" s="355"/>
      <c r="C1045" s="322"/>
      <c r="D1045" s="1599"/>
      <c r="E1045" s="1599"/>
      <c r="F1045" s="1599"/>
      <c r="G1045" s="460"/>
      <c r="H1045" s="404"/>
      <c r="I1045" s="404"/>
    </row>
    <row r="1046" spans="1:9" ht="12.75">
      <c r="A1046" s="355"/>
      <c r="B1046" s="355"/>
      <c r="C1046" s="322"/>
      <c r="D1046" s="1599"/>
      <c r="E1046" s="1599"/>
      <c r="F1046" s="1599"/>
      <c r="G1046" s="460"/>
      <c r="H1046" s="404"/>
      <c r="I1046" s="404"/>
    </row>
    <row r="1047" spans="1:9" ht="12.75">
      <c r="A1047" s="355"/>
      <c r="B1047" s="355"/>
      <c r="C1047" s="322"/>
      <c r="D1047" s="460"/>
      <c r="E1047" s="460"/>
      <c r="F1047" s="460"/>
      <c r="G1047" s="460"/>
      <c r="H1047" s="404"/>
      <c r="I1047" s="404"/>
    </row>
    <row r="1048" spans="1:9" ht="12.75" customHeight="1">
      <c r="A1048" s="355"/>
      <c r="B1048" s="924" t="s">
        <v>86</v>
      </c>
      <c r="C1048" s="322"/>
      <c r="D1048" s="1599" t="s">
        <v>1619</v>
      </c>
      <c r="E1048" s="1599"/>
      <c r="F1048" s="1599"/>
      <c r="G1048" s="460"/>
      <c r="H1048" s="404"/>
      <c r="I1048" s="404"/>
    </row>
    <row r="1049" spans="1:9" ht="12.75">
      <c r="A1049" s="355"/>
      <c r="B1049" s="355"/>
      <c r="C1049" s="322"/>
      <c r="D1049" s="1599"/>
      <c r="E1049" s="1599"/>
      <c r="F1049" s="1599"/>
      <c r="G1049" s="460"/>
      <c r="H1049" s="404"/>
      <c r="I1049" s="404"/>
    </row>
    <row r="1050" spans="1:9" ht="12.75">
      <c r="A1050" s="355"/>
      <c r="B1050" s="355"/>
      <c r="C1050" s="322"/>
      <c r="D1050" s="1599"/>
      <c r="E1050" s="1599"/>
      <c r="F1050" s="1599"/>
      <c r="G1050" s="460"/>
      <c r="H1050" s="404"/>
      <c r="I1050" s="404"/>
    </row>
    <row r="1051" spans="1:9" ht="12.75">
      <c r="A1051" s="355"/>
      <c r="B1051" s="355"/>
      <c r="C1051" s="322"/>
      <c r="D1051" s="466"/>
      <c r="E1051" s="466"/>
      <c r="F1051" s="466"/>
      <c r="G1051" s="492"/>
      <c r="H1051" s="404"/>
      <c r="I1051" s="404"/>
    </row>
    <row r="1052" spans="1:9" ht="12.75" customHeight="1">
      <c r="A1052" s="561"/>
      <c r="B1052" s="924" t="s">
        <v>86</v>
      </c>
      <c r="C1052" s="405"/>
      <c r="D1052" s="1600" t="s">
        <v>1216</v>
      </c>
      <c r="E1052" s="1600"/>
      <c r="F1052" s="1600"/>
      <c r="G1052" s="922"/>
      <c r="H1052" s="404"/>
      <c r="I1052" s="404"/>
    </row>
    <row r="1053" spans="1:9" ht="12.75">
      <c r="A1053" s="561"/>
      <c r="B1053" s="561"/>
      <c r="C1053" s="405"/>
      <c r="D1053" s="1600"/>
      <c r="E1053" s="1600"/>
      <c r="F1053" s="1600"/>
      <c r="G1053" s="922"/>
      <c r="H1053" s="404"/>
      <c r="I1053" s="404"/>
    </row>
    <row r="1054" spans="1:9" ht="12.75">
      <c r="A1054" s="561"/>
      <c r="B1054" s="561"/>
      <c r="C1054" s="405"/>
      <c r="D1054" s="1600"/>
      <c r="E1054" s="1600"/>
      <c r="F1054" s="1600"/>
      <c r="G1054" s="922"/>
      <c r="H1054" s="404"/>
      <c r="I1054" s="404"/>
    </row>
    <row r="1055" spans="1:9" ht="12.75">
      <c r="A1055" s="561"/>
      <c r="B1055" s="561"/>
      <c r="C1055" s="405"/>
      <c r="D1055" s="1600"/>
      <c r="E1055" s="1600"/>
      <c r="F1055" s="1600"/>
      <c r="G1055" s="922"/>
      <c r="H1055" s="404"/>
      <c r="I1055" s="404"/>
    </row>
    <row r="1056" spans="1:9" ht="12.75">
      <c r="A1056" s="561"/>
      <c r="B1056" s="561"/>
      <c r="C1056" s="405"/>
      <c r="D1056" s="1600"/>
      <c r="E1056" s="1600"/>
      <c r="F1056" s="1600"/>
      <c r="G1056" s="922"/>
      <c r="H1056" s="404"/>
      <c r="I1056" s="404"/>
    </row>
    <row r="1057" spans="1:9" ht="12.75">
      <c r="A1057" s="561"/>
      <c r="B1057" s="561"/>
      <c r="C1057" s="405"/>
      <c r="D1057" s="1600"/>
      <c r="E1057" s="1600"/>
      <c r="F1057" s="1600"/>
      <c r="G1057" s="922"/>
      <c r="H1057" s="404"/>
      <c r="I1057" s="404"/>
    </row>
    <row r="1058" spans="1:9" ht="12.75">
      <c r="A1058" s="561"/>
      <c r="B1058" s="561"/>
      <c r="C1058" s="405"/>
      <c r="D1058" s="1600"/>
      <c r="E1058" s="1600"/>
      <c r="F1058" s="1600"/>
      <c r="G1058" s="922"/>
      <c r="H1058" s="404"/>
      <c r="I1058" s="404"/>
    </row>
    <row r="1059" spans="1:9" ht="12.75">
      <c r="A1059" s="561"/>
      <c r="B1059" s="561"/>
      <c r="C1059" s="405"/>
      <c r="D1059" s="1600"/>
      <c r="E1059" s="1600"/>
      <c r="F1059" s="1600"/>
      <c r="G1059" s="922"/>
      <c r="H1059" s="404"/>
      <c r="I1059" s="404"/>
    </row>
    <row r="1060" spans="1:9" ht="12.75">
      <c r="A1060" s="561"/>
      <c r="B1060" s="561"/>
      <c r="C1060" s="405"/>
      <c r="D1060" s="1600"/>
      <c r="E1060" s="1600"/>
      <c r="F1060" s="1600"/>
      <c r="G1060" s="922"/>
      <c r="H1060" s="404"/>
      <c r="I1060" s="404"/>
    </row>
    <row r="1061" spans="1:9" ht="12.75">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2" t="s">
        <v>1620</v>
      </c>
      <c r="E1064" s="1562"/>
      <c r="F1064" s="1562"/>
      <c r="G1064" s="642"/>
      <c r="H1064" s="404"/>
      <c r="I1064" s="404"/>
    </row>
    <row r="1065" spans="1:9" ht="12.75" customHeight="1">
      <c r="A1065" s="355"/>
      <c r="B1065" s="355"/>
      <c r="C1065" s="322"/>
      <c r="D1065" s="991"/>
      <c r="E1065" s="988"/>
      <c r="F1065" s="988"/>
      <c r="G1065" s="642"/>
      <c r="H1065" s="404"/>
      <c r="I1065" s="404"/>
    </row>
    <row r="1066" spans="1:9" ht="14.25">
      <c r="A1066" s="413"/>
      <c r="B1066" s="924" t="s">
        <v>86</v>
      </c>
      <c r="C1066" s="322"/>
      <c r="D1066" s="1553" t="s">
        <v>1811</v>
      </c>
      <c r="E1066" s="1553"/>
      <c r="F1066" s="1553"/>
      <c r="G1066" s="554"/>
      <c r="H1066" s="404"/>
      <c r="I1066" s="404"/>
    </row>
    <row r="1067" spans="1:9" ht="12.75">
      <c r="A1067" s="355"/>
      <c r="B1067" s="355"/>
      <c r="C1067" s="322"/>
      <c r="D1067" s="1553"/>
      <c r="E1067" s="1553"/>
      <c r="F1067" s="1553"/>
      <c r="G1067" s="554"/>
      <c r="H1067" s="404"/>
      <c r="I1067" s="404"/>
    </row>
    <row r="1068" spans="1:9" ht="12.75">
      <c r="A1068" s="355"/>
      <c r="B1068" s="355"/>
      <c r="C1068" s="322"/>
      <c r="D1068" s="1553"/>
      <c r="E1068" s="1553"/>
      <c r="F1068" s="1553"/>
      <c r="G1068" s="554"/>
      <c r="H1068" s="404"/>
      <c r="I1068" s="404"/>
    </row>
    <row r="1069" spans="1:9" ht="12.75">
      <c r="A1069" s="355"/>
      <c r="B1069" s="355"/>
      <c r="C1069" s="322"/>
      <c r="D1069" s="1553"/>
      <c r="E1069" s="1553"/>
      <c r="F1069" s="1553"/>
      <c r="G1069" s="554"/>
      <c r="H1069" s="404"/>
      <c r="I1069" s="404"/>
    </row>
    <row r="1070" spans="1:9" ht="12.75">
      <c r="A1070" s="355"/>
      <c r="B1070" s="355"/>
      <c r="C1070" s="322"/>
      <c r="D1070" s="296"/>
      <c r="E1070" s="296"/>
      <c r="F1070" s="296"/>
      <c r="G1070" s="554"/>
      <c r="H1070" s="404"/>
      <c r="I1070" s="404"/>
    </row>
    <row r="1071" spans="1:9" ht="14.25">
      <c r="A1071" s="413"/>
      <c r="B1071" s="924" t="s">
        <v>86</v>
      </c>
      <c r="C1071" s="322"/>
      <c r="D1071" s="1553" t="s">
        <v>1812</v>
      </c>
      <c r="E1071" s="1553"/>
      <c r="F1071" s="1553"/>
      <c r="G1071" s="554"/>
      <c r="H1071" s="404"/>
      <c r="I1071" s="404"/>
    </row>
    <row r="1072" spans="1:9" ht="12.75">
      <c r="A1072" s="355"/>
      <c r="B1072" s="355"/>
      <c r="C1072" s="322"/>
      <c r="D1072" s="1553"/>
      <c r="E1072" s="1553"/>
      <c r="F1072" s="1553"/>
      <c r="G1072" s="554"/>
      <c r="H1072" s="404"/>
      <c r="I1072" s="404"/>
    </row>
    <row r="1073" spans="1:9" ht="12.75">
      <c r="A1073" s="355"/>
      <c r="B1073" s="355"/>
      <c r="C1073" s="322"/>
      <c r="D1073" s="1553"/>
      <c r="E1073" s="1553"/>
      <c r="F1073" s="1553"/>
      <c r="G1073" s="554"/>
      <c r="H1073" s="404"/>
      <c r="I1073" s="404"/>
    </row>
    <row r="1074" spans="1:9" ht="12.75">
      <c r="A1074" s="355"/>
      <c r="B1074" s="355"/>
      <c r="C1074" s="322"/>
      <c r="D1074" s="1553"/>
      <c r="E1074" s="1553"/>
      <c r="F1074" s="1553"/>
      <c r="G1074" s="554"/>
      <c r="H1074" s="404"/>
      <c r="I1074" s="404"/>
    </row>
    <row r="1075" spans="1:9" ht="12.75">
      <c r="A1075" s="355"/>
      <c r="B1075" s="355"/>
      <c r="C1075" s="322"/>
      <c r="D1075" s="296"/>
      <c r="E1075" s="296"/>
      <c r="F1075" s="296"/>
      <c r="G1075" s="554"/>
    </row>
    <row r="1076" spans="1:9" ht="12.75">
      <c r="A1076" s="355"/>
      <c r="B1076" s="924" t="s">
        <v>86</v>
      </c>
      <c r="C1076" s="322"/>
      <c r="D1076" s="1619" t="s">
        <v>1813</v>
      </c>
      <c r="E1076" s="1619"/>
      <c r="F1076" s="1619"/>
      <c r="G1076" s="554"/>
    </row>
    <row r="1077" spans="1:9" ht="12.75">
      <c r="A1077" s="355"/>
      <c r="B1077" s="355"/>
      <c r="C1077" s="322"/>
      <c r="D1077" s="1619"/>
      <c r="E1077" s="1619"/>
      <c r="F1077" s="1619"/>
      <c r="G1077" s="554"/>
    </row>
    <row r="1078" spans="1:9" ht="12.75">
      <c r="A1078" s="355"/>
      <c r="B1078" s="355"/>
      <c r="C1078" s="322"/>
      <c r="D1078" s="1619"/>
      <c r="E1078" s="1619"/>
      <c r="F1078" s="1619"/>
      <c r="G1078" s="554"/>
    </row>
    <row r="1079" spans="1:9" ht="12.75">
      <c r="A1079" s="355"/>
      <c r="B1079" s="355"/>
      <c r="C1079" s="322"/>
      <c r="D1079" s="296"/>
      <c r="E1079" s="296"/>
      <c r="F1079" s="296"/>
      <c r="G1079" s="554"/>
    </row>
    <row r="1080" spans="1:9" ht="14.25">
      <c r="A1080" s="413"/>
      <c r="B1080" s="924" t="s">
        <v>86</v>
      </c>
      <c r="C1080" s="658"/>
      <c r="D1080" s="1620" t="s">
        <v>1814</v>
      </c>
      <c r="E1080" s="1620"/>
      <c r="F1080" s="1620"/>
      <c r="G1080" s="690"/>
    </row>
    <row r="1081" spans="1:9" ht="12.75">
      <c r="A1081" s="657"/>
      <c r="B1081" s="657"/>
      <c r="C1081" s="658"/>
      <c r="D1081" s="1620"/>
      <c r="E1081" s="1620"/>
      <c r="F1081" s="1620"/>
      <c r="G1081" s="690"/>
    </row>
    <row r="1082" spans="1:9" ht="12.75">
      <c r="A1082" s="657"/>
      <c r="B1082" s="657"/>
      <c r="C1082" s="658"/>
      <c r="D1082" s="1620"/>
      <c r="E1082" s="1620"/>
      <c r="F1082" s="1620"/>
      <c r="G1082" s="690"/>
    </row>
    <row r="1083" spans="1:9" ht="12.75">
      <c r="A1083" s="355"/>
      <c r="B1083" s="355"/>
      <c r="C1083" s="322"/>
      <c r="D1083" s="296"/>
      <c r="E1083" s="296"/>
      <c r="F1083" s="296"/>
      <c r="G1083" s="554"/>
    </row>
    <row r="1084" spans="1:9" ht="12.75">
      <c r="A1084" s="14"/>
      <c r="B1084" s="14"/>
      <c r="C1084" s="322"/>
      <c r="D1084" s="1562" t="s">
        <v>1621</v>
      </c>
      <c r="E1084" s="1562"/>
      <c r="F1084" s="1562"/>
      <c r="G1084" s="554"/>
    </row>
    <row r="1085" spans="1:9" ht="12.75">
      <c r="A1085" s="14"/>
      <c r="B1085" s="14"/>
      <c r="C1085" s="322"/>
      <c r="D1085" s="991"/>
      <c r="E1085" s="296"/>
      <c r="F1085" s="296"/>
      <c r="G1085" s="554"/>
    </row>
    <row r="1086" spans="1:9" ht="12.75">
      <c r="A1086" s="355"/>
      <c r="B1086" s="924" t="s">
        <v>86</v>
      </c>
      <c r="C1086" s="322"/>
      <c r="D1086" s="1596" t="s">
        <v>1815</v>
      </c>
      <c r="E1086" s="1596"/>
      <c r="F1086" s="1596"/>
      <c r="G1086" s="554"/>
    </row>
    <row r="1087" spans="1:9" ht="12.75">
      <c r="A1087" s="355"/>
      <c r="B1087" s="355"/>
      <c r="C1087" s="322"/>
      <c r="D1087" s="1596"/>
      <c r="E1087" s="1596"/>
      <c r="F1087" s="1596"/>
      <c r="G1087" s="554"/>
    </row>
    <row r="1088" spans="1:9" ht="12.75">
      <c r="A1088" s="355"/>
      <c r="B1088" s="355"/>
      <c r="C1088" s="322"/>
      <c r="D1088" s="1596"/>
      <c r="E1088" s="1596"/>
      <c r="F1088" s="1596"/>
      <c r="G1088" s="554"/>
    </row>
    <row r="1089" spans="1:7" ht="12.75">
      <c r="A1089" s="355"/>
      <c r="B1089" s="355"/>
      <c r="C1089" s="322"/>
      <c r="D1089" s="554"/>
      <c r="E1089" s="296"/>
      <c r="F1089" s="296"/>
      <c r="G1089" s="554"/>
    </row>
    <row r="1090" spans="1:7" ht="14.25">
      <c r="A1090" s="413"/>
      <c r="B1090" s="924" t="s">
        <v>86</v>
      </c>
      <c r="C1090" s="322"/>
      <c r="D1090" s="1596" t="s">
        <v>1816</v>
      </c>
      <c r="E1090" s="1596"/>
      <c r="F1090" s="1596"/>
      <c r="G1090" s="554"/>
    </row>
    <row r="1091" spans="1:7" ht="12.75">
      <c r="A1091" s="355"/>
      <c r="B1091" s="355"/>
      <c r="C1091" s="322"/>
      <c r="D1091" s="1596"/>
      <c r="E1091" s="1596"/>
      <c r="F1091" s="1596"/>
      <c r="G1091" s="554"/>
    </row>
    <row r="1092" spans="1:7" ht="12.75">
      <c r="A1092" s="355"/>
      <c r="B1092" s="355"/>
      <c r="C1092" s="322"/>
      <c r="D1092" s="1596"/>
      <c r="E1092" s="1596"/>
      <c r="F1092" s="1596"/>
      <c r="G1092" s="554"/>
    </row>
    <row r="1093" spans="1:7" ht="12.75">
      <c r="A1093" s="355"/>
      <c r="B1093" s="355"/>
      <c r="C1093" s="322"/>
      <c r="D1093" s="296"/>
      <c r="E1093" s="296"/>
      <c r="F1093" s="296"/>
      <c r="G1093" s="554"/>
    </row>
    <row r="1094" spans="1:7" ht="12.75">
      <c r="A1094" s="355"/>
      <c r="B1094" s="355"/>
      <c r="C1094" s="322"/>
      <c r="D1094" s="1562" t="s">
        <v>1207</v>
      </c>
      <c r="E1094" s="1562"/>
      <c r="F1094" s="1562"/>
      <c r="G1094" s="554"/>
    </row>
    <row r="1095" spans="1:7" ht="12.75">
      <c r="A1095" s="355"/>
      <c r="B1095" s="355"/>
      <c r="C1095" s="322"/>
      <c r="D1095" s="1555" t="s">
        <v>1622</v>
      </c>
      <c r="E1095" s="1555"/>
      <c r="F1095" s="1555"/>
      <c r="G1095" s="554"/>
    </row>
    <row r="1096" spans="1:7" ht="12.75">
      <c r="A1096" s="355"/>
      <c r="B1096" s="355"/>
      <c r="C1096" s="322"/>
      <c r="D1096" s="992"/>
      <c r="E1096" s="296"/>
      <c r="F1096" s="296"/>
      <c r="G1096" s="554"/>
    </row>
    <row r="1097" spans="1:7" ht="14.25">
      <c r="A1097" s="413"/>
      <c r="B1097" s="924" t="s">
        <v>86</v>
      </c>
      <c r="C1097" s="322"/>
      <c r="D1097" s="1553" t="s">
        <v>1817</v>
      </c>
      <c r="E1097" s="1553"/>
      <c r="F1097" s="1553"/>
      <c r="G1097" s="554"/>
    </row>
    <row r="1098" spans="1:7" ht="12.75">
      <c r="A1098" s="355"/>
      <c r="B1098" s="355"/>
      <c r="C1098" s="322"/>
      <c r="D1098" s="1553"/>
      <c r="E1098" s="1553"/>
      <c r="F1098" s="1553"/>
      <c r="G1098" s="554"/>
    </row>
    <row r="1099" spans="1:7" ht="12.75">
      <c r="A1099" s="355"/>
      <c r="B1099" s="355"/>
      <c r="C1099" s="322"/>
      <c r="D1099" s="296"/>
      <c r="E1099" s="296"/>
      <c r="F1099" s="296"/>
      <c r="G1099" s="554"/>
    </row>
    <row r="1100" spans="1:7" ht="14.25">
      <c r="A1100" s="413"/>
      <c r="B1100" s="924" t="s">
        <v>86</v>
      </c>
      <c r="C1100" s="322"/>
      <c r="D1100" s="1553" t="s">
        <v>1818</v>
      </c>
      <c r="E1100" s="1553"/>
      <c r="F1100" s="1553"/>
      <c r="G1100" s="554"/>
    </row>
    <row r="1101" spans="1:7" ht="12.75">
      <c r="A1101" s="355"/>
      <c r="B1101" s="355"/>
      <c r="C1101" s="322"/>
      <c r="D1101" s="1553"/>
      <c r="E1101" s="1553"/>
      <c r="F1101" s="1553"/>
      <c r="G1101" s="554"/>
    </row>
    <row r="1102" spans="1:7" ht="12.75">
      <c r="A1102" s="355"/>
      <c r="B1102" s="355"/>
      <c r="C1102" s="322"/>
      <c r="D1102" s="282"/>
      <c r="E1102" s="296"/>
      <c r="F1102" s="296"/>
      <c r="G1102" s="554"/>
    </row>
    <row r="1103" spans="1:7" ht="12.75">
      <c r="A1103" s="355"/>
      <c r="B1103" s="355"/>
      <c r="C1103" s="322"/>
      <c r="D1103" s="1562" t="s">
        <v>1623</v>
      </c>
      <c r="E1103" s="1562"/>
      <c r="F1103" s="1562"/>
      <c r="G1103" s="554"/>
    </row>
    <row r="1104" spans="1:7" ht="12.75">
      <c r="A1104" s="355"/>
      <c r="B1104" s="355"/>
      <c r="C1104" s="322"/>
      <c r="D1104" s="991"/>
      <c r="E1104" s="296"/>
      <c r="F1104" s="296"/>
      <c r="G1104" s="554"/>
    </row>
    <row r="1105" spans="1:7" ht="14.25">
      <c r="A1105" s="413"/>
      <c r="B1105" s="924" t="s">
        <v>86</v>
      </c>
      <c r="C1105" s="322"/>
      <c r="D1105" s="1553" t="s">
        <v>1819</v>
      </c>
      <c r="E1105" s="1553"/>
      <c r="F1105" s="1553"/>
      <c r="G1105" s="554"/>
    </row>
    <row r="1106" spans="1:7" ht="12.75">
      <c r="A1106" s="355"/>
      <c r="B1106" s="355"/>
      <c r="C1106" s="322"/>
      <c r="D1106" s="1553"/>
      <c r="E1106" s="1553"/>
      <c r="F1106" s="1553"/>
      <c r="G1106" s="554"/>
    </row>
    <row r="1107" spans="1:7" ht="12.75">
      <c r="A1107" s="355"/>
      <c r="B1107" s="355"/>
      <c r="C1107" s="322"/>
      <c r="D1107" s="1553"/>
      <c r="E1107" s="1553"/>
      <c r="F1107" s="1553"/>
      <c r="G1107" s="554"/>
    </row>
    <row r="1108" spans="1:7" ht="12.75">
      <c r="A1108" s="355"/>
      <c r="B1108" s="355"/>
      <c r="C1108" s="322"/>
      <c r="D1108" s="1553"/>
      <c r="E1108" s="1553"/>
      <c r="F1108" s="1553"/>
      <c r="G1108" s="554"/>
    </row>
    <row r="1109" spans="1:7" ht="12.75">
      <c r="A1109" s="355"/>
      <c r="B1109" s="355"/>
      <c r="C1109" s="322"/>
      <c r="D1109" s="1553"/>
      <c r="E1109" s="1553"/>
      <c r="F1109" s="1553"/>
      <c r="G1109" s="554"/>
    </row>
    <row r="1110" spans="1:7" ht="12.75">
      <c r="A1110" s="355"/>
      <c r="B1110" s="355"/>
      <c r="C1110" s="322"/>
      <c r="D1110" s="1553"/>
      <c r="E1110" s="1553"/>
      <c r="F1110" s="1553"/>
      <c r="G1110" s="554"/>
    </row>
    <row r="1111" spans="1:7" ht="12.75">
      <c r="A1111" s="355"/>
      <c r="B1111" s="355"/>
      <c r="C1111" s="322"/>
      <c r="D1111" s="1553"/>
      <c r="E1111" s="1553"/>
      <c r="F1111" s="1553"/>
      <c r="G1111" s="554"/>
    </row>
    <row r="1112" spans="1:7" ht="12.75">
      <c r="A1112" s="355"/>
      <c r="B1112" s="355"/>
      <c r="C1112" s="322"/>
      <c r="D1112" s="296"/>
      <c r="E1112" s="296"/>
      <c r="F1112" s="296"/>
      <c r="G1112" s="554"/>
    </row>
    <row r="1113" spans="1:7" ht="14.25">
      <c r="A1113" s="413"/>
      <c r="B1113" s="924" t="s">
        <v>86</v>
      </c>
      <c r="C1113" s="322"/>
      <c r="D1113" s="1553" t="s">
        <v>1820</v>
      </c>
      <c r="E1113" s="1553"/>
      <c r="F1113" s="1553"/>
      <c r="G1113" s="554"/>
    </row>
    <row r="1114" spans="1:7" ht="12.75">
      <c r="A1114" s="355"/>
      <c r="B1114" s="355"/>
      <c r="C1114" s="322"/>
      <c r="D1114" s="1553"/>
      <c r="E1114" s="1553"/>
      <c r="F1114" s="1553"/>
      <c r="G1114" s="554"/>
    </row>
    <row r="1115" spans="1:7" ht="12.75">
      <c r="A1115" s="355"/>
      <c r="B1115" s="355"/>
      <c r="C1115" s="322"/>
      <c r="D1115" s="1553"/>
      <c r="E1115" s="1553"/>
      <c r="F1115" s="1553"/>
      <c r="G1115" s="554"/>
    </row>
    <row r="1116" spans="1:7" ht="12.75">
      <c r="A1116" s="355"/>
      <c r="B1116" s="355"/>
      <c r="C1116" s="322"/>
      <c r="D1116" s="1553"/>
      <c r="E1116" s="1553"/>
      <c r="F1116" s="1553"/>
      <c r="G1116" s="554"/>
    </row>
    <row r="1117" spans="1:7" ht="12.75">
      <c r="A1117" s="355"/>
      <c r="B1117" s="355"/>
      <c r="C1117" s="322"/>
      <c r="D1117" s="1553"/>
      <c r="E1117" s="1553"/>
      <c r="F1117" s="1553"/>
      <c r="G1117" s="554"/>
    </row>
    <row r="1118" spans="1:7" ht="12.75">
      <c r="A1118" s="355"/>
      <c r="B1118" s="355"/>
      <c r="C1118" s="322"/>
      <c r="D1118" s="1553"/>
      <c r="E1118" s="1553"/>
      <c r="F1118" s="1553"/>
      <c r="G1118" s="554"/>
    </row>
    <row r="1119" spans="1:7" ht="12.75">
      <c r="A1119" s="355"/>
      <c r="B1119" s="355"/>
      <c r="C1119" s="322"/>
      <c r="D1119" s="1553"/>
      <c r="E1119" s="1553"/>
      <c r="F1119" s="1553"/>
      <c r="G1119" s="554"/>
    </row>
    <row r="1120" spans="1:7" ht="12.75">
      <c r="A1120" s="355"/>
      <c r="B1120" s="355"/>
      <c r="C1120" s="322"/>
      <c r="D1120" s="1081"/>
      <c r="E1120" s="1081"/>
      <c r="F1120" s="1081"/>
      <c r="G1120" s="554"/>
    </row>
    <row r="1121" spans="1:7" ht="12.4" customHeight="1">
      <c r="A1121" s="355"/>
      <c r="B1121" s="1083" t="s">
        <v>86</v>
      </c>
      <c r="C1121" s="322"/>
      <c r="D1121" s="1621" t="s">
        <v>1940</v>
      </c>
      <c r="E1121" s="1619"/>
      <c r="F1121" s="1619"/>
      <c r="G1121" s="554"/>
    </row>
    <row r="1122" spans="1:7" ht="12.4" customHeight="1">
      <c r="A1122" s="355"/>
      <c r="B1122" s="355"/>
      <c r="C1122" s="322"/>
      <c r="D1122" s="1619"/>
      <c r="E1122" s="1619"/>
      <c r="F1122" s="1619"/>
      <c r="G1122" s="554"/>
    </row>
    <row r="1123" spans="1:7" ht="12.75">
      <c r="A1123" s="355"/>
      <c r="B1123" s="355"/>
      <c r="C1123" s="322"/>
      <c r="D1123" s="1619"/>
      <c r="E1123" s="1619"/>
      <c r="F1123" s="1619"/>
      <c r="G1123" s="554"/>
    </row>
    <row r="1124" spans="1:7" ht="12.75">
      <c r="A1124" s="355"/>
      <c r="B1124" s="355"/>
      <c r="C1124" s="322"/>
      <c r="D1124" s="1082"/>
      <c r="E1124" s="1082"/>
      <c r="F1124" s="1082"/>
      <c r="G1124" s="554"/>
    </row>
    <row r="1125" spans="1:7" ht="12.75">
      <c r="A1125" s="140"/>
      <c r="B1125" s="140"/>
      <c r="C1125" s="14"/>
      <c r="D1125" s="1562" t="s">
        <v>1624</v>
      </c>
      <c r="E1125" s="1562"/>
      <c r="F1125" s="1562"/>
    </row>
    <row r="1126" spans="1:7" ht="12.75">
      <c r="A1126" s="996"/>
      <c r="B1126" s="996"/>
      <c r="C1126" s="14"/>
      <c r="D1126" s="991"/>
      <c r="E1126" s="282"/>
      <c r="F1126" s="282"/>
    </row>
    <row r="1127" spans="1:7" ht="14.25">
      <c r="A1127" s="413"/>
      <c r="B1127" s="924" t="s">
        <v>86</v>
      </c>
      <c r="C1127" s="14"/>
      <c r="D1127" s="1596" t="s">
        <v>1821</v>
      </c>
      <c r="E1127" s="1596"/>
      <c r="F1127" s="1596"/>
    </row>
    <row r="1128" spans="1:7" ht="12.75">
      <c r="A1128" s="140"/>
      <c r="B1128" s="140"/>
      <c r="C1128" s="14"/>
      <c r="D1128" s="1596"/>
      <c r="E1128" s="1596"/>
      <c r="F1128" s="1596"/>
    </row>
    <row r="1129" spans="1:7" ht="12.75">
      <c r="A1129" s="140"/>
      <c r="B1129" s="140"/>
      <c r="C1129" s="14"/>
      <c r="E1129" s="282"/>
      <c r="F1129" s="282"/>
    </row>
    <row r="1130" spans="1:7" ht="14.25">
      <c r="A1130" s="413"/>
      <c r="B1130" s="924" t="s">
        <v>86</v>
      </c>
      <c r="C1130" s="14"/>
      <c r="D1130" s="1596" t="s">
        <v>1822</v>
      </c>
      <c r="E1130" s="1596"/>
      <c r="F1130" s="1596"/>
    </row>
    <row r="1131" spans="1:7" ht="12.75">
      <c r="A1131" s="140"/>
      <c r="B1131" s="140"/>
      <c r="C1131" s="14"/>
      <c r="D1131" s="1596"/>
      <c r="E1131" s="1596"/>
      <c r="F1131" s="1596"/>
    </row>
    <row r="1132" spans="1:7" ht="12.75">
      <c r="A1132" s="140"/>
      <c r="B1132" s="140"/>
      <c r="C1132" s="14"/>
      <c r="D1132" s="282"/>
      <c r="E1132" s="282"/>
      <c r="F1132" s="282"/>
    </row>
    <row r="1133" spans="1:7" ht="12.75">
      <c r="A1133" s="140"/>
      <c r="B1133" s="140"/>
      <c r="C1133" s="14"/>
      <c r="D1133" s="1562" t="s">
        <v>1625</v>
      </c>
      <c r="E1133" s="1562"/>
      <c r="F1133" s="1562"/>
    </row>
    <row r="1134" spans="1:7" ht="12.75">
      <c r="A1134" s="996"/>
      <c r="B1134" s="996"/>
      <c r="C1134" s="14"/>
      <c r="D1134" s="991"/>
      <c r="E1134" s="282"/>
      <c r="F1134" s="282"/>
    </row>
    <row r="1135" spans="1:7" ht="14.25">
      <c r="A1135" s="413"/>
      <c r="B1135" s="924" t="s">
        <v>86</v>
      </c>
      <c r="C1135" s="14"/>
      <c r="D1135" s="1555" t="s">
        <v>1823</v>
      </c>
      <c r="E1135" s="1555"/>
      <c r="F1135" s="1555"/>
    </row>
    <row r="1136" spans="1:7" ht="12.75">
      <c r="A1136" s="140"/>
      <c r="B1136" s="140"/>
      <c r="C1136" s="14"/>
      <c r="D1136" s="282"/>
      <c r="E1136" s="282"/>
      <c r="F1136" s="282"/>
    </row>
    <row r="1137" spans="1:7" ht="14.25">
      <c r="A1137" s="413"/>
      <c r="B1137" s="924" t="s">
        <v>86</v>
      </c>
      <c r="C1137" s="14"/>
      <c r="D1137" s="1553" t="s">
        <v>1824</v>
      </c>
      <c r="E1137" s="1553"/>
      <c r="F1137" s="1553"/>
    </row>
    <row r="1138" spans="1:7" ht="14.25">
      <c r="A1138" s="413"/>
      <c r="B1138" s="413"/>
      <c r="C1138" s="14"/>
      <c r="D1138" s="1553"/>
      <c r="E1138" s="1553"/>
      <c r="F1138" s="1553"/>
    </row>
    <row r="1139" spans="1:7" ht="14.25">
      <c r="A1139" s="413"/>
      <c r="B1139" s="413"/>
      <c r="C1139" s="14"/>
      <c r="D1139" s="1000"/>
      <c r="E1139" s="1000"/>
      <c r="F1139" s="1000"/>
      <c r="G1139" s="2"/>
    </row>
    <row r="1140" spans="1:7" ht="12.75">
      <c r="A1140" s="1002"/>
      <c r="B1140" s="1002"/>
      <c r="C1140" s="14"/>
      <c r="D1140" s="1562" t="s">
        <v>1834</v>
      </c>
      <c r="E1140" s="1562"/>
      <c r="F1140" s="1562"/>
      <c r="G1140" s="2"/>
    </row>
    <row r="1141" spans="1:7" ht="12.75">
      <c r="A1141" s="1002"/>
      <c r="B1141" s="1002"/>
      <c r="C1141" s="14"/>
      <c r="D1141" s="1001"/>
      <c r="E1141" s="282"/>
      <c r="F1141" s="282"/>
      <c r="G1141" s="2"/>
    </row>
    <row r="1142" spans="1:7" ht="14.45" customHeight="1">
      <c r="A1142" s="413"/>
      <c r="B1142" s="1003" t="s">
        <v>86</v>
      </c>
      <c r="C1142" s="14"/>
      <c r="D1142" s="1587" t="s">
        <v>1922</v>
      </c>
      <c r="E1142" s="1553"/>
      <c r="F1142" s="1553"/>
      <c r="G1142" s="2"/>
    </row>
    <row r="1143" spans="1:7" ht="14.25">
      <c r="A1143" s="413"/>
      <c r="B1143" s="413"/>
      <c r="C1143" s="14"/>
      <c r="D1143" s="1553"/>
      <c r="E1143" s="1553"/>
      <c r="F1143" s="1553"/>
      <c r="G1143" s="2"/>
    </row>
    <row r="1144" spans="1:7" ht="14.25">
      <c r="A1144" s="413"/>
      <c r="B1144" s="413"/>
      <c r="C1144" s="14"/>
      <c r="D1144" s="1553"/>
      <c r="E1144" s="1553"/>
      <c r="F1144" s="1553"/>
      <c r="G1144" s="2"/>
    </row>
    <row r="1145" spans="1:7" ht="14.25">
      <c r="A1145" s="413"/>
      <c r="B1145" s="413"/>
      <c r="C1145" s="14"/>
      <c r="D1145" s="1553"/>
      <c r="E1145" s="1553"/>
      <c r="F1145" s="1553"/>
      <c r="G1145" s="2"/>
    </row>
    <row r="1146" spans="1:7" ht="14.25">
      <c r="A1146" s="413"/>
      <c r="B1146" s="413"/>
      <c r="C1146" s="14"/>
      <c r="D1146" s="1553"/>
      <c r="E1146" s="1553"/>
      <c r="F1146" s="1553"/>
      <c r="G1146" s="2"/>
    </row>
    <row r="1147" spans="1:7" ht="14.25">
      <c r="A1147" s="413"/>
      <c r="B1147" s="413"/>
      <c r="C1147" s="14"/>
      <c r="D1147" s="1553"/>
      <c r="E1147" s="1553"/>
      <c r="F1147" s="1553"/>
      <c r="G1147" s="2"/>
    </row>
    <row r="1148" spans="1:7" ht="14.25">
      <c r="A1148" s="413"/>
      <c r="B1148" s="413"/>
      <c r="C1148" s="14"/>
      <c r="D1148" s="1553"/>
      <c r="E1148" s="1553"/>
      <c r="F1148" s="1553"/>
      <c r="G1148" s="2"/>
    </row>
    <row r="1149" spans="1:7" ht="14.25">
      <c r="A1149" s="413"/>
      <c r="B1149" s="413"/>
      <c r="C1149" s="14"/>
      <c r="D1149" s="1553"/>
      <c r="E1149" s="1553"/>
      <c r="F1149" s="1553"/>
      <c r="G1149" s="2"/>
    </row>
    <row r="1150" spans="1:7" ht="14.25">
      <c r="A1150" s="413"/>
      <c r="B1150" s="413"/>
      <c r="C1150" s="14"/>
      <c r="D1150" s="1553"/>
      <c r="E1150" s="1553"/>
      <c r="F1150" s="1553"/>
      <c r="G1150" s="2"/>
    </row>
    <row r="1151" spans="1:7" ht="14.25">
      <c r="A1151" s="413"/>
      <c r="B1151" s="413"/>
      <c r="C1151" s="14"/>
      <c r="D1151" s="1553"/>
      <c r="E1151" s="1553"/>
      <c r="F1151" s="1553"/>
      <c r="G1151" s="2"/>
    </row>
    <row r="1152" spans="1:7" ht="14.25">
      <c r="A1152" s="413"/>
      <c r="B1152" s="413"/>
      <c r="C1152" s="14"/>
      <c r="D1152" s="1553"/>
      <c r="E1152" s="1553"/>
      <c r="F1152" s="1553"/>
      <c r="G1152" s="2"/>
    </row>
    <row r="1153" spans="1:7" ht="14.25">
      <c r="A1153" s="413"/>
      <c r="B1153" s="413"/>
      <c r="C1153" s="14"/>
      <c r="D1153" s="1553"/>
      <c r="E1153" s="1553"/>
      <c r="F1153" s="1553"/>
      <c r="G1153" s="2"/>
    </row>
    <row r="1154" spans="1:7" ht="14.25">
      <c r="A1154" s="413"/>
      <c r="B1154" s="413"/>
      <c r="C1154" s="14"/>
      <c r="D1154" s="1553"/>
      <c r="E1154" s="1553"/>
      <c r="F1154" s="1553"/>
      <c r="G1154" s="2"/>
    </row>
    <row r="1155" spans="1:7" ht="14.25">
      <c r="A1155" s="413"/>
      <c r="B1155" s="413"/>
      <c r="C1155" s="14"/>
      <c r="D1155" s="1553"/>
      <c r="E1155" s="1553"/>
      <c r="F1155" s="1553"/>
    </row>
    <row r="1156" spans="1:7" ht="12.75">
      <c r="A1156" s="140"/>
      <c r="B1156" s="140"/>
      <c r="C1156" s="14"/>
      <c r="D1156" s="282"/>
      <c r="E1156" s="282"/>
      <c r="F1156" s="282"/>
    </row>
    <row r="1157" spans="1:7" ht="12.75">
      <c r="A1157" s="1561" t="s">
        <v>1527</v>
      </c>
      <c r="B1157" s="1561"/>
      <c r="C1157" s="1561"/>
      <c r="D1157" s="1561"/>
      <c r="E1157" s="1561"/>
      <c r="F1157" s="1561"/>
      <c r="G1157" s="1561"/>
    </row>
    <row r="1158" spans="1:7" ht="12.75">
      <c r="A1158" s="143"/>
      <c r="B1158" s="143"/>
      <c r="C1158" s="14"/>
      <c r="D1158" s="282"/>
      <c r="E1158" s="282"/>
      <c r="F1158" s="282"/>
    </row>
    <row r="1159" spans="1:7" ht="12.75">
      <c r="A1159" s="140"/>
      <c r="B1159" s="140"/>
      <c r="C1159" s="322"/>
      <c r="D1159" s="1562" t="s">
        <v>1825</v>
      </c>
      <c r="E1159" s="1562"/>
      <c r="F1159" s="1562"/>
    </row>
    <row r="1160" spans="1:7" ht="12.75">
      <c r="A1160" s="414"/>
      <c r="B1160" s="414"/>
      <c r="C1160" s="298"/>
      <c r="D1160" s="1554" t="s">
        <v>1629</v>
      </c>
      <c r="E1160" s="1555"/>
      <c r="F1160" s="1555"/>
    </row>
    <row r="1161" spans="1:7" ht="12.75">
      <c r="A1161" s="414"/>
      <c r="B1161" s="414"/>
      <c r="C1161" s="298"/>
      <c r="D1161" s="282"/>
      <c r="E1161" s="282"/>
      <c r="F1161" s="296"/>
      <c r="G1161" s="2"/>
    </row>
    <row r="1162" spans="1:7" ht="13.7" customHeight="1">
      <c r="A1162" s="140"/>
      <c r="B1162" s="924" t="s">
        <v>1499</v>
      </c>
      <c r="C1162" s="14"/>
      <c r="D1162" s="1550" t="s">
        <v>2327</v>
      </c>
      <c r="E1162" s="1550"/>
      <c r="F1162" s="1550"/>
      <c r="G1162" s="2"/>
    </row>
    <row r="1163" spans="1:7" ht="12.75">
      <c r="A1163" s="140"/>
      <c r="B1163" s="140"/>
      <c r="C1163" s="14"/>
      <c r="D1163" s="1550"/>
      <c r="E1163" s="1550"/>
      <c r="F1163" s="1550"/>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549" t="s">
        <v>2326</v>
      </c>
      <c r="E1166" s="1549"/>
      <c r="F1166" s="1549"/>
      <c r="G1166" s="2"/>
    </row>
    <row r="1167" spans="1:7" ht="12.75">
      <c r="A1167" s="415"/>
      <c r="B1167" s="415"/>
      <c r="C1167" s="299"/>
      <c r="D1167" s="1549"/>
      <c r="E1167" s="1549"/>
      <c r="F1167" s="1549"/>
      <c r="G1167" s="2"/>
    </row>
    <row r="1168" spans="1:7" ht="14.45" customHeight="1">
      <c r="A1168" s="415"/>
      <c r="B1168" s="415"/>
      <c r="C1168" s="299"/>
      <c r="D1168" s="1549"/>
      <c r="E1168" s="1549"/>
      <c r="F1168" s="1549"/>
      <c r="G1168" s="2"/>
    </row>
    <row r="1169" spans="1:7" ht="12.75">
      <c r="A1169" s="415"/>
      <c r="B1169" s="415"/>
      <c r="C1169" s="299"/>
      <c r="D1169" s="990"/>
      <c r="E1169" s="990"/>
      <c r="F1169" s="990"/>
      <c r="G1169" s="2"/>
    </row>
    <row r="1170" spans="1:7" ht="12.75">
      <c r="A1170" s="415"/>
      <c r="B1170" s="1007" t="s">
        <v>135</v>
      </c>
      <c r="C1170" s="299"/>
      <c r="D1170" s="1596" t="s">
        <v>1835</v>
      </c>
      <c r="E1170" s="1596"/>
      <c r="F1170" s="1596"/>
      <c r="G1170" s="2"/>
    </row>
    <row r="1171" spans="1:7" ht="12.75">
      <c r="A1171" s="415"/>
      <c r="B1171" s="415"/>
      <c r="C1171" s="299"/>
      <c r="D1171" s="1596"/>
      <c r="E1171" s="1596"/>
      <c r="F1171" s="1596"/>
      <c r="G1171" s="2"/>
    </row>
    <row r="1172" spans="1:7" ht="12.75">
      <c r="A1172" s="415"/>
      <c r="B1172" s="415"/>
      <c r="C1172" s="299"/>
      <c r="D1172" s="1596"/>
      <c r="E1172" s="1596"/>
      <c r="F1172" s="1596"/>
      <c r="G1172" s="2"/>
    </row>
    <row r="1173" spans="1:7" ht="12.75">
      <c r="A1173" s="415"/>
      <c r="B1173" s="415"/>
      <c r="C1173" s="299"/>
      <c r="D1173" s="1596"/>
      <c r="E1173" s="1596"/>
      <c r="F1173" s="1596"/>
      <c r="G1173" s="2"/>
    </row>
    <row r="1174" spans="1:7" ht="12.75">
      <c r="A1174" s="415"/>
      <c r="B1174" s="415"/>
      <c r="C1174" s="299"/>
      <c r="D1174" s="1067"/>
      <c r="E1174" s="1067"/>
      <c r="F1174" s="1067"/>
      <c r="G1174" s="2"/>
    </row>
    <row r="1175" spans="1:7" ht="12.75">
      <c r="A1175" s="415"/>
      <c r="B1175" s="1068" t="s">
        <v>135</v>
      </c>
      <c r="C1175" s="299"/>
      <c r="D1175" s="1563" t="s">
        <v>1923</v>
      </c>
      <c r="E1175" s="1596"/>
      <c r="F1175" s="1596"/>
      <c r="G1175" s="2"/>
    </row>
    <row r="1176" spans="1:7" ht="12.75">
      <c r="A1176" s="415"/>
      <c r="B1176" s="415"/>
      <c r="C1176" s="299"/>
      <c r="D1176" s="1596"/>
      <c r="E1176" s="1596"/>
      <c r="F1176" s="1596"/>
      <c r="G1176" s="2"/>
    </row>
    <row r="1177" spans="1:7" ht="12.75">
      <c r="A1177" s="415"/>
      <c r="B1177" s="415"/>
      <c r="C1177" s="299"/>
      <c r="D1177" s="1067"/>
      <c r="E1177" s="1067"/>
      <c r="F1177" s="1067"/>
      <c r="G1177" s="2"/>
    </row>
    <row r="1178" spans="1:7" ht="14.25">
      <c r="A1178" s="413"/>
      <c r="B1178" s="924" t="s">
        <v>135</v>
      </c>
      <c r="C1178" s="14"/>
      <c r="D1178" s="1555" t="s">
        <v>1826</v>
      </c>
      <c r="E1178" s="1555"/>
      <c r="F1178" s="1555"/>
      <c r="G1178" s="2"/>
    </row>
    <row r="1179" spans="1:7" ht="12.75">
      <c r="A1179" s="140"/>
      <c r="B1179" s="140"/>
      <c r="C1179" s="14"/>
      <c r="D1179" s="282"/>
      <c r="E1179" s="282"/>
      <c r="F1179" s="282"/>
      <c r="G1179" s="2"/>
    </row>
    <row r="1180" spans="1:7" ht="14.25">
      <c r="A1180" s="413"/>
      <c r="B1180" s="924" t="s">
        <v>135</v>
      </c>
      <c r="C1180" s="14"/>
      <c r="D1180" s="1555" t="s">
        <v>1827</v>
      </c>
      <c r="E1180" s="1555"/>
      <c r="F1180" s="1555"/>
      <c r="G1180" s="2"/>
    </row>
    <row r="1181" spans="1:7" ht="12.75">
      <c r="A1181" s="140"/>
      <c r="B1181" s="140"/>
      <c r="C1181" s="14"/>
      <c r="D1181" s="287"/>
      <c r="E1181" s="282"/>
      <c r="F1181" s="282"/>
      <c r="G1181" s="2"/>
    </row>
    <row r="1182" spans="1:7" ht="14.25">
      <c r="A1182" s="413"/>
      <c r="B1182" s="924" t="s">
        <v>1499</v>
      </c>
      <c r="C1182" s="14"/>
      <c r="D1182" s="1555" t="s">
        <v>1828</v>
      </c>
      <c r="E1182" s="1555"/>
      <c r="F1182" s="1555"/>
      <c r="G1182" s="2"/>
    </row>
    <row r="1183" spans="1:7" ht="12.75">
      <c r="A1183" s="140"/>
      <c r="B1183" s="140"/>
      <c r="C1183" s="14"/>
      <c r="D1183" s="287"/>
      <c r="E1183" s="282"/>
      <c r="F1183" s="282"/>
      <c r="G1183" s="2"/>
    </row>
    <row r="1184" spans="1:7" ht="14.25">
      <c r="A1184" s="413"/>
      <c r="B1184" s="924" t="s">
        <v>1499</v>
      </c>
      <c r="C1184" s="14"/>
      <c r="D1184" s="1553" t="s">
        <v>1829</v>
      </c>
      <c r="E1184" s="1553"/>
      <c r="F1184" s="1553"/>
      <c r="G1184" s="2"/>
    </row>
    <row r="1185" spans="1:7" ht="14.25">
      <c r="A1185" s="413"/>
      <c r="B1185" s="413"/>
      <c r="C1185" s="14"/>
      <c r="D1185" s="1553"/>
      <c r="E1185" s="1553"/>
      <c r="F1185" s="1553"/>
      <c r="G1185" s="2"/>
    </row>
    <row r="1186" spans="1:7" ht="14.25">
      <c r="A1186" s="413"/>
      <c r="B1186" s="413"/>
      <c r="C1186" s="14"/>
      <c r="D1186" s="287"/>
      <c r="E1186" s="282"/>
      <c r="F1186" s="282"/>
    </row>
    <row r="1187" spans="1:7" s="685" customFormat="1" ht="14.25">
      <c r="A1187" s="448"/>
      <c r="B1187" s="924" t="s">
        <v>135</v>
      </c>
      <c r="C1187" s="449"/>
      <c r="D1187" s="1604" t="s">
        <v>1830</v>
      </c>
      <c r="E1187" s="1604"/>
      <c r="F1187" s="1604"/>
      <c r="G1187" s="686"/>
    </row>
    <row r="1188" spans="1:7" s="685" customFormat="1" ht="12.75">
      <c r="A1188" s="449"/>
      <c r="B1188" s="449"/>
      <c r="C1188" s="449"/>
      <c r="D1188" s="1604"/>
      <c r="E1188" s="1604"/>
      <c r="F1188" s="1604"/>
      <c r="G1188" s="686"/>
    </row>
    <row r="1189" spans="1:7" s="685" customFormat="1" ht="12.75">
      <c r="A1189" s="449"/>
      <c r="B1189" s="449"/>
      <c r="C1189" s="449"/>
      <c r="D1189" s="450"/>
      <c r="E1189" s="451"/>
      <c r="F1189" s="451"/>
      <c r="G1189" s="686"/>
    </row>
    <row r="1190" spans="1:7" s="685" customFormat="1" ht="14.25">
      <c r="A1190" s="448"/>
      <c r="B1190" s="924" t="s">
        <v>135</v>
      </c>
      <c r="C1190" s="449"/>
      <c r="D1190" s="1653" t="s">
        <v>1831</v>
      </c>
      <c r="E1190" s="1653"/>
      <c r="F1190" s="1653"/>
      <c r="G1190" s="686"/>
    </row>
    <row r="1191" spans="1:7" s="685" customFormat="1" ht="12.75">
      <c r="A1191" s="449"/>
      <c r="B1191" s="449"/>
      <c r="C1191" s="449"/>
      <c r="D1191" s="450"/>
      <c r="E1191" s="451"/>
      <c r="F1191" s="451"/>
      <c r="G1191" s="686"/>
    </row>
    <row r="1192" spans="1:7" ht="14.25">
      <c r="A1192" s="413"/>
      <c r="B1192" s="924" t="s">
        <v>135</v>
      </c>
      <c r="C1192" s="14"/>
      <c r="D1192" s="1555" t="s">
        <v>1832</v>
      </c>
      <c r="E1192" s="1555"/>
      <c r="F1192" s="1555"/>
    </row>
    <row r="1193" spans="1:7" ht="14.25">
      <c r="A1193" s="413"/>
      <c r="B1193" s="413"/>
      <c r="C1193" s="14"/>
      <c r="D1193" s="287"/>
      <c r="E1193" s="282"/>
      <c r="F1193" s="282"/>
    </row>
    <row r="1194" spans="1:7" ht="14.25">
      <c r="A1194" s="413"/>
      <c r="B1194" s="924" t="s">
        <v>135</v>
      </c>
      <c r="C1194" s="14"/>
      <c r="D1194" s="1553" t="s">
        <v>1833</v>
      </c>
      <c r="E1194" s="1553"/>
      <c r="F1194" s="1553"/>
    </row>
    <row r="1195" spans="1:7" ht="14.25">
      <c r="A1195" s="413"/>
      <c r="B1195" s="413"/>
      <c r="C1195" s="14"/>
      <c r="D1195" s="1553"/>
      <c r="E1195" s="1553"/>
      <c r="F1195" s="1553"/>
    </row>
    <row r="1196" spans="1:7" ht="12.75">
      <c r="A1196" s="140"/>
      <c r="B1196" s="140"/>
      <c r="C1196" s="14"/>
      <c r="D1196" s="282"/>
      <c r="E1196" s="282"/>
      <c r="F1196" s="282"/>
    </row>
    <row r="1197" spans="1:7" ht="12.75">
      <c r="A1197" s="1561" t="s">
        <v>2230</v>
      </c>
      <c r="B1197" s="1561"/>
      <c r="C1197" s="1561"/>
      <c r="D1197" s="1561"/>
      <c r="E1197" s="1561"/>
      <c r="F1197" s="1561"/>
      <c r="G1197" s="1561"/>
    </row>
    <row r="1198" spans="1:7" ht="12.75">
      <c r="A1198" s="140"/>
      <c r="B1198" s="140"/>
      <c r="C1198" s="14"/>
      <c r="D1198" s="282"/>
      <c r="E1198" s="282"/>
      <c r="F1198" s="282"/>
    </row>
    <row r="1199" spans="1:7" ht="12.75">
      <c r="A1199" s="1561" t="s">
        <v>1528</v>
      </c>
      <c r="B1199" s="1561"/>
      <c r="C1199" s="1561"/>
      <c r="D1199" s="1561"/>
      <c r="E1199" s="1561"/>
      <c r="F1199" s="1561"/>
      <c r="G1199" s="1561"/>
    </row>
    <row r="1200" spans="1:7" ht="12.75">
      <c r="A1200" s="140"/>
      <c r="B1200" s="140"/>
      <c r="C1200" s="14"/>
      <c r="D1200" s="282"/>
      <c r="E1200" s="282"/>
      <c r="F1200" s="282"/>
    </row>
    <row r="1201" spans="1:7" ht="12.75">
      <c r="A1201" s="150"/>
      <c r="B1201" s="150"/>
      <c r="D1201" s="1615" t="s">
        <v>1649</v>
      </c>
      <c r="E1201" s="1615"/>
      <c r="F1201" s="1615"/>
    </row>
    <row r="1202" spans="1:7" ht="12.75">
      <c r="A1202" s="150"/>
      <c r="B1202" s="150"/>
      <c r="D1202" s="1616" t="s">
        <v>2117</v>
      </c>
      <c r="E1202" s="1616"/>
      <c r="F1202" s="1616"/>
    </row>
    <row r="1203" spans="1:7" ht="12.75">
      <c r="A1203" s="430"/>
      <c r="B1203" s="430"/>
      <c r="C1203" s="406"/>
    </row>
    <row r="1204" spans="1:7" ht="14.25">
      <c r="A1204" s="413"/>
      <c r="B1204" s="413"/>
      <c r="C1204" s="299"/>
      <c r="D1204" s="1615" t="s">
        <v>1650</v>
      </c>
      <c r="E1204" s="1615"/>
      <c r="F1204" s="1615"/>
    </row>
    <row r="1205" spans="1:7" ht="12.75">
      <c r="A1205" s="140"/>
      <c r="B1205" s="924" t="s">
        <v>1499</v>
      </c>
      <c r="C1205" s="14"/>
      <c r="D1205" s="1618" t="s">
        <v>1651</v>
      </c>
      <c r="E1205" s="1618"/>
      <c r="F1205" s="1618"/>
    </row>
    <row r="1206" spans="1:7" ht="12.75">
      <c r="A1206" s="140"/>
      <c r="B1206" s="140"/>
      <c r="C1206" s="14"/>
      <c r="D1206" s="1616" t="s">
        <v>2118</v>
      </c>
      <c r="E1206" s="1616"/>
      <c r="F1206" s="1616"/>
    </row>
    <row r="1207" spans="1:7" ht="12.75">
      <c r="A1207" s="150"/>
      <c r="B1207" s="150"/>
      <c r="G1207" s="2"/>
    </row>
    <row r="1208" spans="1:7" ht="12.75" customHeight="1">
      <c r="A1208" s="150"/>
      <c r="B1208" s="1262" t="s">
        <v>86</v>
      </c>
      <c r="D1208" s="1573" t="s">
        <v>2009</v>
      </c>
      <c r="E1208" s="1573"/>
      <c r="F1208" s="1573"/>
      <c r="G1208" s="2"/>
    </row>
    <row r="1209" spans="1:7" ht="12.75">
      <c r="A1209" s="150"/>
      <c r="B1209" s="150"/>
      <c r="D1209" s="1573"/>
      <c r="E1209" s="1573"/>
      <c r="F1209" s="1573"/>
      <c r="G1209" s="2"/>
    </row>
    <row r="1210" spans="1:7" ht="12.75">
      <c r="A1210" s="150"/>
      <c r="B1210" s="150"/>
      <c r="G1210" s="2"/>
    </row>
    <row r="1211" spans="1:7" ht="12.75" customHeight="1">
      <c r="A1211" s="150"/>
      <c r="B1211" s="150"/>
    </row>
    <row r="1212" spans="1:7" ht="12.75">
      <c r="A1212" s="1601" t="s">
        <v>1530</v>
      </c>
      <c r="B1212" s="1601"/>
      <c r="C1212" s="1601"/>
      <c r="D1212" s="1601"/>
      <c r="E1212" s="1601"/>
      <c r="F1212" s="1601"/>
      <c r="G1212" s="1601"/>
    </row>
    <row r="1213" spans="1:7" ht="12.75">
      <c r="A1213" s="76"/>
      <c r="B1213" s="76"/>
      <c r="C1213" s="285"/>
      <c r="D1213" s="288"/>
      <c r="E1213" s="288"/>
      <c r="F1213" s="288"/>
      <c r="G1213" s="288"/>
    </row>
    <row r="1214" spans="1:7" ht="12.75" customHeight="1">
      <c r="A1214" s="76"/>
      <c r="B1214" s="76"/>
      <c r="C1214" s="285"/>
      <c r="D1214" s="1613" t="s">
        <v>1529</v>
      </c>
      <c r="E1214" s="1613"/>
      <c r="F1214" s="1613"/>
      <c r="G1214" s="288"/>
    </row>
    <row r="1215" spans="1:7" ht="12.75" customHeight="1">
      <c r="A1215" s="76"/>
      <c r="B1215" s="76"/>
      <c r="C1215" s="285"/>
      <c r="D1215" s="1614" t="s">
        <v>1538</v>
      </c>
      <c r="E1215" s="1614"/>
      <c r="F1215" s="1614"/>
      <c r="G1215" s="288"/>
    </row>
    <row r="1216" spans="1:7" ht="12.75" customHeight="1">
      <c r="A1216" s="76"/>
      <c r="B1216" s="76"/>
      <c r="C1216" s="285"/>
      <c r="D1216" s="288"/>
      <c r="E1216" s="288"/>
      <c r="F1216" s="288"/>
      <c r="G1216" s="288"/>
    </row>
    <row r="1217" spans="1:7" ht="14.25">
      <c r="A1217" s="413"/>
      <c r="B1217" s="924" t="s">
        <v>135</v>
      </c>
      <c r="C1217" s="14"/>
      <c r="D1217" s="1560" t="s">
        <v>1097</v>
      </c>
      <c r="E1217" s="1560"/>
      <c r="F1217" s="1560"/>
    </row>
    <row r="1218" spans="1:7" ht="12.75">
      <c r="A1218" s="140"/>
      <c r="B1218" s="140"/>
      <c r="C1218" s="14"/>
      <c r="D1218" s="1555" t="s">
        <v>1225</v>
      </c>
      <c r="E1218" s="1555"/>
      <c r="F1218" s="1555"/>
    </row>
    <row r="1219" spans="1:7" ht="12.75">
      <c r="A1219" s="140"/>
      <c r="B1219" s="140"/>
      <c r="C1219" s="14"/>
      <c r="D1219" s="282"/>
      <c r="E1219" s="1581" t="s">
        <v>2329</v>
      </c>
      <c r="F1219" s="1581"/>
    </row>
    <row r="1220" spans="1:7" ht="12.75">
      <c r="A1220" s="140"/>
      <c r="B1220" s="140"/>
      <c r="C1220" s="14"/>
      <c r="D1220" s="6"/>
      <c r="E1220" s="282"/>
      <c r="F1220" s="282"/>
    </row>
    <row r="1221" spans="1:7" ht="12.75">
      <c r="A1221" s="140"/>
      <c r="B1221" s="140"/>
      <c r="C1221" s="14"/>
      <c r="D1221" s="1612" t="s">
        <v>1376</v>
      </c>
      <c r="E1221" s="1612"/>
      <c r="F1221" s="1612"/>
    </row>
    <row r="1222" spans="1:7" ht="12.75">
      <c r="A1222" s="140"/>
      <c r="B1222" s="924" t="s">
        <v>135</v>
      </c>
      <c r="C1222" s="140"/>
      <c r="D1222" s="1587" t="s">
        <v>2330</v>
      </c>
      <c r="E1222" s="1553"/>
      <c r="F1222" s="1553"/>
      <c r="G1222" s="2"/>
    </row>
    <row r="1223" spans="1:7" ht="12.75">
      <c r="A1223" s="140"/>
      <c r="B1223" s="140"/>
      <c r="C1223" s="14"/>
      <c r="D1223" s="1553"/>
      <c r="E1223" s="1553"/>
      <c r="F1223" s="1553"/>
      <c r="G1223" s="2"/>
    </row>
    <row r="1224" spans="1:7" ht="12.75">
      <c r="A1224" s="140"/>
      <c r="B1224" s="140"/>
      <c r="C1224" s="14"/>
      <c r="D1224" s="784" t="s">
        <v>1379</v>
      </c>
      <c r="E1224" s="2"/>
      <c r="F1224" s="2"/>
      <c r="G1224" s="2"/>
    </row>
    <row r="1225" spans="1:7" ht="13.7" customHeight="1">
      <c r="A1225" s="140"/>
      <c r="B1225" s="140"/>
      <c r="C1225" s="14"/>
      <c r="D1225" s="1587" t="s">
        <v>2331</v>
      </c>
      <c r="E1225" s="1553"/>
      <c r="F1225" s="1553"/>
      <c r="G1225" s="2"/>
    </row>
    <row r="1226" spans="1:7" ht="12.75">
      <c r="A1226" s="140"/>
      <c r="B1226" s="140"/>
      <c r="C1226" s="14"/>
      <c r="D1226" s="1553"/>
      <c r="E1226" s="1553"/>
      <c r="F1226" s="1553"/>
      <c r="G1226" s="2"/>
    </row>
    <row r="1227" spans="1:7" ht="12.75">
      <c r="A1227" s="140"/>
      <c r="B1227" s="140"/>
      <c r="C1227" s="14"/>
      <c r="D1227" s="1553"/>
      <c r="E1227" s="1553"/>
      <c r="F1227" s="1553"/>
      <c r="G1227" s="2"/>
    </row>
    <row r="1228" spans="1:7" ht="12.75">
      <c r="A1228" s="140"/>
      <c r="B1228" s="140"/>
      <c r="C1228" s="14"/>
      <c r="D1228" s="1553"/>
      <c r="E1228" s="1553"/>
      <c r="F1228" s="1553"/>
      <c r="G1228" s="2"/>
    </row>
    <row r="1229" spans="1:7" ht="12.75">
      <c r="A1229" s="140"/>
      <c r="B1229" s="140"/>
      <c r="C1229" s="14"/>
      <c r="D1229" s="1581" t="s">
        <v>1100</v>
      </c>
      <c r="E1229" s="1581"/>
      <c r="F1229" s="1581"/>
      <c r="G1229" s="2"/>
    </row>
    <row r="1230" spans="1:7" ht="12.75">
      <c r="A1230" s="140"/>
      <c r="B1230" s="924" t="s">
        <v>135</v>
      </c>
      <c r="C1230" s="140"/>
      <c r="D1230" s="1560" t="s">
        <v>1377</v>
      </c>
      <c r="E1230" s="1560"/>
      <c r="F1230" s="1560"/>
      <c r="G1230" s="2"/>
    </row>
    <row r="1231" spans="1:7" ht="12.75">
      <c r="A1231" s="140"/>
      <c r="B1231" s="140"/>
      <c r="C1231" s="14"/>
      <c r="D1231" s="282"/>
      <c r="E1231" s="2"/>
      <c r="F1231" s="2"/>
      <c r="G1231" s="2"/>
    </row>
    <row r="1232" spans="1:7" ht="12.75">
      <c r="A1232" s="140"/>
      <c r="B1232" s="140"/>
      <c r="C1232" s="14"/>
      <c r="D1232" s="1572" t="s">
        <v>1378</v>
      </c>
      <c r="E1232" s="1572"/>
      <c r="F1232" s="1572"/>
      <c r="G1232" s="2"/>
    </row>
    <row r="1233" spans="1:7" ht="12.75">
      <c r="A1233" s="140"/>
      <c r="B1233" s="140"/>
      <c r="C1233" s="14"/>
      <c r="D1233" s="6" t="s">
        <v>1098</v>
      </c>
      <c r="E1233" s="2"/>
      <c r="F1233" s="2"/>
      <c r="G1233" s="2"/>
    </row>
    <row r="1234" spans="1:7" ht="14.45" customHeight="1">
      <c r="A1234" s="413"/>
      <c r="B1234" s="924" t="s">
        <v>135</v>
      </c>
      <c r="C1234" s="140"/>
      <c r="D1234" s="1553" t="s">
        <v>1652</v>
      </c>
      <c r="E1234" s="1553"/>
      <c r="F1234" s="1553"/>
      <c r="G1234" s="2"/>
    </row>
    <row r="1235" spans="1:7" ht="14.25">
      <c r="A1235" s="413"/>
      <c r="B1235" s="413"/>
      <c r="C1235" s="140"/>
      <c r="D1235" s="1553"/>
      <c r="E1235" s="1553"/>
      <c r="F1235" s="1553"/>
      <c r="G1235" s="2"/>
    </row>
    <row r="1236" spans="1:7" ht="14.25">
      <c r="A1236" s="413"/>
      <c r="B1236" s="413"/>
      <c r="C1236" s="140"/>
      <c r="D1236" s="1553"/>
      <c r="E1236" s="1553"/>
      <c r="F1236" s="1553"/>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53" t="s">
        <v>1653</v>
      </c>
      <c r="E1239" s="1553"/>
      <c r="F1239" s="1553"/>
    </row>
    <row r="1240" spans="1:7" ht="14.25">
      <c r="A1240" s="413"/>
      <c r="B1240" s="413"/>
      <c r="C1240" s="14"/>
      <c r="D1240" s="1553"/>
      <c r="E1240" s="1553"/>
      <c r="F1240" s="1553"/>
    </row>
    <row r="1241" spans="1:7" ht="14.25">
      <c r="A1241" s="413"/>
      <c r="B1241" s="413"/>
      <c r="C1241" s="14"/>
      <c r="D1241" s="1553"/>
      <c r="E1241" s="1553"/>
      <c r="F1241" s="1553"/>
    </row>
    <row r="1242" spans="1:7" ht="14.25">
      <c r="A1242" s="413"/>
      <c r="B1242" s="413"/>
      <c r="C1242" s="14"/>
      <c r="D1242" s="1553"/>
      <c r="E1242" s="1553"/>
      <c r="F1242" s="1553"/>
    </row>
    <row r="1243" spans="1:7" ht="14.25">
      <c r="A1243" s="413"/>
      <c r="B1243" s="413"/>
      <c r="C1243" s="14"/>
      <c r="D1243" s="1553"/>
      <c r="E1243" s="1553"/>
      <c r="F1243" s="1553"/>
    </row>
    <row r="1244" spans="1:7" ht="12.75" customHeight="1">
      <c r="A1244" s="76"/>
      <c r="B1244" s="76"/>
      <c r="C1244" s="285"/>
      <c r="D1244" s="288"/>
      <c r="E1244" s="288"/>
      <c r="F1244" s="288"/>
      <c r="G1244" s="288"/>
    </row>
    <row r="1245" spans="1:7" ht="12.75">
      <c r="A1245" s="1601" t="s">
        <v>1567</v>
      </c>
      <c r="B1245" s="1601"/>
      <c r="C1245" s="1601"/>
      <c r="D1245" s="1601"/>
      <c r="E1245" s="1601"/>
      <c r="F1245" s="1601"/>
      <c r="G1245" s="1601"/>
    </row>
    <row r="1246" spans="1:7" ht="12.75">
      <c r="A1246" s="76"/>
      <c r="B1246" s="76"/>
      <c r="C1246" s="285"/>
      <c r="D1246" s="288"/>
      <c r="E1246" s="288"/>
      <c r="F1246" s="288"/>
      <c r="G1246" s="288"/>
    </row>
    <row r="1247" spans="1:7" ht="12.75">
      <c r="A1247" s="76"/>
      <c r="B1247" s="76"/>
      <c r="C1247" s="285"/>
      <c r="D1247" s="1597" t="s">
        <v>1568</v>
      </c>
      <c r="E1247" s="1597"/>
      <c r="F1247" s="1597"/>
      <c r="G1247" s="288"/>
    </row>
    <row r="1248" spans="1:7" ht="12.75">
      <c r="A1248" s="419"/>
      <c r="B1248" s="419"/>
      <c r="C1248" s="407"/>
      <c r="D1248" s="1598" t="s">
        <v>1584</v>
      </c>
      <c r="E1248" s="1598"/>
      <c r="F1248" s="1598"/>
      <c r="G1248" s="408"/>
    </row>
    <row r="1249" spans="1:7" ht="10.5" customHeight="1">
      <c r="A1249" s="150"/>
      <c r="B1249" s="150"/>
    </row>
    <row r="1250" spans="1:7" ht="14.25">
      <c r="A1250" s="413"/>
      <c r="B1250" s="924" t="s">
        <v>135</v>
      </c>
      <c r="D1250" s="1560" t="s">
        <v>1226</v>
      </c>
      <c r="E1250" s="1560"/>
      <c r="F1250" s="1560"/>
    </row>
    <row r="1251" spans="1:7" ht="12.75">
      <c r="A1251" s="150"/>
      <c r="B1251" s="150"/>
      <c r="D1251" s="282"/>
      <c r="E1251" s="1581" t="s">
        <v>2332</v>
      </c>
      <c r="F1251" s="1581"/>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zoomScale="120" zoomScaleNormal="120" workbookViewId="0">
      <selection sqref="A1:XFD135"/>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6" t="s">
        <v>860</v>
      </c>
      <c r="B9" s="1986"/>
      <c r="C9" s="1986"/>
      <c r="D9" s="1986"/>
      <c r="E9" s="1986"/>
      <c r="F9" s="1986"/>
      <c r="G9" s="1986"/>
      <c r="H9" s="1986"/>
      <c r="I9" s="1986"/>
      <c r="J9" s="1986"/>
      <c r="K9" s="1986"/>
      <c r="L9" s="1986"/>
      <c r="M9" s="1986"/>
      <c r="N9" s="1986"/>
      <c r="O9" s="1986"/>
      <c r="P9" s="1986"/>
      <c r="Q9" s="1986"/>
      <c r="R9" s="1986"/>
      <c r="S9" s="1986"/>
      <c r="T9" s="1986"/>
      <c r="U9" s="1986"/>
      <c r="V9" s="1986"/>
      <c r="W9" s="1986"/>
      <c r="X9" s="1986"/>
      <c r="Y9" s="1986"/>
      <c r="Z9" s="1986"/>
      <c r="AA9" s="1986"/>
      <c r="AB9" s="1986"/>
      <c r="AC9" s="1986"/>
      <c r="AD9" s="1986"/>
      <c r="AE9" s="1986"/>
      <c r="AF9" s="1986"/>
      <c r="AG9" s="1986"/>
      <c r="AH9" s="1986"/>
      <c r="AI9" s="1986"/>
      <c r="AJ9" s="1986"/>
      <c r="AK9" s="1986"/>
      <c r="AL9" s="1986"/>
    </row>
    <row r="10" spans="1:45" ht="15" customHeight="1">
      <c r="A10" s="1988" t="s">
        <v>2284</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45" s="622" customFormat="1" ht="12.75">
      <c r="A11" s="1989" t="s">
        <v>2337</v>
      </c>
      <c r="B11" s="1990"/>
      <c r="C11" s="1990"/>
      <c r="D11" s="1990"/>
      <c r="E11" s="1990"/>
      <c r="F11" s="1990"/>
      <c r="G11" s="1990"/>
      <c r="H11" s="1990"/>
      <c r="I11" s="1990"/>
      <c r="J11" s="1990"/>
      <c r="K11" s="1990"/>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c r="AH11" s="1990"/>
      <c r="AI11" s="1990"/>
      <c r="AJ11" s="1990"/>
      <c r="AK11" s="1990"/>
      <c r="AL11" s="1990"/>
    </row>
    <row r="12" spans="1:45" ht="12.75">
      <c r="A12" s="1518" t="s">
        <v>2068</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707" t="s">
        <v>2448</v>
      </c>
      <c r="I15" s="1707"/>
      <c r="J15" s="1707"/>
      <c r="K15" s="1707"/>
      <c r="L15" s="1707"/>
      <c r="M15" s="1707"/>
      <c r="N15" s="1707"/>
      <c r="O15" s="1707"/>
      <c r="P15" s="1707"/>
      <c r="Q15" s="1707"/>
      <c r="R15" s="1707"/>
      <c r="S15" s="1707"/>
      <c r="T15" s="1707"/>
      <c r="U15" s="1707"/>
      <c r="V15" s="1707"/>
      <c r="W15" s="1707"/>
      <c r="X15" s="1707"/>
      <c r="Y15" s="1707"/>
      <c r="Z15" s="1707"/>
      <c r="AA15" s="1707"/>
      <c r="AB15" s="1707"/>
      <c r="AC15" s="1707"/>
      <c r="AD15" s="1707"/>
      <c r="AE15" s="1707"/>
      <c r="AF15" s="1707"/>
      <c r="AG15" s="1707"/>
      <c r="AH15" s="1707"/>
      <c r="AI15" s="1707"/>
      <c r="AJ15" s="1707"/>
    </row>
    <row r="16" spans="1:45" ht="12.75" customHeight="1"/>
    <row r="17" spans="1:40" ht="12.75" customHeight="1">
      <c r="A17" s="142" t="s">
        <v>861</v>
      </c>
      <c r="C17" s="8"/>
      <c r="D17" s="8"/>
      <c r="E17" s="8"/>
      <c r="F17" s="8"/>
      <c r="G17" s="8"/>
      <c r="H17" s="1680" t="s">
        <v>2338</v>
      </c>
      <c r="I17" s="1699"/>
      <c r="J17" s="1699"/>
      <c r="K17" s="1699"/>
      <c r="L17" s="1699"/>
      <c r="M17" s="1699"/>
      <c r="N17" s="1699"/>
      <c r="O17" s="1699"/>
      <c r="P17" s="1699"/>
      <c r="Q17" s="1699"/>
      <c r="R17" s="1699"/>
      <c r="S17" s="1699"/>
      <c r="T17" s="1699"/>
      <c r="U17" s="1699"/>
      <c r="V17" s="1699"/>
      <c r="W17" s="1699"/>
      <c r="X17" s="1699"/>
      <c r="Y17" s="1699"/>
      <c r="Z17" s="1699"/>
      <c r="AA17" s="1699"/>
      <c r="AB17" s="1699"/>
      <c r="AC17" s="1699"/>
      <c r="AD17" s="1699"/>
      <c r="AE17" s="1699"/>
      <c r="AF17" s="1699"/>
      <c r="AG17" s="1699"/>
      <c r="AH17" s="1699"/>
      <c r="AI17" s="1699"/>
      <c r="AJ17" s="1699"/>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9" t="s">
        <v>1462</v>
      </c>
      <c r="B20" s="1999"/>
      <c r="C20" s="1999"/>
      <c r="D20" s="1999"/>
      <c r="E20" s="1999"/>
      <c r="F20" s="1999"/>
      <c r="G20" s="1999"/>
      <c r="H20" s="1999"/>
      <c r="I20" s="1999"/>
      <c r="J20" s="1999"/>
      <c r="K20" s="1999"/>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0">
        <f>ROUND('Basis &amp; Credits'!AB55,0)</f>
        <v>2480406</v>
      </c>
      <c r="N25" s="1980"/>
      <c r="O25" s="1980"/>
      <c r="P25" s="1980"/>
      <c r="Q25" s="1980"/>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0">
        <f>'Basis &amp; Credits'!AB76</f>
        <v>0</v>
      </c>
      <c r="N27" s="1980"/>
      <c r="O27" s="1980"/>
      <c r="P27" s="1980"/>
      <c r="Q27" s="1980"/>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77" t="s">
        <v>135</v>
      </c>
      <c r="P33" s="1677"/>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679">
        <v>30</v>
      </c>
      <c r="H128" s="1679"/>
      <c r="I128" s="72" t="s">
        <v>458</v>
      </c>
      <c r="J128" s="72"/>
      <c r="L128" s="1857" t="s">
        <v>2339</v>
      </c>
      <c r="M128" s="1858"/>
      <c r="N128" s="1858"/>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57" t="s">
        <v>2340</v>
      </c>
      <c r="D130" s="1858"/>
      <c r="E130" s="1858"/>
      <c r="F130" s="1858"/>
      <c r="G130" s="1858"/>
      <c r="H130" s="1858"/>
      <c r="I130" s="1858"/>
      <c r="J130" s="1858"/>
      <c r="K130" s="1858"/>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0" t="s">
        <v>2342</v>
      </c>
      <c r="Z131" s="1699"/>
      <c r="AA131" s="1699"/>
      <c r="AB131" s="1699"/>
      <c r="AC131" s="1699"/>
      <c r="AD131" s="1699"/>
      <c r="AE131" s="1699"/>
      <c r="AF131" s="1699"/>
      <c r="AG131" s="1699"/>
      <c r="AH131" s="1699"/>
      <c r="AI131" s="1699"/>
      <c r="AJ131" s="1699"/>
      <c r="AK131" s="169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80" t="s">
        <v>2341</v>
      </c>
      <c r="Z134" s="1699"/>
      <c r="AA134" s="1699"/>
      <c r="AB134" s="1699"/>
      <c r="AC134" s="1699"/>
      <c r="AD134" s="1699"/>
      <c r="AE134" s="1699"/>
      <c r="AF134" s="1699"/>
      <c r="AG134" s="1699"/>
      <c r="AH134" s="1699"/>
      <c r="AI134" s="1699"/>
      <c r="AJ134" s="1699"/>
      <c r="AK134" s="169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80" t="s">
        <v>2343</v>
      </c>
      <c r="P156" s="1699"/>
      <c r="Q156" s="1699"/>
      <c r="R156" s="1699"/>
      <c r="S156" s="1699"/>
      <c r="T156" s="1699"/>
      <c r="U156" s="1699"/>
      <c r="V156" s="1699"/>
      <c r="W156" s="1699"/>
      <c r="X156" s="1699"/>
      <c r="Y156" s="1699"/>
      <c r="Z156" s="1699"/>
      <c r="AA156" s="1699"/>
      <c r="AB156" s="1699"/>
      <c r="AC156" s="1699"/>
      <c r="AD156" s="1699"/>
      <c r="AE156" s="1699"/>
      <c r="AF156" s="1699"/>
      <c r="AG156" s="1699"/>
      <c r="AH156" s="1699"/>
      <c r="BT156" s="16" t="s">
        <v>86</v>
      </c>
    </row>
    <row r="157" spans="1:72" ht="12.75" customHeight="1">
      <c r="D157" s="711" t="s">
        <v>599</v>
      </c>
      <c r="F157" s="42"/>
      <c r="G157" s="42"/>
      <c r="H157" s="42"/>
      <c r="I157" s="42"/>
      <c r="J157" s="42"/>
      <c r="K157" s="42"/>
      <c r="L157" s="42"/>
      <c r="M157" s="42"/>
      <c r="N157" s="42"/>
      <c r="O157" s="1701" t="s">
        <v>2344</v>
      </c>
      <c r="P157" s="1675"/>
      <c r="Q157" s="1675"/>
      <c r="R157" s="1675"/>
      <c r="S157" s="1675"/>
      <c r="T157" s="1675"/>
      <c r="U157" s="1675"/>
      <c r="V157" s="1675"/>
      <c r="W157" s="1675"/>
      <c r="X157" s="1675"/>
      <c r="Y157" s="1675"/>
      <c r="Z157" s="1675"/>
      <c r="AA157" s="1675"/>
      <c r="AB157" s="1675"/>
      <c r="AC157" s="1675"/>
      <c r="AD157" s="1675"/>
      <c r="AE157" s="1675"/>
      <c r="AF157" s="1675"/>
      <c r="AG157" s="1675"/>
      <c r="AH157" s="1675"/>
      <c r="AI157" s="16" t="s">
        <v>771</v>
      </c>
      <c r="BN157" s="47" t="s">
        <v>468</v>
      </c>
      <c r="BT157" s="16" t="s">
        <v>32</v>
      </c>
    </row>
    <row r="158" spans="1:72" ht="12.75" customHeight="1">
      <c r="D158" s="17" t="s">
        <v>600</v>
      </c>
      <c r="F158" s="17"/>
      <c r="G158" s="17"/>
      <c r="H158" s="17"/>
      <c r="I158" s="17"/>
      <c r="J158" s="17"/>
      <c r="K158" s="17"/>
      <c r="L158" s="17"/>
      <c r="M158" s="17"/>
      <c r="N158" s="17"/>
      <c r="O158" s="1855" t="s">
        <v>601</v>
      </c>
      <c r="P158" s="1855"/>
      <c r="Q158" s="1855"/>
      <c r="R158" s="1855"/>
      <c r="S158" s="1855"/>
      <c r="T158" s="1855"/>
      <c r="U158" s="1855"/>
      <c r="V158" s="1855"/>
      <c r="W158" s="1855"/>
      <c r="X158" s="1855"/>
      <c r="Y158" s="1855"/>
      <c r="Z158" s="1855"/>
      <c r="AA158" s="1855"/>
      <c r="AB158" s="1855"/>
      <c r="AC158" s="1855"/>
      <c r="AD158" s="1855"/>
      <c r="AE158" s="1855"/>
      <c r="AF158" s="1855"/>
      <c r="AG158" s="1855"/>
      <c r="AH158" s="1855"/>
      <c r="BN158" s="47" t="s">
        <v>469</v>
      </c>
      <c r="BT158" s="16" t="s">
        <v>33</v>
      </c>
    </row>
    <row r="159" spans="1:72" ht="12.75" customHeight="1">
      <c r="D159" s="42" t="s">
        <v>709</v>
      </c>
      <c r="F159" s="42"/>
      <c r="G159" s="42"/>
      <c r="H159" s="42"/>
      <c r="I159" s="42"/>
      <c r="J159" s="42"/>
      <c r="K159" s="42"/>
      <c r="L159" s="42"/>
      <c r="M159" s="42"/>
      <c r="N159" s="42"/>
      <c r="O159" s="1664" t="s">
        <v>2345</v>
      </c>
      <c r="P159" s="1664"/>
      <c r="Q159" s="1664"/>
      <c r="R159" s="1664"/>
      <c r="S159" s="1664"/>
      <c r="T159" s="1664"/>
      <c r="U159" s="1664"/>
      <c r="V159" s="1664"/>
      <c r="W159" s="1664"/>
      <c r="X159" s="1664"/>
      <c r="Y159" s="1664"/>
      <c r="Z159" s="1664"/>
      <c r="AA159" s="1664"/>
      <c r="AB159" s="1664"/>
      <c r="AC159" s="1664"/>
      <c r="AD159" s="1664"/>
      <c r="AE159" s="1664"/>
      <c r="AF159" s="1664"/>
      <c r="AG159" s="1664"/>
      <c r="AH159" s="1664"/>
      <c r="BN159" s="47" t="s">
        <v>80</v>
      </c>
      <c r="BT159" s="16" t="s">
        <v>429</v>
      </c>
    </row>
    <row r="160" spans="1:72" ht="12.75" customHeight="1">
      <c r="D160" s="42" t="s">
        <v>710</v>
      </c>
      <c r="F160" s="42"/>
      <c r="G160" s="42"/>
      <c r="H160" s="42"/>
      <c r="I160" s="42"/>
      <c r="J160" s="42"/>
      <c r="K160" s="42"/>
      <c r="L160" s="42"/>
      <c r="M160" s="42"/>
      <c r="N160" s="42"/>
      <c r="O160" s="1680" t="s">
        <v>2346</v>
      </c>
      <c r="P160" s="1699"/>
      <c r="Q160" s="1699"/>
      <c r="R160" s="1699"/>
      <c r="S160" s="1699"/>
      <c r="T160" s="1699"/>
      <c r="U160" s="1699"/>
      <c r="V160" s="1699"/>
      <c r="W160" s="1699"/>
      <c r="X160" s="1699"/>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985">
        <v>94952</v>
      </c>
      <c r="P161" s="1985"/>
      <c r="Q161" s="1985"/>
      <c r="R161" s="198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52" t="s">
        <v>2347</v>
      </c>
      <c r="P162" s="1852"/>
      <c r="Q162" s="1852"/>
      <c r="R162" s="1852"/>
      <c r="S162" s="1852"/>
      <c r="T162" s="1852"/>
      <c r="V162" s="271" t="s">
        <v>12</v>
      </c>
      <c r="W162" s="1992"/>
      <c r="X162" s="1992"/>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52" t="s">
        <v>2348</v>
      </c>
      <c r="P163" s="1852"/>
      <c r="Q163" s="1852"/>
      <c r="R163" s="1852"/>
      <c r="S163" s="1852"/>
      <c r="T163" s="1852"/>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709" t="s">
        <v>2349</v>
      </c>
      <c r="P164" s="1709"/>
      <c r="Q164" s="1709"/>
      <c r="R164" s="1709"/>
      <c r="S164" s="1709"/>
      <c r="T164" s="1709"/>
      <c r="U164" s="1709"/>
      <c r="V164" s="1709"/>
      <c r="W164" s="1709"/>
      <c r="X164" s="1709"/>
      <c r="Y164" s="1709"/>
      <c r="Z164" s="1709"/>
      <c r="AA164" s="1709"/>
      <c r="AB164" s="1709"/>
      <c r="AC164" s="1709"/>
      <c r="AD164" s="1709"/>
      <c r="AE164" s="1709"/>
      <c r="AF164" s="1709"/>
      <c r="AG164" s="1709"/>
      <c r="AH164" s="170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4" t="s">
        <v>2126</v>
      </c>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705" t="s">
        <v>420</v>
      </c>
      <c r="B169" s="1705"/>
      <c r="C169" s="1705"/>
      <c r="D169" s="1705"/>
      <c r="E169" s="1705"/>
      <c r="F169" s="1705"/>
      <c r="G169" s="1705"/>
      <c r="H169" s="1705"/>
      <c r="I169" s="1705"/>
      <c r="J169" s="1705"/>
      <c r="K169" s="1705"/>
      <c r="L169" s="1705"/>
      <c r="M169" s="1705"/>
      <c r="N169" s="1705"/>
      <c r="O169" s="1705"/>
      <c r="P169" s="1705"/>
      <c r="Q169" s="1705"/>
      <c r="R169" s="1705"/>
      <c r="S169" s="1705"/>
      <c r="T169" s="1705"/>
      <c r="U169" s="1705"/>
      <c r="V169" s="1705"/>
      <c r="W169" s="1705"/>
      <c r="X169" s="1705"/>
      <c r="Y169" s="1705"/>
      <c r="Z169" s="1705"/>
      <c r="AA169" s="1705"/>
      <c r="AB169" s="1705"/>
      <c r="AC169" s="1705"/>
      <c r="AD169" s="1705"/>
      <c r="AE169" s="1705"/>
      <c r="AF169" s="1705"/>
      <c r="AG169" s="1705"/>
      <c r="AH169" s="1705"/>
      <c r="AI169" s="1705"/>
      <c r="AJ169" s="1705"/>
      <c r="AK169" s="1705"/>
      <c r="AL169" s="1705"/>
      <c r="BN169" s="47" t="s">
        <v>532</v>
      </c>
      <c r="BT169" s="16" t="s">
        <v>439</v>
      </c>
    </row>
    <row r="170" spans="1:72" ht="12.75" customHeight="1" thickBot="1">
      <c r="A170" s="1706"/>
      <c r="B170" s="1706"/>
      <c r="C170" s="1706"/>
      <c r="D170" s="1706"/>
      <c r="E170" s="1706"/>
      <c r="F170" s="1706"/>
      <c r="G170" s="1706"/>
      <c r="H170" s="1706"/>
      <c r="I170" s="1706"/>
      <c r="J170" s="1706"/>
      <c r="K170" s="1706"/>
      <c r="L170" s="1706"/>
      <c r="M170" s="1706"/>
      <c r="N170" s="1706"/>
      <c r="O170" s="1706"/>
      <c r="P170" s="1706"/>
      <c r="Q170" s="1706"/>
      <c r="R170" s="1706"/>
      <c r="S170" s="1706"/>
      <c r="T170" s="1706"/>
      <c r="U170" s="1706"/>
      <c r="V170" s="1706"/>
      <c r="W170" s="1706"/>
      <c r="X170" s="1706"/>
      <c r="Y170" s="1706"/>
      <c r="Z170" s="1706"/>
      <c r="AA170" s="1706"/>
      <c r="AB170" s="1706"/>
      <c r="AC170" s="1706"/>
      <c r="AD170" s="1706"/>
      <c r="AE170" s="1706"/>
      <c r="AF170" s="1706"/>
      <c r="AG170" s="1706"/>
      <c r="AH170" s="1706"/>
      <c r="AI170" s="1706"/>
      <c r="AJ170" s="1706"/>
      <c r="AK170" s="1706"/>
      <c r="AL170" s="1706"/>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56" t="s">
        <v>560</v>
      </c>
      <c r="K173" s="1856"/>
      <c r="L173" s="1856"/>
      <c r="M173" s="1856"/>
      <c r="N173" s="1856"/>
      <c r="O173" s="1856"/>
      <c r="P173" s="1856"/>
      <c r="Q173" s="1856"/>
      <c r="R173" s="1856"/>
      <c r="S173" s="1856"/>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77" t="s">
        <v>119</v>
      </c>
      <c r="V174" s="1677"/>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667">
        <v>22</v>
      </c>
      <c r="V175" s="1667"/>
      <c r="W175" s="4" t="s">
        <v>258</v>
      </c>
      <c r="X175" s="1859">
        <v>452</v>
      </c>
      <c r="Y175" s="1859"/>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77" t="s">
        <v>528</v>
      </c>
      <c r="V176" s="1677"/>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93"/>
      <c r="K178" s="1993"/>
      <c r="L178" s="758" t="s">
        <v>258</v>
      </c>
      <c r="M178" s="1698"/>
      <c r="N178" s="1698"/>
      <c r="O178" s="579"/>
      <c r="P178" s="579"/>
      <c r="Q178" s="579"/>
      <c r="R178" s="579"/>
      <c r="U178" s="720" t="s">
        <v>1334</v>
      </c>
      <c r="V178" s="579"/>
      <c r="W178" s="759"/>
      <c r="X178" s="759"/>
      <c r="Y178" s="759"/>
      <c r="Z178" s="759"/>
      <c r="AA178" s="759"/>
      <c r="AB178" s="759"/>
      <c r="AD178" s="1994"/>
      <c r="AE178" s="1994"/>
      <c r="AF178" s="1994"/>
      <c r="AG178" s="1994"/>
      <c r="AH178" s="1994"/>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77" t="s">
        <v>528</v>
      </c>
      <c r="Z180" s="1853"/>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663" t="str">
        <f>H17</f>
        <v xml:space="preserve">Meridian at Corona Station </v>
      </c>
      <c r="J184" s="1663"/>
      <c r="K184" s="1663"/>
      <c r="L184" s="1663"/>
      <c r="M184" s="1663"/>
      <c r="N184" s="1663"/>
      <c r="O184" s="1663"/>
      <c r="P184" s="1663"/>
      <c r="Q184" s="1663"/>
      <c r="R184" s="1663"/>
      <c r="S184" s="1663"/>
      <c r="T184" s="1663"/>
      <c r="U184" s="1663"/>
      <c r="V184" s="1663"/>
      <c r="W184" s="1663"/>
      <c r="X184" s="1663"/>
      <c r="Y184" s="1663"/>
      <c r="Z184" s="1663"/>
      <c r="AA184" s="1663"/>
      <c r="AB184" s="1663"/>
      <c r="AC184" s="1663"/>
      <c r="AD184" s="1663"/>
      <c r="AE184" s="1663"/>
      <c r="AF184" s="35"/>
      <c r="AH184" s="35"/>
      <c r="AJ184" s="3"/>
      <c r="AK184" s="3"/>
      <c r="AL184" s="3"/>
      <c r="BC184" s="35" t="s">
        <v>131</v>
      </c>
      <c r="BN184" s="47" t="s">
        <v>631</v>
      </c>
      <c r="BT184" s="16" t="s">
        <v>454</v>
      </c>
    </row>
    <row r="185" spans="1:72" ht="12.75">
      <c r="A185" s="35"/>
      <c r="C185" s="58"/>
      <c r="D185" s="35" t="s">
        <v>475</v>
      </c>
      <c r="E185" s="35"/>
      <c r="F185" s="35"/>
      <c r="G185" s="35"/>
      <c r="H185" s="35"/>
      <c r="I185" s="1701" t="s">
        <v>2350</v>
      </c>
      <c r="J185" s="1676"/>
      <c r="K185" s="1676"/>
      <c r="L185" s="1676"/>
      <c r="M185" s="1676"/>
      <c r="N185" s="1676"/>
      <c r="O185" s="1676"/>
      <c r="P185" s="1676"/>
      <c r="Q185" s="1676"/>
      <c r="R185" s="1676"/>
      <c r="S185" s="1676"/>
      <c r="T185" s="1676"/>
      <c r="U185" s="1676"/>
      <c r="V185" s="1676"/>
      <c r="W185" s="1676"/>
      <c r="X185" s="1676"/>
      <c r="Y185" s="1676"/>
      <c r="Z185" s="1676"/>
      <c r="AA185" s="1676"/>
      <c r="AB185" s="1676"/>
      <c r="AC185" s="1676"/>
      <c r="AD185" s="1676"/>
      <c r="AE185" s="1676"/>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95"/>
      <c r="F187" s="1995"/>
      <c r="G187" s="1995"/>
      <c r="H187" s="1995"/>
      <c r="I187" s="1995"/>
      <c r="J187" s="1995"/>
      <c r="K187" s="1995"/>
      <c r="L187" s="1995"/>
      <c r="M187" s="1995"/>
      <c r="N187" s="1995"/>
      <c r="O187" s="1995"/>
      <c r="P187" s="1995"/>
      <c r="Q187" s="1995"/>
      <c r="R187" s="1995"/>
      <c r="S187" s="1995"/>
      <c r="T187" s="1995"/>
      <c r="U187" s="1995"/>
      <c r="V187" s="1995"/>
      <c r="W187" s="1995"/>
      <c r="X187" s="1995"/>
      <c r="Y187" s="1995"/>
      <c r="Z187" s="1995"/>
      <c r="AA187" s="1995"/>
      <c r="AB187" s="1995"/>
      <c r="AC187" s="1995"/>
      <c r="AD187" s="1995"/>
      <c r="AE187" s="1995"/>
      <c r="AF187" s="35"/>
      <c r="AH187" s="35"/>
      <c r="AJ187" s="3"/>
      <c r="AK187" s="3"/>
      <c r="AL187" s="3"/>
      <c r="BN187" s="47" t="s">
        <v>634</v>
      </c>
      <c r="BT187" s="16" t="s">
        <v>915</v>
      </c>
    </row>
    <row r="188" spans="1:72" ht="12.75">
      <c r="A188" s="35"/>
      <c r="C188" s="58"/>
      <c r="D188" s="35"/>
      <c r="E188" s="1996"/>
      <c r="F188" s="1996"/>
      <c r="G188" s="1996"/>
      <c r="H188" s="1996"/>
      <c r="I188" s="1996"/>
      <c r="J188" s="1996"/>
      <c r="K188" s="1996"/>
      <c r="L188" s="1996"/>
      <c r="M188" s="1996"/>
      <c r="N188" s="1996"/>
      <c r="O188" s="1996"/>
      <c r="P188" s="1996"/>
      <c r="Q188" s="1996"/>
      <c r="R188" s="1996"/>
      <c r="S188" s="1996"/>
      <c r="T188" s="1996"/>
      <c r="U188" s="1996"/>
      <c r="V188" s="1996"/>
      <c r="W188" s="1996"/>
      <c r="X188" s="1996"/>
      <c r="Y188" s="1996"/>
      <c r="Z188" s="1996"/>
      <c r="AA188" s="1996"/>
      <c r="AB188" s="1996"/>
      <c r="AC188" s="1996"/>
      <c r="AD188" s="1996"/>
      <c r="AE188" s="1996"/>
      <c r="AF188" s="35"/>
      <c r="AH188" s="35"/>
      <c r="AJ188" s="3"/>
      <c r="AK188" s="3"/>
      <c r="AL188" s="3"/>
      <c r="BN188" s="47" t="s">
        <v>636</v>
      </c>
      <c r="BT188" s="16" t="s">
        <v>916</v>
      </c>
    </row>
    <row r="189" spans="1:72" ht="12.75">
      <c r="A189" s="35"/>
      <c r="C189" s="58"/>
      <c r="D189" s="35" t="s">
        <v>476</v>
      </c>
      <c r="E189" s="35"/>
      <c r="I189" s="1680" t="s">
        <v>2346</v>
      </c>
      <c r="J189" s="1664"/>
      <c r="K189" s="1664"/>
      <c r="L189" s="1664"/>
      <c r="M189" s="1664"/>
      <c r="N189" s="1664"/>
      <c r="O189" s="1664"/>
      <c r="P189" s="1664"/>
      <c r="Q189" s="35" t="s">
        <v>478</v>
      </c>
      <c r="T189" s="1664" t="s">
        <v>919</v>
      </c>
      <c r="U189" s="1664"/>
      <c r="V189" s="1664"/>
      <c r="W189" s="1664"/>
      <c r="X189" s="1664"/>
      <c r="Y189" s="1664"/>
      <c r="Z189" s="1664"/>
      <c r="AA189" s="1664"/>
      <c r="AB189" s="1664"/>
      <c r="AC189" s="1664"/>
      <c r="AD189" s="1664"/>
      <c r="AE189" s="1664"/>
      <c r="AH189" s="35"/>
      <c r="AJ189" s="3"/>
      <c r="AK189" s="3"/>
      <c r="AL189" s="3"/>
      <c r="BC189" s="16" t="s">
        <v>86</v>
      </c>
      <c r="BH189" s="72" t="s">
        <v>135</v>
      </c>
      <c r="BN189" s="47" t="s">
        <v>637</v>
      </c>
      <c r="BT189" s="16" t="s">
        <v>120</v>
      </c>
    </row>
    <row r="190" spans="1:72" ht="12.75">
      <c r="A190" s="35"/>
      <c r="C190" s="59"/>
      <c r="D190" s="35" t="s">
        <v>479</v>
      </c>
      <c r="E190" s="35"/>
      <c r="F190" s="35"/>
      <c r="G190" s="35"/>
      <c r="I190" s="1676">
        <v>94954</v>
      </c>
      <c r="J190" s="1676"/>
      <c r="K190" s="1676"/>
      <c r="L190" s="1676"/>
      <c r="M190" s="1676"/>
      <c r="N190" s="1676"/>
      <c r="O190" s="35" t="s">
        <v>481</v>
      </c>
      <c r="P190" s="35"/>
      <c r="Q190" s="35"/>
      <c r="R190" s="35"/>
      <c r="S190" s="35"/>
      <c r="T190" s="1850">
        <v>1506.09</v>
      </c>
      <c r="U190" s="1850"/>
      <c r="V190" s="1850"/>
      <c r="W190" s="1850"/>
      <c r="X190" s="1850"/>
      <c r="Y190" s="1850"/>
      <c r="Z190" s="1850"/>
      <c r="AA190" s="1850"/>
      <c r="AB190" s="1850"/>
      <c r="AC190" s="1850"/>
      <c r="AD190" s="1850"/>
      <c r="AE190" s="1850"/>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2001" t="s">
        <v>2351</v>
      </c>
      <c r="O191" s="2002"/>
      <c r="P191" s="2002"/>
      <c r="Q191" s="2002"/>
      <c r="R191" s="2002"/>
      <c r="S191" s="2002"/>
      <c r="T191" s="2002"/>
      <c r="U191" s="2002"/>
      <c r="V191" s="2002"/>
      <c r="W191" s="2002"/>
      <c r="X191" s="2002"/>
      <c r="Y191" s="2002"/>
      <c r="Z191" s="2002"/>
      <c r="AA191" s="2002"/>
      <c r="AB191" s="2002"/>
      <c r="AC191" s="2002"/>
      <c r="AD191" s="2002"/>
      <c r="AE191" s="2002"/>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96"/>
      <c r="O192" s="1996"/>
      <c r="P192" s="1996"/>
      <c r="Q192" s="1996"/>
      <c r="R192" s="1996"/>
      <c r="S192" s="1996"/>
      <c r="T192" s="1996"/>
      <c r="U192" s="1996"/>
      <c r="V192" s="1996"/>
      <c r="W192" s="1996"/>
      <c r="X192" s="1996"/>
      <c r="Y192" s="1996"/>
      <c r="Z192" s="1996"/>
      <c r="AA192" s="1996"/>
      <c r="AB192" s="1996"/>
      <c r="AC192" s="1996"/>
      <c r="AD192" s="1996"/>
      <c r="AE192" s="1996"/>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77" t="s">
        <v>119</v>
      </c>
      <c r="U193" s="1677"/>
      <c r="W193" s="72" t="s">
        <v>2085</v>
      </c>
      <c r="AA193" s="1848">
        <v>2020</v>
      </c>
      <c r="AB193" s="1848"/>
      <c r="AC193" s="1848"/>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52" t="s">
        <v>528</v>
      </c>
      <c r="U194" s="1752"/>
      <c r="W194" s="35" t="s">
        <v>68</v>
      </c>
      <c r="X194" s="35"/>
      <c r="Y194" s="35"/>
      <c r="Z194" s="35"/>
      <c r="AA194" s="35"/>
      <c r="AB194" s="35"/>
      <c r="AC194" s="35"/>
      <c r="AD194" s="35"/>
      <c r="AE194" s="35"/>
      <c r="AF194" s="35"/>
      <c r="AG194" s="35"/>
      <c r="AH194" s="35"/>
      <c r="AI194" s="1677" t="s">
        <v>528</v>
      </c>
      <c r="AJ194" s="1677"/>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52" t="s">
        <v>528</v>
      </c>
      <c r="U195" s="1752"/>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52" t="s">
        <v>528</v>
      </c>
      <c r="U196" s="1752"/>
      <c r="W196" s="3"/>
      <c r="X196" s="3"/>
      <c r="Y196" s="3"/>
      <c r="Z196" s="3"/>
      <c r="AA196" s="3"/>
      <c r="AB196" s="3"/>
      <c r="AC196" s="3"/>
      <c r="AD196" s="3"/>
      <c r="AE196" s="3"/>
      <c r="AF196" s="3"/>
      <c r="AG196" s="3"/>
      <c r="AH196" s="3"/>
      <c r="AI196" s="3"/>
      <c r="AJ196" s="3"/>
      <c r="AK196" s="1847"/>
      <c r="AL196" s="1847"/>
      <c r="AX196" s="8" t="s">
        <v>1245</v>
      </c>
      <c r="BN196" s="47" t="s">
        <v>819</v>
      </c>
      <c r="BT196" s="16" t="s">
        <v>127</v>
      </c>
    </row>
    <row r="197" spans="1:73" ht="12.75">
      <c r="A197" s="35"/>
      <c r="C197" s="59"/>
      <c r="D197" s="72" t="s">
        <v>2086</v>
      </c>
      <c r="T197" s="1677" t="s">
        <v>528</v>
      </c>
      <c r="U197" s="1677"/>
      <c r="AJ197" s="3"/>
      <c r="AK197" s="3"/>
      <c r="AL197" s="3"/>
      <c r="AX197" s="8" t="s">
        <v>1246</v>
      </c>
      <c r="BC197" s="16" t="s">
        <v>86</v>
      </c>
      <c r="BN197" s="47" t="s">
        <v>820</v>
      </c>
      <c r="BT197" s="16" t="s">
        <v>128</v>
      </c>
    </row>
    <row r="198" spans="1:73" ht="12.75">
      <c r="A198" s="35"/>
      <c r="C198" s="59"/>
      <c r="D198" s="1070" t="s">
        <v>2116</v>
      </c>
      <c r="W198" s="1854" t="s">
        <v>528</v>
      </c>
      <c r="X198" s="1677"/>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1846" t="s">
        <v>2243</v>
      </c>
      <c r="S199" s="1846"/>
      <c r="T199" s="1846"/>
      <c r="U199" s="1846"/>
      <c r="V199" s="1846"/>
      <c r="W199" s="1846"/>
      <c r="X199" s="1846"/>
      <c r="Y199" s="1846"/>
      <c r="Z199" s="1846"/>
      <c r="AA199" s="1846"/>
      <c r="AB199" s="1846"/>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663" t="str">
        <f>IF(AND(M25&gt;0,M27&gt;0),"Federal and State","Federal Only")</f>
        <v>Federal Only</v>
      </c>
      <c r="E203" s="1663"/>
      <c r="F203" s="1663"/>
      <c r="G203" s="1663"/>
      <c r="H203" s="1663"/>
      <c r="I203" s="1663"/>
      <c r="J203" s="1663"/>
      <c r="K203" s="1663"/>
      <c r="L203" s="1663"/>
      <c r="M203" s="1663"/>
      <c r="P203" s="1987">
        <f>M25</f>
        <v>2480406</v>
      </c>
      <c r="Q203" s="1987"/>
      <c r="R203" s="1987"/>
      <c r="S203" s="1987"/>
      <c r="T203" s="1987"/>
      <c r="U203" s="1987"/>
      <c r="V203" s="35"/>
      <c r="W203" s="1987">
        <f>M27</f>
        <v>0</v>
      </c>
      <c r="X203" s="1987"/>
      <c r="Y203" s="1987"/>
      <c r="Z203" s="1987"/>
      <c r="AA203" s="1987"/>
      <c r="AB203" s="1987"/>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82" t="s">
        <v>191</v>
      </c>
      <c r="Q204" s="1982"/>
      <c r="R204" s="1982"/>
      <c r="S204" s="1982"/>
      <c r="T204" s="1982"/>
      <c r="U204" s="1982"/>
      <c r="V204" s="60"/>
      <c r="W204" s="1982" t="s">
        <v>192</v>
      </c>
      <c r="X204" s="1982"/>
      <c r="Y204" s="1982"/>
      <c r="Z204" s="1982"/>
      <c r="AA204" s="1982"/>
      <c r="AB204" s="1982"/>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99" t="s">
        <v>2352</v>
      </c>
      <c r="E208" s="1699"/>
      <c r="F208" s="1699"/>
      <c r="G208" s="1699"/>
      <c r="H208" s="1699"/>
      <c r="I208" s="1699"/>
      <c r="J208" s="1699"/>
      <c r="K208" s="1699"/>
      <c r="L208" s="1699"/>
      <c r="M208" s="1699"/>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99" t="s">
        <v>135</v>
      </c>
      <c r="E211" s="1699"/>
      <c r="F211" s="1699"/>
      <c r="G211" s="1699"/>
      <c r="H211" s="1699"/>
      <c r="I211" s="1699"/>
      <c r="J211" s="1699"/>
      <c r="K211" s="1699"/>
      <c r="L211" s="1699"/>
      <c r="M211" s="1699"/>
      <c r="N211" s="1699"/>
      <c r="O211" s="1699"/>
      <c r="P211" s="1699"/>
      <c r="X211" s="1321"/>
      <c r="Y211" s="1851" t="s">
        <v>528</v>
      </c>
      <c r="Z211" s="1851"/>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99" t="s">
        <v>725</v>
      </c>
      <c r="E214" s="1699"/>
      <c r="F214" s="1699"/>
      <c r="G214" s="1699"/>
      <c r="H214" s="1699"/>
      <c r="I214" s="1699"/>
      <c r="J214" s="1699"/>
      <c r="K214" s="1699"/>
      <c r="L214" s="1699"/>
      <c r="M214" s="1699"/>
      <c r="N214" s="1699"/>
      <c r="O214" s="1699"/>
      <c r="P214" s="1699"/>
      <c r="Q214" s="1699"/>
      <c r="R214" s="1699"/>
      <c r="S214" s="1699"/>
      <c r="T214" s="1699"/>
      <c r="U214" s="1699"/>
      <c r="V214" s="1699"/>
      <c r="W214" s="1699"/>
      <c r="X214" s="1699"/>
      <c r="Y214" s="1699"/>
      <c r="Z214" s="1699"/>
      <c r="AG214" s="3"/>
      <c r="AJ214" s="3"/>
      <c r="AK214" s="3"/>
      <c r="AL214" s="3"/>
      <c r="BC214" s="16" t="s">
        <v>692</v>
      </c>
      <c r="BN214" s="47" t="s">
        <v>489</v>
      </c>
      <c r="BT214" s="69" t="s">
        <v>891</v>
      </c>
    </row>
    <row r="215" spans="1:72" ht="12.75">
      <c r="D215" s="64"/>
      <c r="E215" s="8" t="s">
        <v>1562</v>
      </c>
      <c r="AE215" s="1997"/>
      <c r="AF215" s="1997"/>
      <c r="AG215" s="3"/>
      <c r="AJ215" s="3"/>
      <c r="AK215" s="3"/>
      <c r="AL215" s="3"/>
      <c r="BC215" s="16" t="s">
        <v>689</v>
      </c>
    </row>
    <row r="216" spans="1:72" ht="12.75" customHeight="1">
      <c r="D216" s="64"/>
      <c r="E216" s="8" t="s">
        <v>1560</v>
      </c>
      <c r="AG216" s="3"/>
      <c r="AJ216" s="3"/>
      <c r="AK216" s="3"/>
      <c r="AL216" s="3"/>
      <c r="BC216" s="16" t="s">
        <v>807</v>
      </c>
    </row>
    <row r="217" spans="1:72" ht="12.75">
      <c r="E217" s="2000" t="s">
        <v>135</v>
      </c>
      <c r="F217" s="1996"/>
      <c r="G217" s="1996"/>
      <c r="H217" s="1996"/>
      <c r="I217" s="1996"/>
      <c r="J217" s="1996"/>
      <c r="K217" s="1996"/>
      <c r="L217" s="1996"/>
      <c r="M217" s="1996"/>
      <c r="N217" s="1996"/>
      <c r="O217" s="1996"/>
      <c r="P217" s="1996"/>
      <c r="Q217" s="1996"/>
      <c r="R217" s="1996"/>
      <c r="S217" s="1996"/>
      <c r="T217" s="1996"/>
      <c r="U217" s="1996"/>
      <c r="V217" s="1996"/>
      <c r="W217" s="1996"/>
      <c r="X217" s="1996"/>
      <c r="Y217" s="1996"/>
      <c r="Z217" s="1996"/>
      <c r="AA217" s="83"/>
      <c r="AB217" s="83"/>
      <c r="AC217" s="83"/>
      <c r="AD217" s="83"/>
      <c r="AE217" s="83"/>
      <c r="AF217" s="83"/>
      <c r="AG217" s="3"/>
      <c r="AJ217" s="3"/>
      <c r="AK217" s="3"/>
      <c r="AL217" s="3"/>
      <c r="BC217" s="16" t="s">
        <v>690</v>
      </c>
    </row>
    <row r="218" spans="1:72" ht="12.75">
      <c r="E218" s="72" t="s">
        <v>2171</v>
      </c>
      <c r="AA218" s="83"/>
      <c r="AC218" s="1845"/>
      <c r="AD218" s="1845"/>
      <c r="AE218" s="1845"/>
      <c r="AF218" s="1845"/>
      <c r="AG218" s="1845"/>
      <c r="AH218" s="1845"/>
      <c r="AI218" s="1845"/>
      <c r="AJ218" s="1845"/>
      <c r="AK218" s="1845"/>
      <c r="AL218" s="1845"/>
      <c r="AM218" s="1845"/>
      <c r="BC218" s="16" t="s">
        <v>691</v>
      </c>
      <c r="BI218" s="67"/>
    </row>
    <row r="219" spans="1:72" ht="12.75" customHeight="1">
      <c r="E219" s="72" t="s">
        <v>2172</v>
      </c>
      <c r="AA219" s="83"/>
      <c r="AC219" s="1845"/>
      <c r="AD219" s="1845"/>
      <c r="AE219" s="1845"/>
      <c r="AF219" s="1845"/>
      <c r="AG219" s="1845"/>
      <c r="AH219" s="1845"/>
      <c r="AI219" s="1845"/>
      <c r="AJ219" s="1845"/>
      <c r="AK219" s="1845"/>
      <c r="AL219" s="1845"/>
      <c r="AM219" s="1845"/>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0" t="s">
        <v>1564</v>
      </c>
      <c r="E223" s="1680"/>
      <c r="F223" s="1680"/>
      <c r="G223" s="1680"/>
      <c r="H223" s="1680"/>
      <c r="I223" s="1680"/>
      <c r="J223" s="1680"/>
      <c r="K223" s="1680"/>
      <c r="L223" s="1680"/>
      <c r="M223" s="1680"/>
      <c r="N223" s="1680"/>
      <c r="O223" s="1680"/>
      <c r="P223" s="1680"/>
      <c r="Q223" s="1680"/>
      <c r="R223" s="1680"/>
      <c r="S223" s="1680"/>
      <c r="T223" s="1680"/>
      <c r="U223" s="1680"/>
      <c r="V223" s="1680"/>
      <c r="W223" s="1680"/>
      <c r="X223" s="1680"/>
      <c r="Y223" s="1680"/>
      <c r="Z223" s="1680"/>
      <c r="AA223" s="1680"/>
      <c r="AB223" s="1680"/>
      <c r="AC223" s="1680"/>
      <c r="AD223" s="1680"/>
      <c r="AE223" s="1680"/>
      <c r="AF223" s="1680"/>
      <c r="AG223" s="1680"/>
      <c r="AH223" s="1680"/>
      <c r="AI223" s="1680"/>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77">
        <v>5</v>
      </c>
      <c r="P225" s="1677"/>
    </row>
    <row r="226" spans="1:59" ht="12.75" customHeight="1">
      <c r="D226" s="35" t="s">
        <v>615</v>
      </c>
      <c r="E226" s="35"/>
      <c r="F226" s="35"/>
      <c r="G226" s="35"/>
      <c r="H226" s="35"/>
      <c r="I226" s="35"/>
      <c r="J226" s="35"/>
      <c r="K226" s="35"/>
      <c r="L226" s="35"/>
      <c r="M226" s="35"/>
      <c r="N226" s="35"/>
      <c r="O226" s="1677">
        <v>10</v>
      </c>
      <c r="P226" s="167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77">
        <v>2</v>
      </c>
      <c r="P227" s="1677"/>
      <c r="BB227" s="8" t="s">
        <v>700</v>
      </c>
      <c r="BG227" s="624">
        <f>IF(AND(AND($M$251="for profit",$M$259="nonprofit",$M$267="for profit")),2,0)</f>
        <v>2</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1705" t="s">
        <v>541</v>
      </c>
      <c r="B231" s="1705"/>
      <c r="C231" s="1705"/>
      <c r="D231" s="1705"/>
      <c r="E231" s="1705"/>
      <c r="F231" s="1705"/>
      <c r="G231" s="1705"/>
      <c r="H231" s="1705"/>
      <c r="I231" s="1705"/>
      <c r="J231" s="1705"/>
      <c r="K231" s="1705"/>
      <c r="L231" s="1705"/>
      <c r="M231" s="1705"/>
      <c r="N231" s="1705"/>
      <c r="O231" s="1705"/>
      <c r="P231" s="1705"/>
      <c r="Q231" s="1705"/>
      <c r="R231" s="1705"/>
      <c r="S231" s="1705"/>
      <c r="T231" s="1705"/>
      <c r="U231" s="1705"/>
      <c r="V231" s="1705"/>
      <c r="W231" s="1705"/>
      <c r="X231" s="1705"/>
      <c r="Y231" s="1705"/>
      <c r="Z231" s="1705"/>
      <c r="AA231" s="1705"/>
      <c r="AB231" s="1705"/>
      <c r="AC231" s="1705"/>
      <c r="AD231" s="1705"/>
      <c r="AE231" s="1705"/>
      <c r="AF231" s="1705"/>
      <c r="AG231" s="1705"/>
      <c r="AH231" s="1705"/>
      <c r="AI231" s="1705"/>
      <c r="AJ231" s="1705"/>
      <c r="AK231" s="1705"/>
      <c r="AL231" s="1705"/>
    </row>
    <row r="232" spans="1:59" ht="13.5" thickBot="1">
      <c r="A232" s="1706"/>
      <c r="B232" s="1706"/>
      <c r="C232" s="1706"/>
      <c r="D232" s="1706"/>
      <c r="E232" s="1706"/>
      <c r="F232" s="1706"/>
      <c r="G232" s="1706"/>
      <c r="H232" s="1706"/>
      <c r="I232" s="1706"/>
      <c r="J232" s="1706"/>
      <c r="K232" s="1706"/>
      <c r="L232" s="1706"/>
      <c r="M232" s="1706"/>
      <c r="N232" s="1706"/>
      <c r="O232" s="1706"/>
      <c r="P232" s="1706"/>
      <c r="Q232" s="1706"/>
      <c r="R232" s="1706"/>
      <c r="S232" s="1706"/>
      <c r="T232" s="1706"/>
      <c r="U232" s="1706"/>
      <c r="V232" s="1706"/>
      <c r="W232" s="1706"/>
      <c r="X232" s="1706"/>
      <c r="Y232" s="1706"/>
      <c r="Z232" s="1706"/>
      <c r="AA232" s="1706"/>
      <c r="AB232" s="1706"/>
      <c r="AC232" s="1706"/>
      <c r="AD232" s="1706"/>
      <c r="AE232" s="1706"/>
      <c r="AF232" s="1706"/>
      <c r="AG232" s="1706"/>
      <c r="AH232" s="1706"/>
      <c r="AI232" s="1706"/>
      <c r="AJ232" s="1706"/>
      <c r="AK232" s="1706"/>
      <c r="AL232" s="1706"/>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81" t="str">
        <f>H15</f>
        <v xml:space="preserve">Petaluma Corona Station LP </v>
      </c>
      <c r="N235" s="1981"/>
      <c r="O235" s="1981"/>
      <c r="P235" s="1981"/>
      <c r="Q235" s="1981"/>
      <c r="R235" s="1981"/>
      <c r="S235" s="1981"/>
      <c r="T235" s="1981"/>
      <c r="U235" s="1981"/>
      <c r="V235" s="1981"/>
      <c r="W235" s="1981"/>
      <c r="X235" s="1981"/>
      <c r="Y235" s="1981"/>
      <c r="Z235" s="1981"/>
      <c r="AA235" s="1981"/>
      <c r="AB235" s="1981"/>
      <c r="AC235" s="1981"/>
      <c r="AD235" s="1981"/>
      <c r="AE235" s="1981"/>
      <c r="AF235" s="1981"/>
      <c r="AG235" s="1981"/>
      <c r="AH235" s="1981"/>
      <c r="AI235" s="1981"/>
      <c r="AJ235" s="1981"/>
      <c r="AK235" s="1981"/>
      <c r="BB235" s="62"/>
      <c r="BC235" s="35"/>
      <c r="BD235" s="35"/>
      <c r="BE235" s="35"/>
      <c r="BF235" s="35"/>
      <c r="BG235" s="71"/>
    </row>
    <row r="236" spans="1:59" ht="12.75" customHeight="1">
      <c r="D236" s="71" t="s">
        <v>413</v>
      </c>
      <c r="E236" s="71"/>
      <c r="F236" s="71"/>
      <c r="G236" s="71"/>
      <c r="H236" s="71"/>
      <c r="I236" s="71"/>
      <c r="J236" s="71"/>
      <c r="K236" s="8"/>
      <c r="M236" s="1680" t="s">
        <v>2353</v>
      </c>
      <c r="N236" s="1680"/>
      <c r="O236" s="1680"/>
      <c r="P236" s="1680"/>
      <c r="Q236" s="1680"/>
      <c r="R236" s="1680"/>
      <c r="S236" s="1680"/>
      <c r="T236" s="1680"/>
      <c r="U236" s="1680"/>
      <c r="V236" s="1680"/>
      <c r="W236" s="1680"/>
      <c r="X236" s="1680"/>
      <c r="Y236" s="1680"/>
      <c r="Z236" s="1680"/>
      <c r="AA236" s="1680"/>
      <c r="AB236" s="1680"/>
      <c r="AC236" s="1680"/>
      <c r="AD236" s="1680"/>
      <c r="AE236" s="1680"/>
      <c r="AM236" s="72"/>
      <c r="AN236" s="72"/>
      <c r="BB236" s="16" t="s">
        <v>699</v>
      </c>
      <c r="BG236" s="624">
        <f>IF(AND(AND($M$251="nonprofit",$M$259="nonprofit",$M$267="nonprofit")),1,0)</f>
        <v>0</v>
      </c>
    </row>
    <row r="237" spans="1:59" ht="12.75">
      <c r="D237" s="71" t="s">
        <v>476</v>
      </c>
      <c r="E237" s="71"/>
      <c r="M237" s="1680" t="s">
        <v>2340</v>
      </c>
      <c r="N237" s="1680"/>
      <c r="O237" s="1680"/>
      <c r="P237" s="1680"/>
      <c r="Q237" s="1680"/>
      <c r="R237" s="1680"/>
      <c r="S237" s="1680"/>
      <c r="T237" s="1680"/>
      <c r="V237" s="73" t="s">
        <v>414</v>
      </c>
      <c r="W237" s="1701" t="s">
        <v>2354</v>
      </c>
      <c r="X237" s="1701"/>
      <c r="Y237" s="71" t="s">
        <v>479</v>
      </c>
      <c r="AC237" s="1680">
        <v>95521</v>
      </c>
      <c r="AD237" s="1680"/>
      <c r="AE237" s="1680"/>
      <c r="AN237" s="72"/>
      <c r="BB237" s="16" t="s">
        <v>699</v>
      </c>
      <c r="BG237" s="624">
        <f>IF(AND(AND($M$251="nonprofit",$M$259="nonprofit",$M$267="(select one)")),1,0)</f>
        <v>0</v>
      </c>
    </row>
    <row r="238" spans="1:59" ht="12.75">
      <c r="D238" s="74" t="s">
        <v>415</v>
      </c>
      <c r="E238" s="8"/>
      <c r="F238" s="8"/>
      <c r="G238" s="8"/>
      <c r="H238" s="8"/>
      <c r="I238" s="8"/>
      <c r="J238" s="8"/>
      <c r="K238" s="39"/>
      <c r="M238" s="1680" t="s">
        <v>2355</v>
      </c>
      <c r="N238" s="1680"/>
      <c r="O238" s="1680"/>
      <c r="P238" s="1680"/>
      <c r="Q238" s="1680"/>
      <c r="R238" s="1680"/>
      <c r="S238" s="1680"/>
      <c r="T238" s="1680"/>
      <c r="U238" s="1680"/>
      <c r="V238" s="1680"/>
      <c r="W238" s="1680"/>
      <c r="X238" s="1680"/>
      <c r="Y238" s="1680"/>
      <c r="Z238" s="1680"/>
      <c r="AA238" s="1680"/>
      <c r="AB238" s="1680"/>
      <c r="AC238" s="1680"/>
      <c r="AD238" s="1680"/>
      <c r="AE238" s="1680"/>
      <c r="AI238" s="8"/>
      <c r="AJ238" s="8"/>
      <c r="AK238" s="8"/>
      <c r="AL238" s="8"/>
      <c r="AN238" s="72"/>
      <c r="BB238" s="16" t="s">
        <v>699</v>
      </c>
      <c r="BG238" s="624">
        <f>IF(AND(AND($M$251="nonprofit",$M$259="(select one)",$M$267="(select one)")),1,0)</f>
        <v>0</v>
      </c>
    </row>
    <row r="239" spans="1:59" ht="12.75">
      <c r="D239" s="74" t="s">
        <v>416</v>
      </c>
      <c r="E239" s="8"/>
      <c r="F239" s="8"/>
      <c r="M239" s="1703">
        <v>7078229000</v>
      </c>
      <c r="N239" s="1703"/>
      <c r="O239" s="1703"/>
      <c r="P239" s="1703"/>
      <c r="Q239" s="1703"/>
      <c r="R239" s="1703"/>
      <c r="S239" s="8" t="s">
        <v>892</v>
      </c>
      <c r="T239" s="8"/>
      <c r="U239" s="1675"/>
      <c r="V239" s="1675"/>
      <c r="W239" s="1675"/>
      <c r="X239" s="8" t="s">
        <v>417</v>
      </c>
      <c r="Z239" s="1703">
        <v>7078229596</v>
      </c>
      <c r="AA239" s="1703"/>
      <c r="AB239" s="1703"/>
      <c r="AC239" s="1703"/>
      <c r="AD239" s="1703"/>
      <c r="AE239" s="1703"/>
      <c r="AM239" s="72"/>
      <c r="AN239" s="72"/>
      <c r="BB239" s="16" t="s">
        <v>1093</v>
      </c>
      <c r="BG239" s="624">
        <f>IF(AND(AND($M$251="for profit",$M$259="for profit",$M$267="for profit")),3,0)</f>
        <v>0</v>
      </c>
    </row>
    <row r="240" spans="1:59" ht="12.75">
      <c r="D240" s="74" t="s">
        <v>418</v>
      </c>
      <c r="E240" s="8"/>
      <c r="F240" s="8"/>
      <c r="M240" s="1709" t="s">
        <v>2356</v>
      </c>
      <c r="N240" s="1709"/>
      <c r="O240" s="1709"/>
      <c r="P240" s="1709"/>
      <c r="Q240" s="1709"/>
      <c r="R240" s="1709"/>
      <c r="S240" s="1709"/>
      <c r="T240" s="1709"/>
      <c r="U240" s="1709"/>
      <c r="V240" s="1709"/>
      <c r="W240" s="1709"/>
      <c r="X240" s="1709"/>
      <c r="Y240" s="1709"/>
      <c r="Z240" s="1709"/>
      <c r="AA240" s="1709"/>
      <c r="AB240" s="1709"/>
      <c r="AC240" s="1709"/>
      <c r="AD240" s="1709"/>
      <c r="AE240" s="1709"/>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76" t="s">
        <v>545</v>
      </c>
      <c r="N241" s="1676"/>
      <c r="O241" s="1676"/>
      <c r="P241" s="1676"/>
      <c r="Q241" s="1676"/>
      <c r="R241" s="1676"/>
      <c r="S241" s="1676"/>
      <c r="T241" s="1676"/>
      <c r="U241" s="8" t="s">
        <v>1236</v>
      </c>
      <c r="AA241" s="1702" t="s">
        <v>2357</v>
      </c>
      <c r="AB241" s="1702"/>
      <c r="AC241" s="1702"/>
      <c r="AD241" s="1702"/>
      <c r="AE241" s="1702"/>
      <c r="AF241" s="1702"/>
      <c r="AG241" s="1702"/>
      <c r="AH241" s="1702"/>
      <c r="AI241" s="1702"/>
      <c r="AJ241" s="1702"/>
      <c r="AK241" s="1702"/>
      <c r="AL241" s="72"/>
      <c r="AM241" s="8"/>
      <c r="AN241" s="72"/>
      <c r="AO241" s="72"/>
      <c r="BB241" s="16" t="s">
        <v>1093</v>
      </c>
      <c r="BC241" s="35"/>
      <c r="BD241" s="35"/>
      <c r="BE241" s="35"/>
      <c r="BF241" s="35"/>
      <c r="BG241" s="625">
        <f>IF(AND(AND($M$251="for profit",$M$259="(select one)",$M$267="(select one)")),3,0)</f>
        <v>0</v>
      </c>
    </row>
    <row r="242" spans="1:67" ht="12.75">
      <c r="D242" s="16" t="s">
        <v>693</v>
      </c>
      <c r="M242" s="1664" t="s">
        <v>500</v>
      </c>
      <c r="N242" s="1664"/>
      <c r="O242" s="1664"/>
      <c r="P242" s="1664"/>
      <c r="Q242" s="1664"/>
      <c r="R242" s="1664"/>
      <c r="S242" s="1664"/>
      <c r="T242" s="1664"/>
      <c r="U242" s="1664"/>
      <c r="V242" s="1664"/>
      <c r="W242" s="1664"/>
      <c r="X242" s="1664"/>
      <c r="Y242" s="1664"/>
      <c r="Z242" s="1664"/>
      <c r="AA242" s="1664"/>
      <c r="AB242" s="1664"/>
      <c r="AC242" s="1664"/>
      <c r="AD242" s="1664"/>
      <c r="AE242" s="1664"/>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707" t="s">
        <v>2358</v>
      </c>
      <c r="N245" s="1707"/>
      <c r="O245" s="1707"/>
      <c r="P245" s="1707"/>
      <c r="Q245" s="1707"/>
      <c r="R245" s="1707"/>
      <c r="S245" s="1707"/>
      <c r="T245" s="1707"/>
      <c r="U245" s="1707"/>
      <c r="V245" s="1707"/>
      <c r="W245" s="1707"/>
      <c r="X245" s="1707"/>
      <c r="Y245" s="1707"/>
      <c r="Z245" s="1707"/>
      <c r="AA245" s="1707"/>
      <c r="AB245" s="1707"/>
      <c r="AC245" s="1707"/>
      <c r="AD245" s="1707"/>
      <c r="AE245" s="1707"/>
      <c r="AF245" s="1849" t="s">
        <v>2359</v>
      </c>
      <c r="AG245" s="1849"/>
      <c r="AH245" s="1849"/>
      <c r="AI245" s="1849"/>
      <c r="AJ245" s="1849"/>
      <c r="AK245" s="1849"/>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680" t="s">
        <v>2360</v>
      </c>
      <c r="N246" s="1680"/>
      <c r="O246" s="1680"/>
      <c r="P246" s="1680"/>
      <c r="Q246" s="1680"/>
      <c r="R246" s="1680"/>
      <c r="S246" s="1680"/>
      <c r="T246" s="1680"/>
      <c r="U246" s="1680"/>
      <c r="V246" s="1680"/>
      <c r="W246" s="1680"/>
      <c r="X246" s="1680"/>
      <c r="Y246" s="1680"/>
      <c r="Z246" s="1680"/>
      <c r="AA246" s="1680"/>
      <c r="AB246" s="1680"/>
      <c r="AC246" s="1680"/>
      <c r="AD246" s="1680"/>
      <c r="AE246" s="1680"/>
      <c r="AL246" s="8"/>
      <c r="AN246" s="72"/>
      <c r="BB246" s="8" t="s">
        <v>500</v>
      </c>
      <c r="BH246" s="16">
        <v>3</v>
      </c>
      <c r="BI246" s="16" t="s">
        <v>698</v>
      </c>
    </row>
    <row r="247" spans="1:67" ht="12.75">
      <c r="A247" s="39"/>
      <c r="B247" s="8"/>
      <c r="C247" s="8"/>
      <c r="D247" s="71" t="s">
        <v>476</v>
      </c>
      <c r="E247" s="71"/>
      <c r="M247" s="1680" t="s">
        <v>2361</v>
      </c>
      <c r="N247" s="1680"/>
      <c r="O247" s="1680"/>
      <c r="P247" s="1680"/>
      <c r="Q247" s="1680"/>
      <c r="R247" s="1680"/>
      <c r="S247" s="1680"/>
      <c r="T247" s="1680"/>
      <c r="V247" s="73" t="s">
        <v>414</v>
      </c>
      <c r="W247" s="1701" t="s">
        <v>2354</v>
      </c>
      <c r="X247" s="1675"/>
      <c r="Y247" s="71" t="s">
        <v>479</v>
      </c>
      <c r="AC247" s="1699">
        <v>96001</v>
      </c>
      <c r="AD247" s="1699"/>
      <c r="AE247" s="1699"/>
      <c r="AN247" s="72"/>
    </row>
    <row r="248" spans="1:67" ht="12.75">
      <c r="A248" s="39"/>
      <c r="B248" s="8"/>
      <c r="C248" s="8"/>
      <c r="D248" s="74" t="s">
        <v>415</v>
      </c>
      <c r="E248" s="8"/>
      <c r="F248" s="8"/>
      <c r="G248" s="8"/>
      <c r="H248" s="8"/>
      <c r="I248" s="8"/>
      <c r="J248" s="8"/>
      <c r="K248" s="8"/>
      <c r="L248" s="39"/>
      <c r="M248" s="1680" t="s">
        <v>2362</v>
      </c>
      <c r="N248" s="1680"/>
      <c r="O248" s="1680"/>
      <c r="P248" s="1680"/>
      <c r="Q248" s="1680"/>
      <c r="R248" s="1680"/>
      <c r="S248" s="1680"/>
      <c r="T248" s="1680"/>
      <c r="U248" s="1680"/>
      <c r="V248" s="1680"/>
      <c r="W248" s="1680"/>
      <c r="X248" s="1680"/>
      <c r="Y248" s="1680"/>
      <c r="Z248" s="1680"/>
      <c r="AA248" s="1680"/>
      <c r="AB248" s="1680"/>
      <c r="AC248" s="1680"/>
      <c r="AD248" s="1680"/>
      <c r="AE248" s="1680"/>
      <c r="AJ248" s="8"/>
      <c r="AK248" s="8"/>
      <c r="AL248" s="8"/>
      <c r="AN248" s="72"/>
    </row>
    <row r="249" spans="1:67" ht="12.75">
      <c r="A249" s="39"/>
      <c r="B249" s="8"/>
      <c r="C249" s="8"/>
      <c r="D249" s="74" t="s">
        <v>416</v>
      </c>
      <c r="E249" s="8"/>
      <c r="F249" s="8"/>
      <c r="M249" s="1703">
        <v>5302416960</v>
      </c>
      <c r="N249" s="1703"/>
      <c r="O249" s="1703"/>
      <c r="P249" s="1703"/>
      <c r="Q249" s="1703"/>
      <c r="R249" s="1703"/>
      <c r="S249" s="8" t="s">
        <v>892</v>
      </c>
      <c r="T249" s="8"/>
      <c r="U249" s="1675"/>
      <c r="V249" s="1675"/>
      <c r="W249" s="1675"/>
      <c r="X249" s="8" t="s">
        <v>417</v>
      </c>
      <c r="Z249" s="1703">
        <v>5302417831</v>
      </c>
      <c r="AA249" s="1703"/>
      <c r="AB249" s="1703"/>
      <c r="AC249" s="1703"/>
      <c r="AD249" s="1703"/>
      <c r="AE249" s="1703"/>
      <c r="AM249" s="8"/>
      <c r="AN249" s="72"/>
    </row>
    <row r="250" spans="1:67" ht="12.75">
      <c r="A250" s="39"/>
      <c r="B250" s="8"/>
      <c r="C250" s="8"/>
      <c r="D250" s="74" t="s">
        <v>418</v>
      </c>
      <c r="E250" s="8"/>
      <c r="F250" s="8"/>
      <c r="M250" s="1709" t="s">
        <v>2363</v>
      </c>
      <c r="N250" s="1709"/>
      <c r="O250" s="1709"/>
      <c r="P250" s="1709"/>
      <c r="Q250" s="1709"/>
      <c r="R250" s="1709"/>
      <c r="S250" s="1709"/>
      <c r="T250" s="1709"/>
      <c r="U250" s="1709"/>
      <c r="V250" s="1709"/>
      <c r="W250" s="1709"/>
      <c r="X250" s="1709"/>
      <c r="Y250" s="1709"/>
      <c r="Z250" s="1709"/>
      <c r="AA250" s="1709"/>
      <c r="AB250" s="1709"/>
      <c r="AC250" s="1709"/>
      <c r="AD250" s="1709"/>
      <c r="AE250" s="1709"/>
      <c r="AG250" s="8"/>
      <c r="AH250" s="8"/>
      <c r="AI250" s="8"/>
      <c r="AJ250" s="8"/>
      <c r="AK250" s="8"/>
      <c r="AL250" s="8"/>
    </row>
    <row r="251" spans="1:67" ht="12.75">
      <c r="A251" s="33"/>
      <c r="B251" s="8"/>
      <c r="C251" s="147"/>
      <c r="D251" s="74" t="s">
        <v>697</v>
      </c>
      <c r="E251" s="8"/>
      <c r="F251" s="8"/>
      <c r="G251" s="8"/>
      <c r="H251" s="8"/>
      <c r="I251" s="8"/>
      <c r="J251" s="8"/>
      <c r="K251" s="8"/>
      <c r="L251" s="8"/>
      <c r="M251" s="1676" t="s">
        <v>698</v>
      </c>
      <c r="N251" s="1676"/>
      <c r="O251" s="1676"/>
      <c r="P251" s="1676"/>
      <c r="Q251" s="1676"/>
      <c r="R251" s="1676"/>
      <c r="S251" s="1676"/>
      <c r="T251" s="1676"/>
      <c r="U251" s="8" t="s">
        <v>1236</v>
      </c>
      <c r="AA251" s="1704"/>
      <c r="AB251" s="1704"/>
      <c r="AC251" s="1704"/>
      <c r="AD251" s="1704"/>
      <c r="AE251" s="1704"/>
      <c r="AF251" s="1704"/>
      <c r="AG251" s="1704"/>
      <c r="AH251" s="1704"/>
      <c r="AI251" s="1704"/>
      <c r="AJ251" s="1704"/>
      <c r="AK251" s="170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707" t="s">
        <v>2364</v>
      </c>
      <c r="N253" s="1707"/>
      <c r="O253" s="1707"/>
      <c r="P253" s="1707"/>
      <c r="Q253" s="1707"/>
      <c r="R253" s="1707"/>
      <c r="S253" s="1707"/>
      <c r="T253" s="1707"/>
      <c r="U253" s="1707"/>
      <c r="V253" s="1707"/>
      <c r="W253" s="1707"/>
      <c r="X253" s="1707"/>
      <c r="Y253" s="1707"/>
      <c r="Z253" s="1707"/>
      <c r="AA253" s="1707"/>
      <c r="AB253" s="1707"/>
      <c r="AC253" s="1707"/>
      <c r="AD253" s="1707"/>
      <c r="AE253" s="1707"/>
      <c r="AF253" s="1849" t="s">
        <v>2359</v>
      </c>
      <c r="AG253" s="1849"/>
      <c r="AH253" s="1849"/>
      <c r="AI253" s="1849"/>
      <c r="AJ253" s="1849"/>
      <c r="AK253" s="1849"/>
      <c r="AM253" s="8"/>
    </row>
    <row r="254" spans="1:67" ht="12.75">
      <c r="A254" s="39"/>
      <c r="B254" s="8"/>
      <c r="C254" s="8"/>
      <c r="D254" s="71" t="s">
        <v>413</v>
      </c>
      <c r="E254" s="71"/>
      <c r="F254" s="71"/>
      <c r="G254" s="71"/>
      <c r="H254" s="71"/>
      <c r="I254" s="71"/>
      <c r="J254" s="71"/>
      <c r="K254" s="71"/>
      <c r="L254" s="8"/>
      <c r="M254" s="1680" t="s">
        <v>2353</v>
      </c>
      <c r="N254" s="1680"/>
      <c r="O254" s="1680"/>
      <c r="P254" s="1680"/>
      <c r="Q254" s="1680"/>
      <c r="R254" s="1680"/>
      <c r="S254" s="1680"/>
      <c r="T254" s="1680"/>
      <c r="U254" s="1680"/>
      <c r="V254" s="1680"/>
      <c r="W254" s="1680"/>
      <c r="X254" s="1680"/>
      <c r="Y254" s="1680"/>
      <c r="Z254" s="1680"/>
      <c r="AA254" s="1680"/>
      <c r="AB254" s="1680"/>
      <c r="AC254" s="1680"/>
      <c r="AD254" s="1680"/>
      <c r="AE254" s="1680"/>
      <c r="AL254" s="8"/>
    </row>
    <row r="255" spans="1:67" ht="12.75">
      <c r="A255" s="39"/>
      <c r="B255" s="8"/>
      <c r="C255" s="8"/>
      <c r="D255" s="71" t="s">
        <v>476</v>
      </c>
      <c r="E255" s="71"/>
      <c r="M255" s="1680" t="s">
        <v>2340</v>
      </c>
      <c r="N255" s="1680"/>
      <c r="O255" s="1680"/>
      <c r="P255" s="1680"/>
      <c r="Q255" s="1680"/>
      <c r="R255" s="1680"/>
      <c r="S255" s="1680"/>
      <c r="T255" s="1680"/>
      <c r="V255" s="73" t="s">
        <v>414</v>
      </c>
      <c r="W255" s="1701" t="s">
        <v>2354</v>
      </c>
      <c r="X255" s="1675"/>
      <c r="Y255" s="71" t="s">
        <v>479</v>
      </c>
      <c r="AC255" s="1699">
        <v>95521</v>
      </c>
      <c r="AD255" s="1699"/>
      <c r="AE255" s="1699"/>
    </row>
    <row r="256" spans="1:67" ht="12.75">
      <c r="A256" s="39"/>
      <c r="B256" s="8"/>
      <c r="C256" s="8"/>
      <c r="D256" s="74" t="s">
        <v>415</v>
      </c>
      <c r="E256" s="8"/>
      <c r="F256" s="8"/>
      <c r="G256" s="8"/>
      <c r="H256" s="8"/>
      <c r="I256" s="8"/>
      <c r="J256" s="8"/>
      <c r="K256" s="8"/>
      <c r="L256" s="39"/>
      <c r="M256" s="1680" t="s">
        <v>2355</v>
      </c>
      <c r="N256" s="1680"/>
      <c r="O256" s="1680"/>
      <c r="P256" s="1680"/>
      <c r="Q256" s="1680"/>
      <c r="R256" s="1680"/>
      <c r="S256" s="1680"/>
      <c r="T256" s="1680"/>
      <c r="U256" s="1680"/>
      <c r="V256" s="1680"/>
      <c r="W256" s="1680"/>
      <c r="X256" s="1680"/>
      <c r="Y256" s="1680"/>
      <c r="Z256" s="1680"/>
      <c r="AA256" s="1680"/>
      <c r="AB256" s="1680"/>
      <c r="AC256" s="1680"/>
      <c r="AD256" s="1680"/>
      <c r="AE256" s="1680"/>
      <c r="AJ256" s="8"/>
      <c r="AK256" s="8"/>
      <c r="AL256" s="8"/>
    </row>
    <row r="257" spans="1:53" ht="12.75">
      <c r="A257" s="39"/>
      <c r="B257" s="8"/>
      <c r="C257" s="8"/>
      <c r="D257" s="74" t="s">
        <v>416</v>
      </c>
      <c r="E257" s="8"/>
      <c r="F257" s="8"/>
      <c r="M257" s="1703">
        <v>7078229000</v>
      </c>
      <c r="N257" s="1703"/>
      <c r="O257" s="1703"/>
      <c r="P257" s="1703"/>
      <c r="Q257" s="1703"/>
      <c r="R257" s="1703"/>
      <c r="S257" s="8" t="s">
        <v>892</v>
      </c>
      <c r="T257" s="8"/>
      <c r="U257" s="1675"/>
      <c r="V257" s="1675"/>
      <c r="W257" s="1675"/>
      <c r="X257" s="8" t="s">
        <v>417</v>
      </c>
      <c r="Z257" s="1703">
        <v>7078229596</v>
      </c>
      <c r="AA257" s="1703"/>
      <c r="AB257" s="1703"/>
      <c r="AC257" s="1703"/>
      <c r="AD257" s="1703"/>
      <c r="AE257" s="1703"/>
      <c r="BA257" s="75"/>
    </row>
    <row r="258" spans="1:53" ht="12.75">
      <c r="A258" s="39"/>
      <c r="B258" s="8"/>
      <c r="C258" s="8"/>
      <c r="D258" s="74" t="s">
        <v>418</v>
      </c>
      <c r="E258" s="8"/>
      <c r="F258" s="8"/>
      <c r="M258" s="1709" t="s">
        <v>2356</v>
      </c>
      <c r="N258" s="1709"/>
      <c r="O258" s="1709"/>
      <c r="P258" s="1709"/>
      <c r="Q258" s="1709"/>
      <c r="R258" s="1709"/>
      <c r="S258" s="1709"/>
      <c r="T258" s="1709"/>
      <c r="U258" s="1709"/>
      <c r="V258" s="1709"/>
      <c r="W258" s="1709"/>
      <c r="X258" s="1709"/>
      <c r="Y258" s="1709"/>
      <c r="Z258" s="1709"/>
      <c r="AA258" s="1709"/>
      <c r="AB258" s="1709"/>
      <c r="AC258" s="1709"/>
      <c r="AD258" s="1709"/>
      <c r="AE258" s="1709"/>
      <c r="AG258" s="8"/>
      <c r="AH258" s="8"/>
      <c r="AI258" s="8"/>
      <c r="AJ258" s="8"/>
      <c r="AK258" s="8"/>
      <c r="AL258" s="8"/>
      <c r="BA258" s="35"/>
    </row>
    <row r="259" spans="1:53" ht="12.75">
      <c r="A259" s="33"/>
      <c r="B259" s="8"/>
      <c r="C259" s="147"/>
      <c r="D259" s="74" t="s">
        <v>697</v>
      </c>
      <c r="E259" s="8"/>
      <c r="F259" s="8"/>
      <c r="G259" s="8"/>
      <c r="H259" s="8"/>
      <c r="I259" s="8"/>
      <c r="J259" s="8"/>
      <c r="K259" s="8"/>
      <c r="L259" s="8"/>
      <c r="M259" s="1676" t="s">
        <v>696</v>
      </c>
      <c r="N259" s="1676"/>
      <c r="O259" s="1676"/>
      <c r="P259" s="1676"/>
      <c r="Q259" s="1676"/>
      <c r="R259" s="1676"/>
      <c r="S259" s="1676"/>
      <c r="T259" s="1676"/>
      <c r="U259" s="8" t="s">
        <v>1236</v>
      </c>
      <c r="AA259" s="1702" t="s">
        <v>2365</v>
      </c>
      <c r="AB259" s="1704"/>
      <c r="AC259" s="1704"/>
      <c r="AD259" s="1704"/>
      <c r="AE259" s="1704"/>
      <c r="AF259" s="1704"/>
      <c r="AG259" s="1704"/>
      <c r="AH259" s="1704"/>
      <c r="AI259" s="1704"/>
      <c r="AJ259" s="1704"/>
      <c r="AK259" s="170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1707" t="s">
        <v>2357</v>
      </c>
      <c r="N261" s="1707"/>
      <c r="O261" s="1707"/>
      <c r="P261" s="1707"/>
      <c r="Q261" s="1707"/>
      <c r="R261" s="1707"/>
      <c r="S261" s="1707"/>
      <c r="T261" s="1707"/>
      <c r="U261" s="1707"/>
      <c r="V261" s="1707"/>
      <c r="W261" s="1707"/>
      <c r="X261" s="1707"/>
      <c r="Y261" s="1707"/>
      <c r="Z261" s="1707"/>
      <c r="AA261" s="1707"/>
      <c r="AB261" s="1707"/>
      <c r="AC261" s="1707"/>
      <c r="AD261" s="1707"/>
      <c r="AE261" s="1707"/>
      <c r="AF261" s="1849" t="s">
        <v>2359</v>
      </c>
      <c r="AG261" s="1849"/>
      <c r="AH261" s="1849"/>
      <c r="AI261" s="1849"/>
      <c r="AJ261" s="1849"/>
      <c r="AK261" s="1849"/>
      <c r="AL261" s="72"/>
      <c r="BA261" s="3"/>
    </row>
    <row r="262" spans="1:53" ht="12.75">
      <c r="A262" s="33"/>
      <c r="B262" s="8"/>
      <c r="C262" s="8"/>
      <c r="D262" s="71" t="s">
        <v>413</v>
      </c>
      <c r="E262" s="71"/>
      <c r="F262" s="71"/>
      <c r="G262" s="71"/>
      <c r="H262" s="71"/>
      <c r="I262" s="71"/>
      <c r="J262" s="71"/>
      <c r="K262" s="71"/>
      <c r="L262" s="8"/>
      <c r="M262" s="1680" t="s">
        <v>2353</v>
      </c>
      <c r="N262" s="1680"/>
      <c r="O262" s="1680"/>
      <c r="P262" s="1680"/>
      <c r="Q262" s="1680"/>
      <c r="R262" s="1680"/>
      <c r="S262" s="1680"/>
      <c r="T262" s="1680"/>
      <c r="U262" s="1680"/>
      <c r="V262" s="1680"/>
      <c r="W262" s="1680"/>
      <c r="X262" s="1680"/>
      <c r="Y262" s="1680"/>
      <c r="Z262" s="1680"/>
      <c r="AA262" s="1680"/>
      <c r="AB262" s="1680"/>
      <c r="AC262" s="1680"/>
      <c r="AD262" s="1680"/>
      <c r="AE262" s="1680"/>
      <c r="AL262" s="72"/>
      <c r="BA262" s="629"/>
    </row>
    <row r="263" spans="1:53" ht="12.75">
      <c r="A263" s="33"/>
      <c r="B263" s="8"/>
      <c r="C263" s="8"/>
      <c r="D263" s="71" t="s">
        <v>476</v>
      </c>
      <c r="E263" s="71"/>
      <c r="M263" s="1680" t="s">
        <v>2340</v>
      </c>
      <c r="N263" s="1680"/>
      <c r="O263" s="1680"/>
      <c r="P263" s="1680"/>
      <c r="Q263" s="1680"/>
      <c r="R263" s="1680"/>
      <c r="S263" s="1680"/>
      <c r="T263" s="1680"/>
      <c r="V263" s="73" t="s">
        <v>414</v>
      </c>
      <c r="W263" s="1701" t="s">
        <v>2354</v>
      </c>
      <c r="X263" s="1675"/>
      <c r="Y263" s="71" t="s">
        <v>479</v>
      </c>
      <c r="AC263" s="1699">
        <v>95521</v>
      </c>
      <c r="AD263" s="1699"/>
      <c r="AE263" s="1699"/>
      <c r="AL263" s="72"/>
      <c r="BA263" s="75"/>
    </row>
    <row r="264" spans="1:53" ht="12.75">
      <c r="A264" s="33"/>
      <c r="B264" s="8"/>
      <c r="C264" s="8"/>
      <c r="D264" s="74" t="s">
        <v>415</v>
      </c>
      <c r="E264" s="8"/>
      <c r="F264" s="8"/>
      <c r="G264" s="8"/>
      <c r="H264" s="8"/>
      <c r="I264" s="8"/>
      <c r="J264" s="8"/>
      <c r="K264" s="8"/>
      <c r="L264" s="39"/>
      <c r="M264" s="1680" t="s">
        <v>2355</v>
      </c>
      <c r="N264" s="1699"/>
      <c r="O264" s="1699"/>
      <c r="P264" s="1699"/>
      <c r="Q264" s="1699"/>
      <c r="R264" s="1699"/>
      <c r="S264" s="1699"/>
      <c r="T264" s="1699"/>
      <c r="U264" s="1699"/>
      <c r="V264" s="1699"/>
      <c r="W264" s="1699"/>
      <c r="X264" s="1699"/>
      <c r="Y264" s="1699"/>
      <c r="Z264" s="1699"/>
      <c r="AA264" s="1699"/>
      <c r="AB264" s="1699"/>
      <c r="AC264" s="1699"/>
      <c r="AD264" s="1699"/>
      <c r="AE264" s="1699"/>
      <c r="AJ264" s="8"/>
      <c r="AK264" s="8"/>
      <c r="AL264" s="72"/>
      <c r="BA264" s="75"/>
    </row>
    <row r="265" spans="1:53" ht="12.75">
      <c r="A265" s="33"/>
      <c r="B265" s="8"/>
      <c r="C265" s="8"/>
      <c r="D265" s="74" t="s">
        <v>416</v>
      </c>
      <c r="E265" s="8"/>
      <c r="F265" s="8"/>
      <c r="M265" s="1703" t="s">
        <v>2366</v>
      </c>
      <c r="N265" s="1665"/>
      <c r="O265" s="1665"/>
      <c r="P265" s="1665"/>
      <c r="Q265" s="1665"/>
      <c r="R265" s="1665"/>
      <c r="S265" s="8" t="s">
        <v>892</v>
      </c>
      <c r="T265" s="8"/>
      <c r="U265" s="1675"/>
      <c r="V265" s="1675"/>
      <c r="W265" s="1675"/>
      <c r="X265" s="8" t="s">
        <v>417</v>
      </c>
      <c r="Z265" s="1703" t="s">
        <v>2367</v>
      </c>
      <c r="AA265" s="1665"/>
      <c r="AB265" s="1665"/>
      <c r="AC265" s="1665"/>
      <c r="AD265" s="1665"/>
      <c r="AE265" s="1665"/>
      <c r="AL265" s="72"/>
      <c r="BA265" s="75"/>
    </row>
    <row r="266" spans="1:53" ht="12.75">
      <c r="A266" s="33"/>
      <c r="B266" s="8"/>
      <c r="C266" s="8"/>
      <c r="D266" s="74" t="s">
        <v>418</v>
      </c>
      <c r="E266" s="8"/>
      <c r="F266" s="8"/>
      <c r="M266" s="1709" t="s">
        <v>2356</v>
      </c>
      <c r="N266" s="1709"/>
      <c r="O266" s="1709"/>
      <c r="P266" s="1709"/>
      <c r="Q266" s="1709"/>
      <c r="R266" s="1709"/>
      <c r="S266" s="1709"/>
      <c r="T266" s="1709"/>
      <c r="U266" s="1709"/>
      <c r="V266" s="1709"/>
      <c r="W266" s="1709"/>
      <c r="X266" s="1709"/>
      <c r="Y266" s="1709"/>
      <c r="Z266" s="1709"/>
      <c r="AA266" s="1709"/>
      <c r="AB266" s="1709"/>
      <c r="AC266" s="1709"/>
      <c r="AD266" s="1709"/>
      <c r="AE266" s="1709"/>
      <c r="AG266" s="8"/>
      <c r="AH266" s="8"/>
      <c r="AI266" s="8"/>
      <c r="AJ266" s="8"/>
      <c r="AK266" s="8"/>
      <c r="AL266" s="72"/>
      <c r="BA266" s="75"/>
    </row>
    <row r="267" spans="1:53" ht="12.75">
      <c r="A267" s="33"/>
      <c r="B267" s="8"/>
      <c r="C267" s="147"/>
      <c r="D267" s="74" t="s">
        <v>697</v>
      </c>
      <c r="E267" s="8"/>
      <c r="F267" s="8"/>
      <c r="G267" s="8"/>
      <c r="H267" s="8"/>
      <c r="I267" s="8"/>
      <c r="J267" s="8"/>
      <c r="K267" s="8"/>
      <c r="L267" s="8"/>
      <c r="M267" s="1676" t="s">
        <v>698</v>
      </c>
      <c r="N267" s="1676"/>
      <c r="O267" s="1676"/>
      <c r="P267" s="1676"/>
      <c r="Q267" s="1676"/>
      <c r="R267" s="1676"/>
      <c r="S267" s="1676"/>
      <c r="T267" s="1676"/>
      <c r="U267" s="8" t="s">
        <v>1236</v>
      </c>
      <c r="AA267" s="1704"/>
      <c r="AB267" s="1704"/>
      <c r="AC267" s="1704"/>
      <c r="AD267" s="1704"/>
      <c r="AE267" s="1704"/>
      <c r="AF267" s="1704"/>
      <c r="AG267" s="1704"/>
      <c r="AH267" s="1704"/>
      <c r="AI267" s="1704"/>
      <c r="AJ267" s="1704"/>
      <c r="AK267" s="170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708" t="str">
        <f>BO245</f>
        <v>Joint Venture</v>
      </c>
      <c r="U269" s="1708"/>
      <c r="V269" s="1708"/>
      <c r="W269" s="1708"/>
      <c r="X269" s="1708"/>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99" t="s">
        <v>500</v>
      </c>
      <c r="E272" s="1699"/>
      <c r="F272" s="1699"/>
      <c r="G272" s="1699"/>
      <c r="H272" s="1699"/>
      <c r="J272" s="16" t="s">
        <v>972</v>
      </c>
      <c r="X272" s="1991">
        <v>44440</v>
      </c>
      <c r="Y272" s="1991"/>
      <c r="Z272" s="1991"/>
      <c r="AA272" s="1991"/>
      <c r="AB272" s="1991"/>
      <c r="AC272" s="1991"/>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707" t="s">
        <v>2357</v>
      </c>
      <c r="M276" s="1707"/>
      <c r="N276" s="1707"/>
      <c r="O276" s="1707"/>
      <c r="P276" s="1707"/>
      <c r="Q276" s="1707"/>
      <c r="R276" s="1707"/>
      <c r="S276" s="1707"/>
      <c r="T276" s="1707"/>
      <c r="U276" s="1707"/>
      <c r="V276" s="1707"/>
      <c r="W276" s="1707"/>
      <c r="X276" s="1707"/>
      <c r="Y276" s="1707"/>
      <c r="Z276" s="1707"/>
      <c r="AA276" s="1707"/>
      <c r="AB276" s="1707"/>
      <c r="AC276" s="1707"/>
      <c r="AD276" s="1707"/>
      <c r="AE276" s="1707"/>
      <c r="AF276" s="1707"/>
      <c r="AG276" s="1707"/>
      <c r="AH276" s="1707"/>
      <c r="AI276" s="1707"/>
      <c r="AJ276" s="1707"/>
      <c r="AK276" s="72"/>
      <c r="AL276" s="72"/>
      <c r="BA276" s="75"/>
    </row>
    <row r="277" spans="1:53" ht="12.75" customHeight="1">
      <c r="D277" s="71" t="s">
        <v>413</v>
      </c>
      <c r="E277" s="71"/>
      <c r="F277" s="71"/>
      <c r="G277" s="71"/>
      <c r="H277" s="71"/>
      <c r="I277" s="71"/>
      <c r="J277" s="71"/>
      <c r="K277" s="8"/>
      <c r="L277" s="1680" t="s">
        <v>2353</v>
      </c>
      <c r="M277" s="1680"/>
      <c r="N277" s="1680"/>
      <c r="O277" s="1680"/>
      <c r="P277" s="1680"/>
      <c r="Q277" s="1680"/>
      <c r="R277" s="1680"/>
      <c r="S277" s="1680"/>
      <c r="T277" s="1680"/>
      <c r="U277" s="1680"/>
      <c r="V277" s="1680"/>
      <c r="W277" s="1680"/>
      <c r="X277" s="1680"/>
      <c r="Y277" s="1680"/>
      <c r="Z277" s="1680"/>
      <c r="AA277" s="1680"/>
      <c r="AB277" s="1680"/>
      <c r="AC277" s="1680"/>
      <c r="AD277" s="1680"/>
      <c r="AK277" s="72"/>
      <c r="AL277" s="72"/>
      <c r="BA277" s="75"/>
    </row>
    <row r="278" spans="1:53" ht="12.75">
      <c r="D278" s="71" t="s">
        <v>476</v>
      </c>
      <c r="E278" s="71"/>
      <c r="L278" s="1680" t="s">
        <v>2340</v>
      </c>
      <c r="M278" s="1680"/>
      <c r="N278" s="1680"/>
      <c r="O278" s="1680"/>
      <c r="P278" s="1680"/>
      <c r="Q278" s="1680"/>
      <c r="R278" s="1680"/>
      <c r="S278" s="1680"/>
      <c r="U278" s="73" t="s">
        <v>414</v>
      </c>
      <c r="V278" s="1701" t="s">
        <v>2354</v>
      </c>
      <c r="W278" s="1701"/>
      <c r="X278" s="71" t="s">
        <v>479</v>
      </c>
      <c r="AB278" s="1699">
        <v>95521</v>
      </c>
      <c r="AC278" s="1699"/>
      <c r="AD278" s="1699"/>
      <c r="AK278" s="72"/>
      <c r="AL278" s="72"/>
      <c r="BA278" s="75"/>
    </row>
    <row r="279" spans="1:53" ht="12.75">
      <c r="D279" s="74" t="s">
        <v>415</v>
      </c>
      <c r="E279" s="8"/>
      <c r="F279" s="8"/>
      <c r="G279" s="8"/>
      <c r="H279" s="8"/>
      <c r="I279" s="8"/>
      <c r="J279" s="8"/>
      <c r="K279" s="39"/>
      <c r="L279" s="1680" t="s">
        <v>2369</v>
      </c>
      <c r="M279" s="1680"/>
      <c r="N279" s="1680"/>
      <c r="O279" s="1680"/>
      <c r="P279" s="1680"/>
      <c r="Q279" s="1680"/>
      <c r="R279" s="1680"/>
      <c r="S279" s="1680"/>
      <c r="T279" s="1680"/>
      <c r="U279" s="1680"/>
      <c r="V279" s="1680"/>
      <c r="W279" s="1680"/>
      <c r="X279" s="1680"/>
      <c r="Y279" s="1680"/>
      <c r="Z279" s="1680"/>
      <c r="AA279" s="1680"/>
      <c r="AB279" s="1680"/>
      <c r="AC279" s="1680"/>
      <c r="AD279" s="1680"/>
      <c r="AI279" s="8"/>
      <c r="AJ279" s="8"/>
      <c r="AK279" s="72"/>
      <c r="AL279" s="72"/>
      <c r="BA279" s="75"/>
    </row>
    <row r="280" spans="1:53" ht="12.75">
      <c r="D280" s="74" t="s">
        <v>416</v>
      </c>
      <c r="E280" s="8"/>
      <c r="F280" s="8"/>
      <c r="L280" s="1703">
        <v>7078251588</v>
      </c>
      <c r="M280" s="1703"/>
      <c r="N280" s="1703"/>
      <c r="O280" s="1703"/>
      <c r="P280" s="1703"/>
      <c r="Q280" s="1703"/>
      <c r="R280" s="8" t="s">
        <v>892</v>
      </c>
      <c r="S280" s="8"/>
      <c r="T280" s="1675"/>
      <c r="U280" s="1675"/>
      <c r="V280" s="1675"/>
      <c r="W280" s="8" t="s">
        <v>417</v>
      </c>
      <c r="Y280" s="1703">
        <v>7078252801</v>
      </c>
      <c r="Z280" s="1703"/>
      <c r="AA280" s="1703"/>
      <c r="AB280" s="1703"/>
      <c r="AC280" s="1703"/>
      <c r="AD280" s="1703"/>
      <c r="BA280" s="75"/>
    </row>
    <row r="281" spans="1:53" ht="12.75">
      <c r="D281" s="74" t="s">
        <v>418</v>
      </c>
      <c r="E281" s="8"/>
      <c r="F281" s="8"/>
      <c r="L281" s="1709" t="s">
        <v>2370</v>
      </c>
      <c r="M281" s="1709"/>
      <c r="N281" s="1709"/>
      <c r="O281" s="1709"/>
      <c r="P281" s="1709"/>
      <c r="Q281" s="1709"/>
      <c r="R281" s="1709"/>
      <c r="S281" s="1709"/>
      <c r="T281" s="1709"/>
      <c r="U281" s="1709"/>
      <c r="V281" s="1709"/>
      <c r="W281" s="1709"/>
      <c r="X281" s="1709"/>
      <c r="Y281" s="1709"/>
      <c r="Z281" s="1709"/>
      <c r="AA281" s="1709"/>
      <c r="AB281" s="1709"/>
      <c r="AC281" s="1709"/>
      <c r="AD281" s="1709"/>
      <c r="AF281" s="8"/>
      <c r="AG281" s="8"/>
      <c r="AH281" s="8"/>
      <c r="AI281" s="8"/>
      <c r="AJ281" s="8"/>
      <c r="BA281" s="75"/>
    </row>
    <row r="282" spans="1:53" ht="12.75">
      <c r="D282" s="72" t="s">
        <v>202</v>
      </c>
      <c r="E282" s="72"/>
      <c r="F282" s="72"/>
      <c r="G282" s="72"/>
      <c r="H282" s="72"/>
      <c r="I282" s="72"/>
      <c r="L282" s="1701" t="s">
        <v>2371</v>
      </c>
      <c r="M282" s="1701"/>
      <c r="N282" s="1701"/>
      <c r="O282" s="1701"/>
      <c r="P282" s="1701"/>
      <c r="Q282" s="1701"/>
      <c r="R282" s="1701"/>
      <c r="S282" s="1701"/>
      <c r="T282" s="1701"/>
      <c r="U282" s="1701"/>
      <c r="V282" s="1701"/>
      <c r="W282" s="1701"/>
      <c r="X282" s="1701"/>
      <c r="Y282" s="1701"/>
      <c r="Z282" s="1701"/>
      <c r="AA282" s="1701"/>
      <c r="AB282" s="1701"/>
      <c r="AC282" s="1701"/>
      <c r="AD282" s="1701"/>
      <c r="AK282" s="72"/>
      <c r="AL282" s="72"/>
      <c r="BA282" s="75"/>
    </row>
    <row r="283" spans="1:53" ht="12.75">
      <c r="L283" s="46" t="s">
        <v>203</v>
      </c>
      <c r="BA283" s="75"/>
    </row>
    <row r="284" spans="1:53" ht="12.75">
      <c r="A284" s="1705" t="s">
        <v>542</v>
      </c>
      <c r="B284" s="1705"/>
      <c r="C284" s="1705"/>
      <c r="D284" s="1705"/>
      <c r="E284" s="1705"/>
      <c r="F284" s="1705"/>
      <c r="G284" s="1705"/>
      <c r="H284" s="1705"/>
      <c r="I284" s="1705"/>
      <c r="J284" s="1705"/>
      <c r="K284" s="1705"/>
      <c r="L284" s="1705"/>
      <c r="M284" s="1705"/>
      <c r="N284" s="1705"/>
      <c r="O284" s="1705"/>
      <c r="P284" s="1705"/>
      <c r="Q284" s="1705"/>
      <c r="R284" s="1705"/>
      <c r="S284" s="1705"/>
      <c r="T284" s="1705"/>
      <c r="U284" s="1705"/>
      <c r="V284" s="1705"/>
      <c r="W284" s="1705"/>
      <c r="X284" s="1705"/>
      <c r="Y284" s="1705"/>
      <c r="Z284" s="1705"/>
      <c r="AA284" s="1705"/>
      <c r="AB284" s="1705"/>
      <c r="AC284" s="1705"/>
      <c r="AD284" s="1705"/>
      <c r="AE284" s="1705"/>
      <c r="AF284" s="1705"/>
      <c r="AG284" s="1705"/>
      <c r="AH284" s="1705"/>
      <c r="AI284" s="1705"/>
      <c r="AJ284" s="1705"/>
      <c r="AK284" s="1705"/>
      <c r="AL284" s="1705"/>
      <c r="BA284" s="75"/>
    </row>
    <row r="285" spans="1:53" ht="13.5" thickBot="1">
      <c r="A285" s="1706"/>
      <c r="B285" s="1706"/>
      <c r="C285" s="1706"/>
      <c r="D285" s="1706"/>
      <c r="E285" s="1706"/>
      <c r="F285" s="1706"/>
      <c r="G285" s="1706"/>
      <c r="H285" s="1706"/>
      <c r="I285" s="1706"/>
      <c r="J285" s="1706"/>
      <c r="K285" s="1706"/>
      <c r="L285" s="1706"/>
      <c r="M285" s="1706"/>
      <c r="N285" s="1706"/>
      <c r="O285" s="1706"/>
      <c r="P285" s="1706"/>
      <c r="Q285" s="1706"/>
      <c r="R285" s="1706"/>
      <c r="S285" s="1706"/>
      <c r="T285" s="1706"/>
      <c r="U285" s="1706"/>
      <c r="V285" s="1706"/>
      <c r="W285" s="1706"/>
      <c r="X285" s="1706"/>
      <c r="Y285" s="1706"/>
      <c r="Z285" s="1706"/>
      <c r="AA285" s="1706"/>
      <c r="AB285" s="1706"/>
      <c r="AC285" s="1706"/>
      <c r="AD285" s="1706"/>
      <c r="AE285" s="1706"/>
      <c r="AF285" s="1706"/>
      <c r="AG285" s="1706"/>
      <c r="AH285" s="1706"/>
      <c r="AI285" s="1706"/>
      <c r="AJ285" s="1706"/>
      <c r="AK285" s="1706"/>
      <c r="AL285" s="170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4" t="s">
        <v>2357</v>
      </c>
      <c r="I289" s="1664"/>
      <c r="J289" s="1664"/>
      <c r="K289" s="1664"/>
      <c r="L289" s="1664"/>
      <c r="M289" s="1664"/>
      <c r="N289" s="1664"/>
      <c r="O289" s="1664"/>
      <c r="P289" s="1664"/>
      <c r="Q289" s="1664"/>
      <c r="R289" s="1664"/>
      <c r="T289" s="72" t="s">
        <v>808</v>
      </c>
      <c r="V289" s="72"/>
      <c r="W289" s="72"/>
      <c r="X289" s="72"/>
      <c r="Y289" s="72"/>
      <c r="AA289" s="1680" t="s">
        <v>2374</v>
      </c>
      <c r="AB289" s="1664"/>
      <c r="AC289" s="1664"/>
      <c r="AD289" s="1664"/>
      <c r="AE289" s="1664"/>
      <c r="AF289" s="1664"/>
      <c r="AG289" s="1664"/>
      <c r="AH289" s="1664"/>
      <c r="AI289" s="1664"/>
      <c r="AJ289" s="1664"/>
      <c r="AK289" s="1664"/>
      <c r="BA289" s="75"/>
    </row>
    <row r="290" spans="2:53" ht="12.75">
      <c r="B290" s="72" t="s">
        <v>761</v>
      </c>
      <c r="C290" s="72"/>
      <c r="D290" s="72"/>
      <c r="E290" s="72"/>
      <c r="F290" s="72"/>
      <c r="H290" s="1676" t="s">
        <v>2353</v>
      </c>
      <c r="I290" s="1676"/>
      <c r="J290" s="1676"/>
      <c r="K290" s="1676"/>
      <c r="L290" s="1676"/>
      <c r="M290" s="1676"/>
      <c r="N290" s="1676"/>
      <c r="O290" s="1676"/>
      <c r="P290" s="1676"/>
      <c r="Q290" s="1676"/>
      <c r="R290" s="1676"/>
      <c r="T290" s="72" t="s">
        <v>761</v>
      </c>
      <c r="V290" s="72"/>
      <c r="W290" s="72"/>
      <c r="X290" s="72"/>
      <c r="Y290" s="72"/>
      <c r="AA290" s="1701" t="s">
        <v>2375</v>
      </c>
      <c r="AB290" s="1676"/>
      <c r="AC290" s="1676"/>
      <c r="AD290" s="1676"/>
      <c r="AE290" s="1676"/>
      <c r="AF290" s="1676"/>
      <c r="AG290" s="1676"/>
      <c r="AH290" s="1676"/>
      <c r="AI290" s="1676"/>
      <c r="AJ290" s="1676"/>
      <c r="AK290" s="1676"/>
      <c r="BA290" s="75"/>
    </row>
    <row r="291" spans="2:53" ht="12.75">
      <c r="B291" s="72" t="s">
        <v>763</v>
      </c>
      <c r="C291" s="72"/>
      <c r="D291" s="72"/>
      <c r="E291" s="72"/>
      <c r="F291" s="72"/>
      <c r="H291" s="1676" t="s">
        <v>2368</v>
      </c>
      <c r="I291" s="1676"/>
      <c r="J291" s="1676"/>
      <c r="K291" s="1676"/>
      <c r="L291" s="1676"/>
      <c r="M291" s="1676"/>
      <c r="N291" s="1676"/>
      <c r="O291" s="1676"/>
      <c r="P291" s="1676"/>
      <c r="Q291" s="1676"/>
      <c r="R291" s="1676"/>
      <c r="T291" s="72" t="s">
        <v>762</v>
      </c>
      <c r="V291" s="72"/>
      <c r="W291" s="72"/>
      <c r="X291" s="72"/>
      <c r="Y291" s="72"/>
      <c r="AA291" s="1701" t="s">
        <v>2376</v>
      </c>
      <c r="AB291" s="1676"/>
      <c r="AC291" s="1676"/>
      <c r="AD291" s="1676"/>
      <c r="AE291" s="1676"/>
      <c r="AF291" s="1676"/>
      <c r="AG291" s="1676"/>
      <c r="AH291" s="1676"/>
      <c r="AI291" s="1676"/>
      <c r="AJ291" s="1676"/>
      <c r="AK291" s="1676"/>
      <c r="BA291" s="75"/>
    </row>
    <row r="292" spans="2:53" ht="12.75">
      <c r="B292" s="72" t="s">
        <v>415</v>
      </c>
      <c r="C292" s="72"/>
      <c r="D292" s="72"/>
      <c r="E292" s="72"/>
      <c r="F292" s="72"/>
      <c r="H292" s="1676" t="s">
        <v>2355</v>
      </c>
      <c r="I292" s="1676"/>
      <c r="J292" s="1676"/>
      <c r="K292" s="1676"/>
      <c r="L292" s="1676"/>
      <c r="M292" s="1676"/>
      <c r="N292" s="1676"/>
      <c r="O292" s="1676"/>
      <c r="P292" s="1676"/>
      <c r="Q292" s="1676"/>
      <c r="R292" s="1676"/>
      <c r="T292" s="72" t="s">
        <v>415</v>
      </c>
      <c r="V292" s="72"/>
      <c r="W292" s="72"/>
      <c r="X292" s="72"/>
      <c r="Y292" s="72"/>
      <c r="AA292" s="1701" t="s">
        <v>2377</v>
      </c>
      <c r="AB292" s="1676"/>
      <c r="AC292" s="1676"/>
      <c r="AD292" s="1676"/>
      <c r="AE292" s="1676"/>
      <c r="AF292" s="1676"/>
      <c r="AG292" s="1676"/>
      <c r="AH292" s="1676"/>
      <c r="AI292" s="1676"/>
      <c r="AJ292" s="1676"/>
      <c r="AK292" s="1676"/>
      <c r="BA292" s="75"/>
    </row>
    <row r="293" spans="2:53" ht="12.75" customHeight="1">
      <c r="B293" s="72" t="s">
        <v>416</v>
      </c>
      <c r="C293" s="72"/>
      <c r="D293" s="72"/>
      <c r="E293" s="72"/>
      <c r="F293" s="72"/>
      <c r="G293" s="72"/>
      <c r="H293" s="1702" t="s">
        <v>2372</v>
      </c>
      <c r="I293" s="1702"/>
      <c r="J293" s="1702"/>
      <c r="K293" s="1702"/>
      <c r="L293" s="1702"/>
      <c r="M293" s="1702"/>
      <c r="N293" s="8" t="s">
        <v>892</v>
      </c>
      <c r="O293" s="8"/>
      <c r="P293" s="1699"/>
      <c r="Q293" s="1699"/>
      <c r="R293" s="1699"/>
      <c r="S293" s="72"/>
      <c r="T293" s="72" t="s">
        <v>416</v>
      </c>
      <c r="V293" s="72"/>
      <c r="W293" s="72"/>
      <c r="X293" s="72"/>
      <c r="Y293" s="72"/>
      <c r="AA293" s="1702" t="s">
        <v>2378</v>
      </c>
      <c r="AB293" s="1702"/>
      <c r="AC293" s="1702"/>
      <c r="AD293" s="1702"/>
      <c r="AE293" s="1702"/>
      <c r="AF293" s="1702"/>
      <c r="AG293" s="8" t="s">
        <v>892</v>
      </c>
      <c r="AH293" s="8"/>
      <c r="AI293" s="1699"/>
      <c r="AJ293" s="1699"/>
      <c r="AK293" s="1699"/>
      <c r="BA293" s="75"/>
    </row>
    <row r="294" spans="2:53" ht="12.75">
      <c r="B294" s="72" t="s">
        <v>417</v>
      </c>
      <c r="C294" s="72"/>
      <c r="D294" s="72"/>
      <c r="E294" s="72"/>
      <c r="F294" s="72"/>
      <c r="G294" s="72"/>
      <c r="H294" s="1703" t="s">
        <v>2373</v>
      </c>
      <c r="I294" s="1703"/>
      <c r="J294" s="1703"/>
      <c r="K294" s="1703"/>
      <c r="L294" s="1703"/>
      <c r="M294" s="1703"/>
      <c r="N294" s="74"/>
      <c r="O294" s="74"/>
      <c r="P294" s="76"/>
      <c r="Q294" s="76"/>
      <c r="R294" s="76"/>
      <c r="S294" s="72"/>
      <c r="T294" s="72" t="s">
        <v>417</v>
      </c>
      <c r="V294" s="72"/>
      <c r="W294" s="72"/>
      <c r="X294" s="72"/>
      <c r="Y294" s="72"/>
      <c r="AA294" s="1665"/>
      <c r="AB294" s="1665"/>
      <c r="AC294" s="1665"/>
      <c r="AD294" s="1665"/>
      <c r="AE294" s="1665"/>
      <c r="AF294" s="1665"/>
      <c r="AG294" s="74"/>
      <c r="AH294" s="74"/>
      <c r="AI294" s="76"/>
      <c r="AJ294" s="76"/>
      <c r="AK294" s="76"/>
      <c r="BA294" s="75"/>
    </row>
    <row r="295" spans="2:53" ht="12.75">
      <c r="B295" s="72" t="s">
        <v>764</v>
      </c>
      <c r="C295" s="72"/>
      <c r="D295" s="72"/>
      <c r="E295" s="72"/>
      <c r="F295" s="72"/>
      <c r="G295" s="72"/>
      <c r="H295" s="1676" t="s">
        <v>2356</v>
      </c>
      <c r="I295" s="1676"/>
      <c r="J295" s="1676"/>
      <c r="K295" s="1676"/>
      <c r="L295" s="1676"/>
      <c r="M295" s="1676"/>
      <c r="N295" s="1664"/>
      <c r="O295" s="1664"/>
      <c r="P295" s="1664"/>
      <c r="Q295" s="1664"/>
      <c r="R295" s="1664"/>
      <c r="S295" s="72"/>
      <c r="T295" s="72" t="s">
        <v>764</v>
      </c>
      <c r="V295" s="72"/>
      <c r="W295" s="72"/>
      <c r="X295" s="72"/>
      <c r="Y295" s="72"/>
      <c r="AA295" s="1701" t="s">
        <v>2379</v>
      </c>
      <c r="AB295" s="1676"/>
      <c r="AC295" s="1676"/>
      <c r="AD295" s="1676"/>
      <c r="AE295" s="1676"/>
      <c r="AF295" s="1676"/>
      <c r="AG295" s="1664"/>
      <c r="AH295" s="1664"/>
      <c r="AI295" s="1664"/>
      <c r="AJ295" s="1664"/>
      <c r="AK295" s="166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4" t="s">
        <v>2380</v>
      </c>
      <c r="I297" s="1664"/>
      <c r="J297" s="1664"/>
      <c r="K297" s="1664"/>
      <c r="L297" s="1664"/>
      <c r="M297" s="1664"/>
      <c r="N297" s="1664"/>
      <c r="O297" s="1664"/>
      <c r="P297" s="1664"/>
      <c r="Q297" s="1664"/>
      <c r="R297" s="1664"/>
      <c r="T297" s="72" t="s">
        <v>40</v>
      </c>
      <c r="V297" s="72"/>
      <c r="W297" s="72"/>
      <c r="X297" s="72"/>
      <c r="Y297" s="72"/>
      <c r="AA297" s="1664" t="s">
        <v>2385</v>
      </c>
      <c r="AB297" s="1664"/>
      <c r="AC297" s="1664"/>
      <c r="AD297" s="1664"/>
      <c r="AE297" s="1664"/>
      <c r="AF297" s="1664"/>
      <c r="AG297" s="1664"/>
      <c r="AH297" s="1664"/>
      <c r="AI297" s="1664"/>
      <c r="AJ297" s="1664"/>
      <c r="AK297" s="1664"/>
      <c r="BA297" s="75"/>
    </row>
    <row r="298" spans="2:53" ht="12.75">
      <c r="B298" s="72" t="s">
        <v>761</v>
      </c>
      <c r="C298" s="72"/>
      <c r="D298" s="72"/>
      <c r="E298" s="72"/>
      <c r="F298" s="72"/>
      <c r="H298" s="1676" t="s">
        <v>2381</v>
      </c>
      <c r="I298" s="1676"/>
      <c r="J298" s="1676"/>
      <c r="K298" s="1676"/>
      <c r="L298" s="1676"/>
      <c r="M298" s="1676"/>
      <c r="N298" s="1676"/>
      <c r="O298" s="1676"/>
      <c r="P298" s="1676"/>
      <c r="Q298" s="1676"/>
      <c r="R298" s="1676"/>
      <c r="T298" s="72" t="s">
        <v>761</v>
      </c>
      <c r="V298" s="72"/>
      <c r="W298" s="72"/>
      <c r="X298" s="72"/>
      <c r="Y298" s="72"/>
      <c r="AA298" s="1676" t="str">
        <f t="shared" ref="AA298" si="0">H290</f>
        <v>5251 Ericson Way</v>
      </c>
      <c r="AB298" s="1676"/>
      <c r="AC298" s="1676"/>
      <c r="AD298" s="1676"/>
      <c r="AE298" s="1676"/>
      <c r="AF298" s="1676"/>
      <c r="AG298" s="1676"/>
      <c r="AH298" s="1676"/>
      <c r="AI298" s="1676"/>
      <c r="AJ298" s="1676"/>
      <c r="AK298" s="1676"/>
      <c r="BA298" s="75"/>
    </row>
    <row r="299" spans="2:53" ht="12.75">
      <c r="B299" s="72" t="s">
        <v>763</v>
      </c>
      <c r="C299" s="72"/>
      <c r="D299" s="72"/>
      <c r="E299" s="72"/>
      <c r="F299" s="72"/>
      <c r="H299" s="1676" t="s">
        <v>2382</v>
      </c>
      <c r="I299" s="1676"/>
      <c r="J299" s="1676"/>
      <c r="K299" s="1676"/>
      <c r="L299" s="1676"/>
      <c r="M299" s="1676"/>
      <c r="N299" s="1676"/>
      <c r="O299" s="1676"/>
      <c r="P299" s="1676"/>
      <c r="Q299" s="1676"/>
      <c r="R299" s="1676"/>
      <c r="T299" s="72" t="s">
        <v>762</v>
      </c>
      <c r="V299" s="72"/>
      <c r="W299" s="72"/>
      <c r="X299" s="72"/>
      <c r="Y299" s="72"/>
      <c r="AA299" s="1676" t="s">
        <v>2368</v>
      </c>
      <c r="AB299" s="1676"/>
      <c r="AC299" s="1676"/>
      <c r="AD299" s="1676"/>
      <c r="AE299" s="1676"/>
      <c r="AF299" s="1676"/>
      <c r="AG299" s="1676"/>
      <c r="AH299" s="1676"/>
      <c r="AI299" s="1676"/>
      <c r="AJ299" s="1676"/>
      <c r="AK299" s="1676"/>
      <c r="BA299" s="75"/>
    </row>
    <row r="300" spans="2:53" ht="12.75">
      <c r="B300" s="72" t="s">
        <v>415</v>
      </c>
      <c r="C300" s="72"/>
      <c r="D300" s="72"/>
      <c r="E300" s="72"/>
      <c r="F300" s="72"/>
      <c r="H300" s="1676" t="s">
        <v>2383</v>
      </c>
      <c r="I300" s="1676"/>
      <c r="J300" s="1676"/>
      <c r="K300" s="1676"/>
      <c r="L300" s="1676"/>
      <c r="M300" s="1676"/>
      <c r="N300" s="1676"/>
      <c r="O300" s="1676"/>
      <c r="P300" s="1676"/>
      <c r="Q300" s="1676"/>
      <c r="R300" s="1676"/>
      <c r="T300" s="72" t="s">
        <v>415</v>
      </c>
      <c r="V300" s="72"/>
      <c r="W300" s="72"/>
      <c r="X300" s="72"/>
      <c r="Y300" s="72"/>
      <c r="AA300" s="1676" t="s">
        <v>2355</v>
      </c>
      <c r="AB300" s="1676"/>
      <c r="AC300" s="1676"/>
      <c r="AD300" s="1676"/>
      <c r="AE300" s="1676"/>
      <c r="AF300" s="1676"/>
      <c r="AG300" s="1676"/>
      <c r="AH300" s="1676"/>
      <c r="AI300" s="1676"/>
      <c r="AJ300" s="1676"/>
      <c r="AK300" s="1676"/>
      <c r="BA300" s="75"/>
    </row>
    <row r="301" spans="2:53" ht="12.75" customHeight="1">
      <c r="B301" s="72" t="s">
        <v>416</v>
      </c>
      <c r="C301" s="72"/>
      <c r="D301" s="72"/>
      <c r="E301" s="72"/>
      <c r="F301" s="72"/>
      <c r="G301" s="72"/>
      <c r="H301" s="1702">
        <v>3103465491</v>
      </c>
      <c r="I301" s="1702"/>
      <c r="J301" s="1702"/>
      <c r="K301" s="1702"/>
      <c r="L301" s="1702"/>
      <c r="M301" s="1702"/>
      <c r="N301" s="8" t="s">
        <v>892</v>
      </c>
      <c r="O301" s="8"/>
      <c r="P301" s="1699"/>
      <c r="Q301" s="1699"/>
      <c r="R301" s="1699"/>
      <c r="S301" s="72"/>
      <c r="T301" s="72" t="s">
        <v>416</v>
      </c>
      <c r="V301" s="72"/>
      <c r="W301" s="72"/>
      <c r="X301" s="72"/>
      <c r="Y301" s="72"/>
      <c r="AA301" s="1702" t="s">
        <v>2386</v>
      </c>
      <c r="AB301" s="1704"/>
      <c r="AC301" s="1704"/>
      <c r="AD301" s="1704"/>
      <c r="AE301" s="1704"/>
      <c r="AF301" s="1704"/>
      <c r="AG301" s="8" t="s">
        <v>892</v>
      </c>
      <c r="AH301" s="8"/>
      <c r="AI301" s="1699"/>
      <c r="AJ301" s="1699"/>
      <c r="AK301" s="1699"/>
      <c r="BA301" s="75"/>
    </row>
    <row r="302" spans="2:53" ht="12.75">
      <c r="B302" s="72" t="s">
        <v>417</v>
      </c>
      <c r="C302" s="72"/>
      <c r="D302" s="72"/>
      <c r="E302" s="72"/>
      <c r="F302" s="72"/>
      <c r="G302" s="72"/>
      <c r="H302" s="1665"/>
      <c r="I302" s="1665"/>
      <c r="J302" s="1665"/>
      <c r="K302" s="1665"/>
      <c r="L302" s="1665"/>
      <c r="M302" s="1665"/>
      <c r="N302" s="74"/>
      <c r="O302" s="74"/>
      <c r="P302" s="76"/>
      <c r="Q302" s="76"/>
      <c r="R302" s="76"/>
      <c r="S302" s="72"/>
      <c r="T302" s="72" t="s">
        <v>417</v>
      </c>
      <c r="V302" s="72"/>
      <c r="W302" s="72"/>
      <c r="X302" s="72"/>
      <c r="Y302" s="72"/>
      <c r="AA302" s="1703" t="str">
        <f t="shared" ref="AA302:AA303" si="1">H294</f>
        <v>707-822-9596</v>
      </c>
      <c r="AB302" s="1703"/>
      <c r="AC302" s="1703"/>
      <c r="AD302" s="1703"/>
      <c r="AE302" s="1703"/>
      <c r="AF302" s="1703"/>
      <c r="AG302" s="74"/>
      <c r="AH302" s="74"/>
      <c r="AI302" s="76"/>
      <c r="AJ302" s="76"/>
      <c r="AK302" s="76"/>
      <c r="BA302" s="75"/>
    </row>
    <row r="303" spans="2:53" ht="12.75">
      <c r="B303" s="72" t="s">
        <v>764</v>
      </c>
      <c r="C303" s="72"/>
      <c r="D303" s="72"/>
      <c r="E303" s="72"/>
      <c r="F303" s="72"/>
      <c r="G303" s="72"/>
      <c r="H303" s="1676" t="s">
        <v>2384</v>
      </c>
      <c r="I303" s="1676"/>
      <c r="J303" s="1676"/>
      <c r="K303" s="1676"/>
      <c r="L303" s="1676"/>
      <c r="M303" s="1676"/>
      <c r="N303" s="1664"/>
      <c r="O303" s="1664"/>
      <c r="P303" s="1664"/>
      <c r="Q303" s="1664"/>
      <c r="R303" s="1664"/>
      <c r="S303" s="72"/>
      <c r="T303" s="72" t="s">
        <v>764</v>
      </c>
      <c r="V303" s="72"/>
      <c r="W303" s="72"/>
      <c r="X303" s="72"/>
      <c r="Y303" s="72"/>
      <c r="AA303" s="1676" t="str">
        <f t="shared" si="1"/>
        <v>cdart@danco-group.com</v>
      </c>
      <c r="AB303" s="1676"/>
      <c r="AC303" s="1676"/>
      <c r="AD303" s="1676"/>
      <c r="AE303" s="1676"/>
      <c r="AF303" s="1676"/>
      <c r="AG303" s="1664"/>
      <c r="AH303" s="1664"/>
      <c r="AI303" s="1664"/>
      <c r="AJ303" s="1664"/>
      <c r="AK303" s="1664"/>
      <c r="BA303" s="75"/>
    </row>
    <row r="304" spans="2:53" ht="12.75">
      <c r="BA304" s="75"/>
    </row>
    <row r="305" spans="1:53" ht="12.75" customHeight="1">
      <c r="B305" s="72" t="s">
        <v>765</v>
      </c>
      <c r="C305" s="72"/>
      <c r="D305" s="72"/>
      <c r="E305" s="72"/>
      <c r="F305" s="72"/>
      <c r="H305" s="1664" t="s">
        <v>2387</v>
      </c>
      <c r="I305" s="1664"/>
      <c r="J305" s="1664"/>
      <c r="K305" s="1664"/>
      <c r="L305" s="1664"/>
      <c r="M305" s="1664"/>
      <c r="N305" s="1664"/>
      <c r="O305" s="1664"/>
      <c r="P305" s="1664"/>
      <c r="Q305" s="1664"/>
      <c r="R305" s="1664"/>
      <c r="T305" s="8" t="s">
        <v>1193</v>
      </c>
      <c r="V305" s="72"/>
      <c r="W305" s="72"/>
      <c r="X305" s="72"/>
      <c r="Y305" s="72"/>
      <c r="AA305" s="1664" t="s">
        <v>2394</v>
      </c>
      <c r="AB305" s="1664"/>
      <c r="AC305" s="1664"/>
      <c r="AD305" s="1664"/>
      <c r="AE305" s="1664"/>
      <c r="AF305" s="1664"/>
      <c r="AG305" s="1664"/>
      <c r="AH305" s="1664"/>
      <c r="AI305" s="1664"/>
      <c r="AJ305" s="1664"/>
      <c r="AK305" s="1664"/>
      <c r="BA305" s="75"/>
    </row>
    <row r="306" spans="1:53" ht="12.75" customHeight="1">
      <c r="B306" s="72" t="s">
        <v>761</v>
      </c>
      <c r="C306" s="72"/>
      <c r="D306" s="72"/>
      <c r="E306" s="72"/>
      <c r="F306" s="72"/>
      <c r="H306" s="1676" t="s">
        <v>2388</v>
      </c>
      <c r="I306" s="1676"/>
      <c r="J306" s="1676"/>
      <c r="K306" s="1676"/>
      <c r="L306" s="1676"/>
      <c r="M306" s="1676"/>
      <c r="N306" s="1676"/>
      <c r="O306" s="1676"/>
      <c r="P306" s="1676"/>
      <c r="Q306" s="1676"/>
      <c r="R306" s="1676"/>
      <c r="T306" s="72" t="s">
        <v>761</v>
      </c>
      <c r="V306" s="72"/>
      <c r="W306" s="72"/>
      <c r="X306" s="72"/>
      <c r="Y306" s="72"/>
      <c r="AA306" s="1676" t="s">
        <v>2395</v>
      </c>
      <c r="AB306" s="1676"/>
      <c r="AC306" s="1676"/>
      <c r="AD306" s="1676"/>
      <c r="AE306" s="1676"/>
      <c r="AF306" s="1676"/>
      <c r="AG306" s="1676"/>
      <c r="AH306" s="1676"/>
      <c r="AI306" s="1676"/>
      <c r="AJ306" s="1676"/>
      <c r="AK306" s="1676"/>
      <c r="BA306" s="75"/>
    </row>
    <row r="307" spans="1:53" ht="12.75" customHeight="1">
      <c r="B307" s="72" t="s">
        <v>763</v>
      </c>
      <c r="C307" s="72"/>
      <c r="D307" s="72"/>
      <c r="E307" s="72"/>
      <c r="F307" s="72"/>
      <c r="H307" s="1676" t="s">
        <v>2389</v>
      </c>
      <c r="I307" s="1676"/>
      <c r="J307" s="1676"/>
      <c r="K307" s="1676"/>
      <c r="L307" s="1676"/>
      <c r="M307" s="1676"/>
      <c r="N307" s="1676"/>
      <c r="O307" s="1676"/>
      <c r="P307" s="1676"/>
      <c r="Q307" s="1676"/>
      <c r="R307" s="1676"/>
      <c r="T307" s="72" t="s">
        <v>762</v>
      </c>
      <c r="V307" s="72"/>
      <c r="W307" s="72"/>
      <c r="X307" s="72"/>
      <c r="Y307" s="72"/>
      <c r="AA307" s="1676" t="s">
        <v>2368</v>
      </c>
      <c r="AB307" s="1676"/>
      <c r="AC307" s="1676"/>
      <c r="AD307" s="1676"/>
      <c r="AE307" s="1676"/>
      <c r="AF307" s="1676"/>
      <c r="AG307" s="1676"/>
      <c r="AH307" s="1676"/>
      <c r="AI307" s="1676"/>
      <c r="AJ307" s="1676"/>
      <c r="AK307" s="1676"/>
      <c r="BA307" s="75"/>
    </row>
    <row r="308" spans="1:53" ht="12.75" customHeight="1">
      <c r="B308" s="72" t="s">
        <v>415</v>
      </c>
      <c r="C308" s="72"/>
      <c r="D308" s="72"/>
      <c r="E308" s="72"/>
      <c r="F308" s="72"/>
      <c r="H308" s="1676" t="s">
        <v>2390</v>
      </c>
      <c r="I308" s="1676"/>
      <c r="J308" s="1676"/>
      <c r="K308" s="1676"/>
      <c r="L308" s="1676"/>
      <c r="M308" s="1676"/>
      <c r="N308" s="1676"/>
      <c r="O308" s="1676"/>
      <c r="P308" s="1676"/>
      <c r="Q308" s="1676"/>
      <c r="R308" s="1676"/>
      <c r="T308" s="72" t="s">
        <v>415</v>
      </c>
      <c r="V308" s="72"/>
      <c r="W308" s="72"/>
      <c r="X308" s="72"/>
      <c r="Y308" s="72"/>
      <c r="AA308" s="1676" t="s">
        <v>2396</v>
      </c>
      <c r="AB308" s="1676"/>
      <c r="AC308" s="1676"/>
      <c r="AD308" s="1676"/>
      <c r="AE308" s="1676"/>
      <c r="AF308" s="1676"/>
      <c r="AG308" s="1676"/>
      <c r="AH308" s="1676"/>
      <c r="AI308" s="1676"/>
      <c r="AJ308" s="1676"/>
      <c r="AK308" s="1676"/>
      <c r="BA308" s="75"/>
    </row>
    <row r="309" spans="1:53" ht="12.75">
      <c r="B309" s="72" t="s">
        <v>416</v>
      </c>
      <c r="C309" s="72"/>
      <c r="D309" s="72"/>
      <c r="E309" s="72"/>
      <c r="F309" s="72"/>
      <c r="G309" s="72"/>
      <c r="H309" s="1702" t="s">
        <v>2391</v>
      </c>
      <c r="I309" s="1702"/>
      <c r="J309" s="1702"/>
      <c r="K309" s="1702"/>
      <c r="L309" s="1702"/>
      <c r="M309" s="1702"/>
      <c r="N309" s="8" t="s">
        <v>892</v>
      </c>
      <c r="O309" s="8"/>
      <c r="P309" s="1699"/>
      <c r="Q309" s="1699"/>
      <c r="R309" s="1699"/>
      <c r="S309" s="72"/>
      <c r="T309" s="72" t="s">
        <v>416</v>
      </c>
      <c r="V309" s="72"/>
      <c r="W309" s="72"/>
      <c r="X309" s="72"/>
      <c r="Y309" s="72"/>
      <c r="AA309" s="1702">
        <v>7078221857</v>
      </c>
      <c r="AB309" s="1702"/>
      <c r="AC309" s="1702"/>
      <c r="AD309" s="1702"/>
      <c r="AE309" s="1702"/>
      <c r="AF309" s="1702"/>
      <c r="AG309" s="8" t="s">
        <v>892</v>
      </c>
      <c r="AH309" s="8"/>
      <c r="AI309" s="1699"/>
      <c r="AJ309" s="1699"/>
      <c r="AK309" s="1699"/>
      <c r="BA309" s="75"/>
    </row>
    <row r="310" spans="1:53" ht="12.75">
      <c r="B310" s="72" t="s">
        <v>417</v>
      </c>
      <c r="C310" s="72"/>
      <c r="D310" s="72"/>
      <c r="E310" s="72"/>
      <c r="F310" s="72"/>
      <c r="G310" s="72"/>
      <c r="H310" s="1703" t="s">
        <v>2392</v>
      </c>
      <c r="I310" s="1703"/>
      <c r="J310" s="1703"/>
      <c r="K310" s="1703"/>
      <c r="L310" s="1703"/>
      <c r="M310" s="1703"/>
      <c r="N310" s="74"/>
      <c r="O310" s="74"/>
      <c r="P310" s="76"/>
      <c r="Q310" s="76"/>
      <c r="R310" s="76"/>
      <c r="S310" s="72"/>
      <c r="T310" s="72" t="s">
        <v>417</v>
      </c>
      <c r="V310" s="72"/>
      <c r="W310" s="72"/>
      <c r="X310" s="72"/>
      <c r="Y310" s="72"/>
      <c r="AA310" s="1665"/>
      <c r="AB310" s="1665"/>
      <c r="AC310" s="1665"/>
      <c r="AD310" s="1665"/>
      <c r="AE310" s="1665"/>
      <c r="AF310" s="1665"/>
      <c r="AG310" s="74"/>
      <c r="AH310" s="74"/>
      <c r="AI310" s="76"/>
      <c r="AJ310" s="76"/>
      <c r="AK310" s="76"/>
      <c r="BA310" s="75"/>
    </row>
    <row r="311" spans="1:53" ht="12.75">
      <c r="B311" s="72" t="s">
        <v>764</v>
      </c>
      <c r="C311" s="72"/>
      <c r="D311" s="72"/>
      <c r="E311" s="72"/>
      <c r="F311" s="72"/>
      <c r="G311" s="72"/>
      <c r="H311" s="1676" t="s">
        <v>2393</v>
      </c>
      <c r="I311" s="1676"/>
      <c r="J311" s="1676"/>
      <c r="K311" s="1676"/>
      <c r="L311" s="1676"/>
      <c r="M311" s="1676"/>
      <c r="N311" s="1664"/>
      <c r="O311" s="1664"/>
      <c r="P311" s="1664"/>
      <c r="Q311" s="1664"/>
      <c r="R311" s="1664"/>
      <c r="S311" s="72"/>
      <c r="T311" s="72" t="s">
        <v>764</v>
      </c>
      <c r="V311" s="72"/>
      <c r="W311" s="72"/>
      <c r="X311" s="72"/>
      <c r="Y311" s="72"/>
      <c r="AA311" s="1676" t="s">
        <v>2397</v>
      </c>
      <c r="AB311" s="1676"/>
      <c r="AC311" s="1676"/>
      <c r="AD311" s="1676"/>
      <c r="AE311" s="1676"/>
      <c r="AF311" s="1676"/>
      <c r="AG311" s="1664"/>
      <c r="AH311" s="1664"/>
      <c r="AI311" s="1664"/>
      <c r="AJ311" s="1664"/>
      <c r="AK311" s="1664"/>
      <c r="BA311" s="75"/>
    </row>
    <row r="312" spans="1:53" ht="12.75">
      <c r="BA312" s="75"/>
    </row>
    <row r="313" spans="1:53" ht="12.75">
      <c r="B313" s="8" t="s">
        <v>1238</v>
      </c>
      <c r="C313" s="72"/>
      <c r="D313" s="72"/>
      <c r="E313" s="72"/>
      <c r="F313" s="72"/>
      <c r="H313" s="1664"/>
      <c r="I313" s="1664"/>
      <c r="J313" s="1664"/>
      <c r="K313" s="1664"/>
      <c r="L313" s="1664"/>
      <c r="M313" s="1664"/>
      <c r="N313" s="1664"/>
      <c r="O313" s="1664"/>
      <c r="P313" s="1664"/>
      <c r="Q313" s="1664"/>
      <c r="R313" s="1664"/>
      <c r="T313" s="72" t="s">
        <v>41</v>
      </c>
      <c r="V313" s="72"/>
      <c r="W313" s="72"/>
      <c r="X313" s="72"/>
      <c r="Y313" s="72"/>
      <c r="AA313" s="1664" t="s">
        <v>2398</v>
      </c>
      <c r="AB313" s="1664"/>
      <c r="AC313" s="1664"/>
      <c r="AD313" s="1664"/>
      <c r="AE313" s="1664"/>
      <c r="AF313" s="1664"/>
      <c r="AG313" s="1664"/>
      <c r="AH313" s="1664"/>
      <c r="AI313" s="1664"/>
      <c r="AJ313" s="1664"/>
      <c r="AK313" s="1664"/>
      <c r="BA313" s="75"/>
    </row>
    <row r="314" spans="1:53" ht="12.75">
      <c r="B314" s="72" t="s">
        <v>761</v>
      </c>
      <c r="C314" s="72"/>
      <c r="D314" s="72"/>
      <c r="E314" s="72"/>
      <c r="F314" s="72"/>
      <c r="H314" s="1676"/>
      <c r="I314" s="1676"/>
      <c r="J314" s="1676"/>
      <c r="K314" s="1676"/>
      <c r="L314" s="1676"/>
      <c r="M314" s="1676"/>
      <c r="N314" s="1676"/>
      <c r="O314" s="1676"/>
      <c r="P314" s="1676"/>
      <c r="Q314" s="1676"/>
      <c r="R314" s="1676"/>
      <c r="T314" s="72" t="s">
        <v>761</v>
      </c>
      <c r="V314" s="72"/>
      <c r="W314" s="72"/>
      <c r="X314" s="72"/>
      <c r="Y314" s="72"/>
      <c r="AA314" s="1676" t="s">
        <v>2399</v>
      </c>
      <c r="AB314" s="1676"/>
      <c r="AC314" s="1676"/>
      <c r="AD314" s="1676"/>
      <c r="AE314" s="1676"/>
      <c r="AF314" s="1676"/>
      <c r="AG314" s="1676"/>
      <c r="AH314" s="1676"/>
      <c r="AI314" s="1676"/>
      <c r="AJ314" s="1676"/>
      <c r="AK314" s="1676"/>
      <c r="BA314" s="75"/>
    </row>
    <row r="315" spans="1:53" ht="12.75" customHeight="1">
      <c r="B315" s="72" t="s">
        <v>763</v>
      </c>
      <c r="C315" s="72"/>
      <c r="D315" s="72"/>
      <c r="E315" s="72"/>
      <c r="F315" s="72"/>
      <c r="H315" s="1676"/>
      <c r="I315" s="1676"/>
      <c r="J315" s="1676"/>
      <c r="K315" s="1676"/>
      <c r="L315" s="1676"/>
      <c r="M315" s="1676"/>
      <c r="N315" s="1676"/>
      <c r="O315" s="1676"/>
      <c r="P315" s="1676"/>
      <c r="Q315" s="1676"/>
      <c r="R315" s="1676"/>
      <c r="T315" s="72" t="s">
        <v>762</v>
      </c>
      <c r="V315" s="72"/>
      <c r="W315" s="72"/>
      <c r="X315" s="72"/>
      <c r="Y315" s="72"/>
      <c r="AA315" s="1676" t="s">
        <v>2400</v>
      </c>
      <c r="AB315" s="1676"/>
      <c r="AC315" s="1676"/>
      <c r="AD315" s="1676"/>
      <c r="AE315" s="1676"/>
      <c r="AF315" s="1676"/>
      <c r="AG315" s="1676"/>
      <c r="AH315" s="1676"/>
      <c r="AI315" s="1676"/>
      <c r="AJ315" s="1676"/>
      <c r="AK315" s="1676"/>
      <c r="BA315" s="75"/>
    </row>
    <row r="316" spans="1:53" ht="12.75" customHeight="1">
      <c r="A316" s="50"/>
      <c r="B316" s="72" t="s">
        <v>415</v>
      </c>
      <c r="C316" s="72"/>
      <c r="D316" s="72"/>
      <c r="E316" s="72"/>
      <c r="F316" s="72"/>
      <c r="H316" s="1676"/>
      <c r="I316" s="1676"/>
      <c r="J316" s="1676"/>
      <c r="K316" s="1676"/>
      <c r="L316" s="1676"/>
      <c r="M316" s="1676"/>
      <c r="N316" s="1676"/>
      <c r="O316" s="1676"/>
      <c r="P316" s="1676"/>
      <c r="Q316" s="1676"/>
      <c r="R316" s="1676"/>
      <c r="T316" s="72" t="s">
        <v>415</v>
      </c>
      <c r="V316" s="72"/>
      <c r="W316" s="72"/>
      <c r="X316" s="72"/>
      <c r="Y316" s="72"/>
      <c r="AA316" s="1676" t="s">
        <v>2401</v>
      </c>
      <c r="AB316" s="1676"/>
      <c r="AC316" s="1676"/>
      <c r="AD316" s="1676"/>
      <c r="AE316" s="1676"/>
      <c r="AF316" s="1676"/>
      <c r="AG316" s="1676"/>
      <c r="AH316" s="1676"/>
      <c r="AI316" s="1676"/>
      <c r="AJ316" s="1676"/>
      <c r="AK316" s="1676"/>
      <c r="AL316" s="50"/>
      <c r="BA316" s="75"/>
    </row>
    <row r="317" spans="1:53" ht="12.75" customHeight="1">
      <c r="A317" s="50"/>
      <c r="B317" s="72" t="s">
        <v>416</v>
      </c>
      <c r="C317" s="72"/>
      <c r="D317" s="72"/>
      <c r="E317" s="72"/>
      <c r="F317" s="72"/>
      <c r="G317" s="72"/>
      <c r="H317" s="1704"/>
      <c r="I317" s="1704"/>
      <c r="J317" s="1704"/>
      <c r="K317" s="1704"/>
      <c r="L317" s="1704"/>
      <c r="M317" s="1704"/>
      <c r="N317" s="8" t="s">
        <v>892</v>
      </c>
      <c r="O317" s="8"/>
      <c r="P317" s="1699"/>
      <c r="Q317" s="1699"/>
      <c r="R317" s="1699"/>
      <c r="S317" s="72"/>
      <c r="T317" s="72" t="s">
        <v>416</v>
      </c>
      <c r="V317" s="72"/>
      <c r="W317" s="72"/>
      <c r="X317" s="72"/>
      <c r="Y317" s="72"/>
      <c r="AA317" s="1702">
        <v>2165091342</v>
      </c>
      <c r="AB317" s="1702"/>
      <c r="AC317" s="1702"/>
      <c r="AD317" s="1702"/>
      <c r="AE317" s="1702"/>
      <c r="AF317" s="1702"/>
      <c r="AG317" s="8" t="s">
        <v>892</v>
      </c>
      <c r="AH317" s="8"/>
      <c r="AI317" s="1699"/>
      <c r="AJ317" s="1699"/>
      <c r="AK317" s="1699"/>
      <c r="AL317" s="50"/>
      <c r="BA317" s="75"/>
    </row>
    <row r="318" spans="1:53" ht="12.75" customHeight="1">
      <c r="A318" s="50"/>
      <c r="B318" s="72" t="s">
        <v>417</v>
      </c>
      <c r="C318" s="72"/>
      <c r="D318" s="72"/>
      <c r="E318" s="72"/>
      <c r="F318" s="72"/>
      <c r="G318" s="72"/>
      <c r="H318" s="1665"/>
      <c r="I318" s="1665"/>
      <c r="J318" s="1665"/>
      <c r="K318" s="1665"/>
      <c r="L318" s="1665"/>
      <c r="M318" s="1665"/>
      <c r="N318" s="74"/>
      <c r="O318" s="74"/>
      <c r="P318" s="76"/>
      <c r="Q318" s="76"/>
      <c r="R318" s="76"/>
      <c r="S318" s="72"/>
      <c r="T318" s="72" t="s">
        <v>417</v>
      </c>
      <c r="V318" s="72"/>
      <c r="W318" s="72"/>
      <c r="X318" s="72"/>
      <c r="Y318" s="72"/>
      <c r="AA318" s="1665"/>
      <c r="AB318" s="1665"/>
      <c r="AC318" s="1665"/>
      <c r="AD318" s="1665"/>
      <c r="AE318" s="1665"/>
      <c r="AF318" s="1665"/>
      <c r="AG318" s="74"/>
      <c r="AH318" s="74"/>
      <c r="AI318" s="76"/>
      <c r="AJ318" s="76"/>
      <c r="AK318" s="76"/>
      <c r="AL318" s="50"/>
      <c r="BA318" s="75"/>
    </row>
    <row r="319" spans="1:53" ht="12.75">
      <c r="A319" s="50"/>
      <c r="B319" s="72" t="s">
        <v>764</v>
      </c>
      <c r="C319" s="72"/>
      <c r="D319" s="72"/>
      <c r="E319" s="72"/>
      <c r="F319" s="72"/>
      <c r="G319" s="72"/>
      <c r="H319" s="1676"/>
      <c r="I319" s="1676"/>
      <c r="J319" s="1676"/>
      <c r="K319" s="1676"/>
      <c r="L319" s="1676"/>
      <c r="M319" s="1676"/>
      <c r="N319" s="1664"/>
      <c r="O319" s="1664"/>
      <c r="P319" s="1664"/>
      <c r="Q319" s="1664"/>
      <c r="R319" s="1664"/>
      <c r="S319" s="72"/>
      <c r="T319" s="72" t="s">
        <v>764</v>
      </c>
      <c r="V319" s="72"/>
      <c r="W319" s="72"/>
      <c r="X319" s="72"/>
      <c r="Y319" s="72"/>
      <c r="AA319" s="1676" t="s">
        <v>2402</v>
      </c>
      <c r="AB319" s="1676"/>
      <c r="AC319" s="1676"/>
      <c r="AD319" s="1676"/>
      <c r="AE319" s="1676"/>
      <c r="AF319" s="1676"/>
      <c r="AG319" s="1664"/>
      <c r="AH319" s="1664"/>
      <c r="AI319" s="1664"/>
      <c r="AJ319" s="1664"/>
      <c r="AK319" s="166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4"/>
      <c r="I321" s="1664"/>
      <c r="J321" s="1664"/>
      <c r="K321" s="1664"/>
      <c r="L321" s="1664"/>
      <c r="M321" s="1664"/>
      <c r="N321" s="1664"/>
      <c r="O321" s="1664"/>
      <c r="P321" s="1664"/>
      <c r="Q321" s="1664"/>
      <c r="R321" s="1664"/>
      <c r="T321" s="72" t="s">
        <v>42</v>
      </c>
      <c r="V321" s="72"/>
      <c r="W321" s="72"/>
      <c r="X321" s="72"/>
      <c r="Y321" s="72"/>
      <c r="AA321" s="1664" t="s">
        <v>2403</v>
      </c>
      <c r="AB321" s="1664"/>
      <c r="AC321" s="1664"/>
      <c r="AD321" s="1664"/>
      <c r="AE321" s="1664"/>
      <c r="AF321" s="1664"/>
      <c r="AG321" s="1664"/>
      <c r="AH321" s="1664"/>
      <c r="AI321" s="1664"/>
      <c r="AJ321" s="1664"/>
      <c r="AK321" s="1664"/>
      <c r="AL321" s="50"/>
      <c r="BA321" s="75"/>
    </row>
    <row r="322" spans="1:53" ht="12.75">
      <c r="A322" s="50"/>
      <c r="B322" s="72" t="s">
        <v>761</v>
      </c>
      <c r="C322" s="72"/>
      <c r="D322" s="72"/>
      <c r="E322" s="72"/>
      <c r="F322" s="72"/>
      <c r="H322" s="1676"/>
      <c r="I322" s="1676"/>
      <c r="J322" s="1676"/>
      <c r="K322" s="1676"/>
      <c r="L322" s="1676"/>
      <c r="M322" s="1676"/>
      <c r="N322" s="1676"/>
      <c r="O322" s="1676"/>
      <c r="P322" s="1676"/>
      <c r="Q322" s="1676"/>
      <c r="R322" s="1676"/>
      <c r="T322" s="72" t="s">
        <v>761</v>
      </c>
      <c r="V322" s="72"/>
      <c r="W322" s="72"/>
      <c r="X322" s="72"/>
      <c r="Y322" s="72"/>
      <c r="AA322" s="1676" t="s">
        <v>2404</v>
      </c>
      <c r="AB322" s="1676"/>
      <c r="AC322" s="1676"/>
      <c r="AD322" s="1676"/>
      <c r="AE322" s="1676"/>
      <c r="AF322" s="1676"/>
      <c r="AG322" s="1676"/>
      <c r="AH322" s="1676"/>
      <c r="AI322" s="1676"/>
      <c r="AJ322" s="1676"/>
      <c r="AK322" s="1676"/>
      <c r="AL322" s="50"/>
      <c r="BA322" s="75"/>
    </row>
    <row r="323" spans="1:53" ht="12.75">
      <c r="A323" s="50"/>
      <c r="B323" s="72" t="s">
        <v>763</v>
      </c>
      <c r="C323" s="72"/>
      <c r="D323" s="72"/>
      <c r="E323" s="72"/>
      <c r="F323" s="72"/>
      <c r="H323" s="1676"/>
      <c r="I323" s="1676"/>
      <c r="J323" s="1676"/>
      <c r="K323" s="1676"/>
      <c r="L323" s="1676"/>
      <c r="M323" s="1676"/>
      <c r="N323" s="1676"/>
      <c r="O323" s="1676"/>
      <c r="P323" s="1676"/>
      <c r="Q323" s="1676"/>
      <c r="R323" s="1676"/>
      <c r="T323" s="72" t="s">
        <v>762</v>
      </c>
      <c r="V323" s="72"/>
      <c r="W323" s="72"/>
      <c r="X323" s="72"/>
      <c r="Y323" s="72"/>
      <c r="AA323" s="1676" t="s">
        <v>2405</v>
      </c>
      <c r="AB323" s="1676"/>
      <c r="AC323" s="1676"/>
      <c r="AD323" s="1676"/>
      <c r="AE323" s="1676"/>
      <c r="AF323" s="1676"/>
      <c r="AG323" s="1676"/>
      <c r="AH323" s="1676"/>
      <c r="AI323" s="1676"/>
      <c r="AJ323" s="1676"/>
      <c r="AK323" s="1676"/>
      <c r="AL323" s="50"/>
      <c r="BA323" s="75"/>
    </row>
    <row r="324" spans="1:53" ht="12.75">
      <c r="A324" s="50"/>
      <c r="B324" s="72" t="s">
        <v>415</v>
      </c>
      <c r="C324" s="72"/>
      <c r="D324" s="72"/>
      <c r="E324" s="72"/>
      <c r="F324" s="72"/>
      <c r="H324" s="1676"/>
      <c r="I324" s="1676"/>
      <c r="J324" s="1676"/>
      <c r="K324" s="1676"/>
      <c r="L324" s="1676"/>
      <c r="M324" s="1676"/>
      <c r="N324" s="1676"/>
      <c r="O324" s="1676"/>
      <c r="P324" s="1676"/>
      <c r="Q324" s="1676"/>
      <c r="R324" s="1676"/>
      <c r="T324" s="72" t="s">
        <v>415</v>
      </c>
      <c r="V324" s="72"/>
      <c r="W324" s="72"/>
      <c r="X324" s="72"/>
      <c r="Y324" s="72"/>
      <c r="AA324" s="1676" t="s">
        <v>2406</v>
      </c>
      <c r="AB324" s="1676"/>
      <c r="AC324" s="1676"/>
      <c r="AD324" s="1676"/>
      <c r="AE324" s="1676"/>
      <c r="AF324" s="1676"/>
      <c r="AG324" s="1676"/>
      <c r="AH324" s="1676"/>
      <c r="AI324" s="1676"/>
      <c r="AJ324" s="1676"/>
      <c r="AK324" s="1676"/>
      <c r="AL324" s="50"/>
      <c r="BA324" s="75"/>
    </row>
    <row r="325" spans="1:53" ht="12.75">
      <c r="A325" s="50"/>
      <c r="B325" s="72" t="s">
        <v>416</v>
      </c>
      <c r="C325" s="72"/>
      <c r="D325" s="72"/>
      <c r="E325" s="72"/>
      <c r="F325" s="72"/>
      <c r="G325" s="72"/>
      <c r="H325" s="1704"/>
      <c r="I325" s="1704"/>
      <c r="J325" s="1704"/>
      <c r="K325" s="1704"/>
      <c r="L325" s="1704"/>
      <c r="M325" s="1704"/>
      <c r="N325" s="8" t="s">
        <v>892</v>
      </c>
      <c r="O325" s="8"/>
      <c r="P325" s="1699"/>
      <c r="Q325" s="1699"/>
      <c r="R325" s="1699"/>
      <c r="S325" s="72"/>
      <c r="T325" s="72" t="s">
        <v>416</v>
      </c>
      <c r="V325" s="72"/>
      <c r="W325" s="72"/>
      <c r="X325" s="72"/>
      <c r="Y325" s="72"/>
      <c r="AA325" s="1702">
        <v>9163726100</v>
      </c>
      <c r="AB325" s="1702"/>
      <c r="AC325" s="1702"/>
      <c r="AD325" s="1702"/>
      <c r="AE325" s="1702"/>
      <c r="AF325" s="1702"/>
      <c r="AG325" s="8" t="s">
        <v>892</v>
      </c>
      <c r="AH325" s="8"/>
      <c r="AI325" s="1699"/>
      <c r="AJ325" s="1699"/>
      <c r="AK325" s="1699"/>
      <c r="AL325" s="50"/>
      <c r="BA325" s="75"/>
    </row>
    <row r="326" spans="1:53" ht="12.75">
      <c r="A326" s="50"/>
      <c r="B326" s="72" t="s">
        <v>417</v>
      </c>
      <c r="C326" s="72"/>
      <c r="D326" s="72"/>
      <c r="E326" s="72"/>
      <c r="F326" s="72"/>
      <c r="G326" s="72"/>
      <c r="H326" s="1665"/>
      <c r="I326" s="1665"/>
      <c r="J326" s="1665"/>
      <c r="K326" s="1665"/>
      <c r="L326" s="1665"/>
      <c r="M326" s="1665"/>
      <c r="N326" s="74"/>
      <c r="O326" s="74"/>
      <c r="P326" s="76"/>
      <c r="Q326" s="76"/>
      <c r="R326" s="76"/>
      <c r="S326" s="72"/>
      <c r="T326" s="72" t="s">
        <v>417</v>
      </c>
      <c r="V326" s="72"/>
      <c r="W326" s="72"/>
      <c r="X326" s="72"/>
      <c r="Y326" s="72"/>
      <c r="AA326" s="1703">
        <v>9164916108</v>
      </c>
      <c r="AB326" s="1703"/>
      <c r="AC326" s="1703"/>
      <c r="AD326" s="1703"/>
      <c r="AE326" s="1703"/>
      <c r="AF326" s="1703"/>
      <c r="AG326" s="74"/>
      <c r="AH326" s="74"/>
      <c r="AI326" s="76"/>
      <c r="AJ326" s="76"/>
      <c r="AK326" s="76"/>
      <c r="AL326" s="50"/>
      <c r="BA326" s="75"/>
    </row>
    <row r="327" spans="1:53" ht="12.75">
      <c r="A327" s="50"/>
      <c r="B327" s="72" t="s">
        <v>764</v>
      </c>
      <c r="C327" s="72"/>
      <c r="D327" s="72"/>
      <c r="E327" s="72"/>
      <c r="F327" s="72"/>
      <c r="G327" s="72"/>
      <c r="H327" s="1676"/>
      <c r="I327" s="1676"/>
      <c r="J327" s="1676"/>
      <c r="K327" s="1676"/>
      <c r="L327" s="1676"/>
      <c r="M327" s="1676"/>
      <c r="N327" s="1664"/>
      <c r="O327" s="1664"/>
      <c r="P327" s="1664"/>
      <c r="Q327" s="1664"/>
      <c r="R327" s="1664"/>
      <c r="S327" s="72"/>
      <c r="T327" s="72" t="s">
        <v>764</v>
      </c>
      <c r="V327" s="72"/>
      <c r="W327" s="72"/>
      <c r="X327" s="72"/>
      <c r="Y327" s="72"/>
      <c r="AA327" s="1676" t="s">
        <v>2407</v>
      </c>
      <c r="AB327" s="1676"/>
      <c r="AC327" s="1676"/>
      <c r="AD327" s="1676"/>
      <c r="AE327" s="1676"/>
      <c r="AF327" s="1676"/>
      <c r="AG327" s="1664"/>
      <c r="AH327" s="1664"/>
      <c r="AI327" s="1664"/>
      <c r="AJ327" s="1664"/>
      <c r="AK327" s="166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4"/>
      <c r="I329" s="1664"/>
      <c r="J329" s="1664"/>
      <c r="K329" s="1664"/>
      <c r="L329" s="1664"/>
      <c r="M329" s="1664"/>
      <c r="N329" s="1664"/>
      <c r="O329" s="1664"/>
      <c r="P329" s="1664"/>
      <c r="Q329" s="1664"/>
      <c r="R329" s="1664"/>
      <c r="S329" s="701"/>
      <c r="T329" s="630" t="s">
        <v>1194</v>
      </c>
      <c r="V329" s="72"/>
      <c r="W329" s="72"/>
      <c r="X329" s="72"/>
      <c r="Y329" s="72"/>
      <c r="AA329" s="1664" t="s">
        <v>2408</v>
      </c>
      <c r="AB329" s="1664"/>
      <c r="AC329" s="1664"/>
      <c r="AD329" s="1664"/>
      <c r="AE329" s="1664"/>
      <c r="AF329" s="1664"/>
      <c r="AG329" s="1664"/>
      <c r="AH329" s="1664"/>
      <c r="AI329" s="1664"/>
      <c r="AJ329" s="1664"/>
      <c r="AK329" s="1664"/>
      <c r="AL329" s="50"/>
      <c r="BA329" s="75"/>
    </row>
    <row r="330" spans="1:53" ht="12.75">
      <c r="B330" s="72" t="s">
        <v>761</v>
      </c>
      <c r="C330" s="72"/>
      <c r="D330" s="72"/>
      <c r="E330" s="72"/>
      <c r="F330" s="72"/>
      <c r="H330" s="1676"/>
      <c r="I330" s="1676"/>
      <c r="J330" s="1676"/>
      <c r="K330" s="1676"/>
      <c r="L330" s="1676"/>
      <c r="M330" s="1676"/>
      <c r="N330" s="1676"/>
      <c r="O330" s="1676"/>
      <c r="P330" s="1676"/>
      <c r="Q330" s="1676"/>
      <c r="R330" s="1676"/>
      <c r="S330" s="701"/>
      <c r="T330" s="72" t="s">
        <v>761</v>
      </c>
      <c r="V330" s="72"/>
      <c r="W330" s="72"/>
      <c r="X330" s="72"/>
      <c r="Y330" s="72"/>
      <c r="AA330" s="1676" t="s">
        <v>2353</v>
      </c>
      <c r="AB330" s="1676"/>
      <c r="AC330" s="1676"/>
      <c r="AD330" s="1676"/>
      <c r="AE330" s="1676"/>
      <c r="AF330" s="1676"/>
      <c r="AG330" s="1676"/>
      <c r="AH330" s="1676"/>
      <c r="AI330" s="1676"/>
      <c r="AJ330" s="1676"/>
      <c r="AK330" s="1676"/>
      <c r="AL330" s="50"/>
      <c r="BA330" s="75"/>
    </row>
    <row r="331" spans="1:53" ht="12.75">
      <c r="B331" s="72" t="s">
        <v>763</v>
      </c>
      <c r="C331" s="72"/>
      <c r="D331" s="72"/>
      <c r="E331" s="72"/>
      <c r="F331" s="72"/>
      <c r="G331" s="72"/>
      <c r="H331" s="1676"/>
      <c r="I331" s="1676"/>
      <c r="J331" s="1676"/>
      <c r="K331" s="1676"/>
      <c r="L331" s="1676"/>
      <c r="M331" s="1676"/>
      <c r="N331" s="1676"/>
      <c r="O331" s="1676"/>
      <c r="P331" s="1676"/>
      <c r="Q331" s="1676"/>
      <c r="R331" s="1676"/>
      <c r="S331" s="701"/>
      <c r="T331" s="72" t="s">
        <v>762</v>
      </c>
      <c r="V331" s="72"/>
      <c r="W331" s="72"/>
      <c r="X331" s="72"/>
      <c r="Y331" s="72"/>
      <c r="AA331" s="1676" t="s">
        <v>2368</v>
      </c>
      <c r="AB331" s="1676"/>
      <c r="AC331" s="1676"/>
      <c r="AD331" s="1676"/>
      <c r="AE331" s="1676"/>
      <c r="AF331" s="1676"/>
      <c r="AG331" s="1676"/>
      <c r="AH331" s="1676"/>
      <c r="AI331" s="1676"/>
      <c r="AJ331" s="1676"/>
      <c r="AK331" s="1676"/>
      <c r="AL331" s="50"/>
      <c r="BA331" s="75"/>
    </row>
    <row r="332" spans="1:53" ht="12.75">
      <c r="A332" s="50"/>
      <c r="B332" s="72" t="s">
        <v>415</v>
      </c>
      <c r="C332" s="72"/>
      <c r="D332" s="72"/>
      <c r="E332" s="72"/>
      <c r="F332" s="72"/>
      <c r="H332" s="1676"/>
      <c r="I332" s="1676"/>
      <c r="J332" s="1676"/>
      <c r="K332" s="1676"/>
      <c r="L332" s="1676"/>
      <c r="M332" s="1676"/>
      <c r="N332" s="1676"/>
      <c r="O332" s="1676"/>
      <c r="P332" s="1676"/>
      <c r="Q332" s="1676"/>
      <c r="R332" s="1676"/>
      <c r="S332" s="701"/>
      <c r="T332" s="72" t="s">
        <v>415</v>
      </c>
      <c r="V332" s="72"/>
      <c r="W332" s="72"/>
      <c r="X332" s="72"/>
      <c r="Y332" s="72"/>
      <c r="AA332" s="1676" t="s">
        <v>2409</v>
      </c>
      <c r="AB332" s="1676"/>
      <c r="AC332" s="1676"/>
      <c r="AD332" s="1676"/>
      <c r="AE332" s="1676"/>
      <c r="AF332" s="1676"/>
      <c r="AG332" s="1676"/>
      <c r="AH332" s="1676"/>
      <c r="AI332" s="1676"/>
      <c r="AJ332" s="1676"/>
      <c r="AK332" s="1676"/>
      <c r="AL332" s="50"/>
      <c r="BA332" s="75"/>
    </row>
    <row r="333" spans="1:53" ht="12.75">
      <c r="A333" s="50"/>
      <c r="B333" s="72" t="s">
        <v>416</v>
      </c>
      <c r="C333" s="72"/>
      <c r="D333" s="72"/>
      <c r="E333" s="72"/>
      <c r="F333" s="72"/>
      <c r="G333" s="72"/>
      <c r="H333" s="1704"/>
      <c r="I333" s="1704"/>
      <c r="J333" s="1704"/>
      <c r="K333" s="1704"/>
      <c r="L333" s="1704"/>
      <c r="M333" s="1704"/>
      <c r="N333" s="8" t="s">
        <v>892</v>
      </c>
      <c r="O333" s="8"/>
      <c r="P333" s="1699"/>
      <c r="Q333" s="1699"/>
      <c r="R333" s="1699"/>
      <c r="S333" s="3"/>
      <c r="T333" s="72" t="s">
        <v>416</v>
      </c>
      <c r="V333" s="72"/>
      <c r="W333" s="72"/>
      <c r="X333" s="72"/>
      <c r="Y333" s="72"/>
      <c r="AA333" s="1702" t="s">
        <v>2410</v>
      </c>
      <c r="AB333" s="1702"/>
      <c r="AC333" s="1702"/>
      <c r="AD333" s="1702"/>
      <c r="AE333" s="1702"/>
      <c r="AF333" s="1702"/>
      <c r="AG333" s="8" t="s">
        <v>892</v>
      </c>
      <c r="AH333" s="8"/>
      <c r="AI333" s="1699"/>
      <c r="AJ333" s="1699"/>
      <c r="AK333" s="1699"/>
      <c r="AL333" s="50"/>
      <c r="BA333" s="75"/>
    </row>
    <row r="334" spans="1:53" ht="12.75">
      <c r="A334" s="50"/>
      <c r="B334" s="72" t="s">
        <v>417</v>
      </c>
      <c r="C334" s="72"/>
      <c r="D334" s="72"/>
      <c r="E334" s="72"/>
      <c r="F334" s="72"/>
      <c r="G334" s="72"/>
      <c r="H334" s="1665"/>
      <c r="I334" s="1665"/>
      <c r="J334" s="1665"/>
      <c r="K334" s="1665"/>
      <c r="L334" s="1665"/>
      <c r="M334" s="1665"/>
      <c r="N334" s="74"/>
      <c r="O334" s="74"/>
      <c r="P334" s="76"/>
      <c r="Q334" s="76"/>
      <c r="R334" s="76"/>
      <c r="S334" s="3"/>
      <c r="T334" s="72" t="s">
        <v>417</v>
      </c>
      <c r="V334" s="72"/>
      <c r="W334" s="72"/>
      <c r="X334" s="72"/>
      <c r="Y334" s="72"/>
      <c r="AA334" s="1703" t="s">
        <v>2373</v>
      </c>
      <c r="AB334" s="1703"/>
      <c r="AC334" s="1703"/>
      <c r="AD334" s="1703"/>
      <c r="AE334" s="1703"/>
      <c r="AF334" s="1703"/>
      <c r="AG334" s="74"/>
      <c r="AH334" s="74"/>
      <c r="AI334" s="76"/>
      <c r="AJ334" s="76"/>
      <c r="AK334" s="76"/>
      <c r="AL334" s="50"/>
      <c r="BA334" s="75"/>
    </row>
    <row r="335" spans="1:53" ht="12.75">
      <c r="A335" s="50"/>
      <c r="B335" s="72" t="s">
        <v>764</v>
      </c>
      <c r="C335" s="72"/>
      <c r="D335" s="72"/>
      <c r="E335" s="72"/>
      <c r="F335" s="72"/>
      <c r="G335" s="72"/>
      <c r="H335" s="1676"/>
      <c r="I335" s="1676"/>
      <c r="J335" s="1676"/>
      <c r="K335" s="1676"/>
      <c r="L335" s="1676"/>
      <c r="M335" s="1676"/>
      <c r="N335" s="1664"/>
      <c r="O335" s="1664"/>
      <c r="P335" s="1664"/>
      <c r="Q335" s="1664"/>
      <c r="R335" s="1664"/>
      <c r="S335" s="701"/>
      <c r="T335" s="72" t="s">
        <v>764</v>
      </c>
      <c r="V335" s="72"/>
      <c r="W335" s="72"/>
      <c r="X335" s="72"/>
      <c r="Y335" s="72"/>
      <c r="AA335" s="1676" t="s">
        <v>2411</v>
      </c>
      <c r="AB335" s="1676"/>
      <c r="AC335" s="1676"/>
      <c r="AD335" s="1676"/>
      <c r="AE335" s="1676"/>
      <c r="AF335" s="1676"/>
      <c r="AG335" s="1664"/>
      <c r="AH335" s="1664"/>
      <c r="AI335" s="1664"/>
      <c r="AJ335" s="1664"/>
      <c r="AK335" s="166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4"/>
      <c r="I337" s="1664"/>
      <c r="J337" s="1664"/>
      <c r="K337" s="1664"/>
      <c r="L337" s="1664"/>
      <c r="M337" s="1664"/>
      <c r="N337" s="1664"/>
      <c r="O337" s="1664"/>
      <c r="P337" s="1664"/>
      <c r="Q337" s="1664"/>
      <c r="R337" s="1664"/>
      <c r="T337" s="578" t="s">
        <v>1237</v>
      </c>
      <c r="AA337" s="1664"/>
      <c r="AB337" s="1664"/>
      <c r="AC337" s="1664"/>
      <c r="AD337" s="1664"/>
      <c r="AE337" s="1664"/>
      <c r="AF337" s="1664"/>
      <c r="AG337" s="1664"/>
      <c r="AH337" s="1664"/>
      <c r="AI337" s="1664"/>
      <c r="AJ337" s="1664"/>
      <c r="AK337" s="1664"/>
      <c r="AL337" s="50"/>
      <c r="BA337" s="75"/>
    </row>
    <row r="338" spans="1:53" ht="12.75">
      <c r="A338" s="50"/>
      <c r="B338" s="578" t="s">
        <v>761</v>
      </c>
      <c r="C338" s="578"/>
      <c r="D338" s="578"/>
      <c r="E338" s="578"/>
      <c r="F338" s="578"/>
      <c r="G338" s="579"/>
      <c r="H338" s="1676"/>
      <c r="I338" s="1676"/>
      <c r="J338" s="1676"/>
      <c r="K338" s="1676"/>
      <c r="L338" s="1676"/>
      <c r="M338" s="1676"/>
      <c r="N338" s="1676"/>
      <c r="O338" s="1676"/>
      <c r="P338" s="1676"/>
      <c r="Q338" s="1676"/>
      <c r="R338" s="1676"/>
      <c r="T338" s="72" t="s">
        <v>761</v>
      </c>
      <c r="AA338" s="1676"/>
      <c r="AB338" s="1676"/>
      <c r="AC338" s="1676"/>
      <c r="AD338" s="1676"/>
      <c r="AE338" s="1676"/>
      <c r="AF338" s="1676"/>
      <c r="AG338" s="1676"/>
      <c r="AH338" s="1676"/>
      <c r="AI338" s="1676"/>
      <c r="AJ338" s="1676"/>
      <c r="AK338" s="1676"/>
      <c r="AL338" s="50"/>
      <c r="BA338" s="75"/>
    </row>
    <row r="339" spans="1:53" ht="12.75">
      <c r="A339" s="50"/>
      <c r="B339" s="578" t="s">
        <v>763</v>
      </c>
      <c r="C339" s="578"/>
      <c r="D339" s="578"/>
      <c r="E339" s="578"/>
      <c r="F339" s="578"/>
      <c r="G339" s="578"/>
      <c r="H339" s="1676"/>
      <c r="I339" s="1676"/>
      <c r="J339" s="1676"/>
      <c r="K339" s="1676"/>
      <c r="L339" s="1676"/>
      <c r="M339" s="1676"/>
      <c r="N339" s="1676"/>
      <c r="O339" s="1676"/>
      <c r="P339" s="1676"/>
      <c r="Q339" s="1676"/>
      <c r="R339" s="1676"/>
      <c r="T339" s="72" t="s">
        <v>762</v>
      </c>
      <c r="AA339" s="1676"/>
      <c r="AB339" s="1676"/>
      <c r="AC339" s="1676"/>
      <c r="AD339" s="1676"/>
      <c r="AE339" s="1676"/>
      <c r="AF339" s="1676"/>
      <c r="AG339" s="1676"/>
      <c r="AH339" s="1676"/>
      <c r="AI339" s="1676"/>
      <c r="AJ339" s="1676"/>
      <c r="AK339" s="1676"/>
      <c r="AL339" s="50"/>
    </row>
    <row r="340" spans="1:53" ht="12.75">
      <c r="A340" s="50"/>
      <c r="B340" s="578" t="s">
        <v>415</v>
      </c>
      <c r="C340" s="578"/>
      <c r="D340" s="578"/>
      <c r="E340" s="578"/>
      <c r="F340" s="578"/>
      <c r="G340" s="579"/>
      <c r="H340" s="1676"/>
      <c r="I340" s="1676"/>
      <c r="J340" s="1676"/>
      <c r="K340" s="1676"/>
      <c r="L340" s="1676"/>
      <c r="M340" s="1676"/>
      <c r="N340" s="1676"/>
      <c r="O340" s="1676"/>
      <c r="P340" s="1676"/>
      <c r="Q340" s="1676"/>
      <c r="R340" s="1676"/>
      <c r="T340" s="72" t="s">
        <v>415</v>
      </c>
      <c r="AA340" s="1676"/>
      <c r="AB340" s="1676"/>
      <c r="AC340" s="1676"/>
      <c r="AD340" s="1676"/>
      <c r="AE340" s="1676"/>
      <c r="AF340" s="1676"/>
      <c r="AG340" s="1676"/>
      <c r="AH340" s="1676"/>
      <c r="AI340" s="1676"/>
      <c r="AJ340" s="1676"/>
      <c r="AK340" s="1676"/>
      <c r="AL340" s="50"/>
    </row>
    <row r="341" spans="1:53" ht="12.75">
      <c r="A341" s="50"/>
      <c r="B341" s="578" t="s">
        <v>416</v>
      </c>
      <c r="C341" s="578"/>
      <c r="D341" s="578"/>
      <c r="E341" s="578"/>
      <c r="F341" s="578"/>
      <c r="G341" s="578"/>
      <c r="H341" s="1704"/>
      <c r="I341" s="1704"/>
      <c r="J341" s="1704"/>
      <c r="K341" s="1704"/>
      <c r="L341" s="1704"/>
      <c r="M341" s="1704"/>
      <c r="N341" s="8" t="s">
        <v>892</v>
      </c>
      <c r="O341" s="8"/>
      <c r="P341" s="1699"/>
      <c r="Q341" s="1699"/>
      <c r="R341" s="1699"/>
      <c r="T341" s="72" t="s">
        <v>416</v>
      </c>
      <c r="AA341" s="1704"/>
      <c r="AB341" s="1704"/>
      <c r="AC341" s="1704"/>
      <c r="AD341" s="1704"/>
      <c r="AE341" s="1704"/>
      <c r="AF341" s="1704"/>
      <c r="AG341" s="8" t="s">
        <v>892</v>
      </c>
      <c r="AH341" s="8"/>
      <c r="AI341" s="1699"/>
      <c r="AJ341" s="1699"/>
      <c r="AK341" s="1699"/>
      <c r="AL341" s="50"/>
    </row>
    <row r="342" spans="1:53" ht="12.75">
      <c r="A342" s="50"/>
      <c r="B342" s="578" t="s">
        <v>417</v>
      </c>
      <c r="C342" s="578"/>
      <c r="D342" s="578"/>
      <c r="E342" s="578"/>
      <c r="F342" s="578"/>
      <c r="G342" s="578"/>
      <c r="H342" s="1665"/>
      <c r="I342" s="1665"/>
      <c r="J342" s="1665"/>
      <c r="K342" s="1665"/>
      <c r="L342" s="1665"/>
      <c r="M342" s="1665"/>
      <c r="N342" s="74"/>
      <c r="O342" s="74"/>
      <c r="P342" s="76"/>
      <c r="Q342" s="76"/>
      <c r="R342" s="76"/>
      <c r="T342" s="72" t="s">
        <v>417</v>
      </c>
      <c r="AA342" s="1665"/>
      <c r="AB342" s="1665"/>
      <c r="AC342" s="1665"/>
      <c r="AD342" s="1665"/>
      <c r="AE342" s="1665"/>
      <c r="AF342" s="1665"/>
      <c r="AG342" s="74"/>
      <c r="AH342" s="74"/>
      <c r="AI342" s="76"/>
      <c r="AJ342" s="76"/>
      <c r="AK342" s="76"/>
      <c r="AL342" s="50"/>
    </row>
    <row r="343" spans="1:53" ht="12.75" customHeight="1">
      <c r="A343" s="50"/>
      <c r="B343" s="578" t="s">
        <v>764</v>
      </c>
      <c r="C343" s="578"/>
      <c r="D343" s="578"/>
      <c r="E343" s="578"/>
      <c r="F343" s="578"/>
      <c r="G343" s="578"/>
      <c r="H343" s="1676"/>
      <c r="I343" s="1676"/>
      <c r="J343" s="1676"/>
      <c r="K343" s="1676"/>
      <c r="L343" s="1676"/>
      <c r="M343" s="1676"/>
      <c r="N343" s="1664"/>
      <c r="O343" s="1664"/>
      <c r="P343" s="1664"/>
      <c r="Q343" s="1664"/>
      <c r="R343" s="1664"/>
      <c r="T343" s="72" t="s">
        <v>764</v>
      </c>
      <c r="AA343" s="1676"/>
      <c r="AB343" s="1676"/>
      <c r="AC343" s="1676"/>
      <c r="AD343" s="1676"/>
      <c r="AE343" s="1676"/>
      <c r="AF343" s="1676"/>
      <c r="AG343" s="1664"/>
      <c r="AH343" s="1664"/>
      <c r="AI343" s="1664"/>
      <c r="AJ343" s="1664"/>
      <c r="AK343" s="166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705" t="s">
        <v>543</v>
      </c>
      <c r="B345" s="1705"/>
      <c r="C345" s="1705"/>
      <c r="D345" s="1705"/>
      <c r="E345" s="1705"/>
      <c r="F345" s="1705"/>
      <c r="G345" s="1705"/>
      <c r="H345" s="1705"/>
      <c r="I345" s="1705"/>
      <c r="J345" s="1705"/>
      <c r="K345" s="1705"/>
      <c r="L345" s="1705"/>
      <c r="M345" s="1705"/>
      <c r="N345" s="1705"/>
      <c r="O345" s="1705"/>
      <c r="P345" s="1705"/>
      <c r="Q345" s="1705"/>
      <c r="R345" s="1705"/>
      <c r="S345" s="1705"/>
      <c r="T345" s="1705"/>
      <c r="U345" s="1705"/>
      <c r="V345" s="1705"/>
      <c r="W345" s="1705"/>
      <c r="X345" s="1705"/>
      <c r="Y345" s="1705"/>
      <c r="Z345" s="1705"/>
      <c r="AA345" s="1705"/>
      <c r="AB345" s="1705"/>
      <c r="AC345" s="1705"/>
      <c r="AD345" s="1705"/>
      <c r="AE345" s="1705"/>
      <c r="AF345" s="1705"/>
      <c r="AG345" s="1705"/>
      <c r="AH345" s="1705"/>
      <c r="AI345" s="1705"/>
      <c r="AJ345" s="1705"/>
      <c r="AK345" s="1705"/>
      <c r="AL345" s="1705"/>
    </row>
    <row r="346" spans="1:53" ht="12.75" customHeight="1" thickBot="1">
      <c r="A346" s="1706"/>
      <c r="B346" s="1706"/>
      <c r="C346" s="1706"/>
      <c r="D346" s="1706"/>
      <c r="E346" s="1706"/>
      <c r="F346" s="1706"/>
      <c r="G346" s="1706"/>
      <c r="H346" s="1706"/>
      <c r="I346" s="1706"/>
      <c r="J346" s="1706"/>
      <c r="K346" s="1706"/>
      <c r="L346" s="1706"/>
      <c r="M346" s="1706"/>
      <c r="N346" s="1706"/>
      <c r="O346" s="1706"/>
      <c r="P346" s="1706"/>
      <c r="Q346" s="1706"/>
      <c r="R346" s="1706"/>
      <c r="S346" s="1706"/>
      <c r="T346" s="1706"/>
      <c r="U346" s="1706"/>
      <c r="V346" s="1706"/>
      <c r="W346" s="1706"/>
      <c r="X346" s="1706"/>
      <c r="Y346" s="1706"/>
      <c r="Z346" s="1706"/>
      <c r="AA346" s="1706"/>
      <c r="AB346" s="1706"/>
      <c r="AC346" s="1706"/>
      <c r="AD346" s="1706"/>
      <c r="AE346" s="1706"/>
      <c r="AF346" s="1706"/>
      <c r="AG346" s="1706"/>
      <c r="AH346" s="1706"/>
      <c r="AI346" s="1706"/>
      <c r="AJ346" s="1706"/>
      <c r="AK346" s="1706"/>
      <c r="AL346" s="170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77" t="s">
        <v>119</v>
      </c>
      <c r="N349" s="1677"/>
      <c r="P349" s="16" t="s">
        <v>2173</v>
      </c>
      <c r="AJ349" s="1677" t="s">
        <v>528</v>
      </c>
      <c r="AK349" s="1677"/>
    </row>
    <row r="350" spans="1:53" ht="12.75" customHeight="1">
      <c r="D350" s="72" t="s">
        <v>2087</v>
      </c>
      <c r="M350" s="1677" t="s">
        <v>135</v>
      </c>
      <c r="N350" s="1677"/>
      <c r="P350" s="72" t="s">
        <v>2174</v>
      </c>
      <c r="AJ350" s="1655"/>
      <c r="AK350" s="1655"/>
    </row>
    <row r="351" spans="1:53" ht="12.75" customHeight="1">
      <c r="D351" s="16" t="s">
        <v>348</v>
      </c>
      <c r="M351" s="1677" t="s">
        <v>135</v>
      </c>
      <c r="N351" s="1677"/>
      <c r="P351" s="16" t="s">
        <v>2175</v>
      </c>
      <c r="AJ351" s="1677" t="s">
        <v>135</v>
      </c>
      <c r="AK351" s="1677"/>
    </row>
    <row r="352" spans="1:53" ht="12.75" customHeight="1">
      <c r="D352" s="16" t="s">
        <v>349</v>
      </c>
      <c r="M352" s="1677" t="s">
        <v>135</v>
      </c>
      <c r="N352" s="1677"/>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77" t="s">
        <v>135</v>
      </c>
      <c r="O357" s="1677"/>
      <c r="P357" s="83"/>
      <c r="Q357" s="83"/>
      <c r="R357" s="83"/>
      <c r="S357" s="83"/>
      <c r="T357" s="83"/>
      <c r="U357" s="83"/>
      <c r="V357" s="83"/>
      <c r="W357" s="83"/>
      <c r="X357" s="83"/>
      <c r="Y357" s="84"/>
      <c r="Z357" s="84"/>
      <c r="AC357" s="83"/>
      <c r="AD357" s="83"/>
      <c r="AE357" s="83"/>
    </row>
    <row r="358" spans="1:57" ht="12.75">
      <c r="E358" s="16" t="s">
        <v>795</v>
      </c>
      <c r="Y358" s="1677" t="s">
        <v>135</v>
      </c>
      <c r="Z358" s="1677"/>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77" t="s">
        <v>135</v>
      </c>
      <c r="K360" s="1677"/>
      <c r="L360" s="83"/>
      <c r="M360" s="83"/>
      <c r="N360" s="83"/>
      <c r="O360" s="83"/>
      <c r="P360" s="83"/>
      <c r="Q360" s="83"/>
      <c r="R360" s="83"/>
      <c r="S360" s="83"/>
      <c r="T360" s="83"/>
      <c r="U360" s="83"/>
      <c r="V360" s="83"/>
      <c r="W360" s="83"/>
      <c r="X360" s="83"/>
      <c r="Y360" s="83"/>
      <c r="Z360" s="83"/>
      <c r="AC360" s="83"/>
      <c r="AD360" s="83"/>
      <c r="AE360" s="83"/>
    </row>
    <row r="361" spans="1:57" ht="12.7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7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652</v>
      </c>
      <c r="F363" s="8"/>
      <c r="G363" s="8"/>
      <c r="H363" s="8"/>
      <c r="I363" s="8"/>
      <c r="J363" s="8"/>
      <c r="K363" s="8"/>
      <c r="L363" s="8"/>
      <c r="N363" s="1679"/>
      <c r="O363" s="1679"/>
      <c r="P363" s="1679"/>
      <c r="Q363" s="1679"/>
      <c r="R363" s="8"/>
      <c r="U363" s="8" t="s">
        <v>653</v>
      </c>
      <c r="V363" s="8"/>
      <c r="W363" s="8"/>
      <c r="X363" s="8"/>
      <c r="Y363" s="8"/>
      <c r="Z363" s="8"/>
      <c r="AA363" s="8"/>
      <c r="AB363" s="8"/>
      <c r="AC363" s="1679"/>
      <c r="AD363" s="1679"/>
      <c r="AE363" s="1679"/>
      <c r="AF363" s="1679"/>
      <c r="BE363" s="16" t="s">
        <v>119</v>
      </c>
    </row>
    <row r="364" spans="1:57" ht="12.75">
      <c r="E364" s="8" t="s">
        <v>654</v>
      </c>
      <c r="F364" s="8"/>
      <c r="G364" s="8"/>
      <c r="H364" s="8"/>
      <c r="I364" s="8"/>
      <c r="J364" s="8"/>
      <c r="K364" s="8"/>
      <c r="L364" s="8"/>
      <c r="N364" s="1679"/>
      <c r="O364" s="1679"/>
      <c r="P364" s="1679"/>
      <c r="Q364" s="1679"/>
      <c r="R364" s="8"/>
      <c r="U364" s="8" t="s">
        <v>655</v>
      </c>
      <c r="V364" s="8"/>
      <c r="W364" s="8"/>
      <c r="X364" s="8"/>
      <c r="Y364" s="8"/>
      <c r="Z364" s="8"/>
      <c r="AA364" s="8"/>
      <c r="AB364" s="8"/>
      <c r="AC364" s="1679"/>
      <c r="AD364" s="1679"/>
      <c r="AE364" s="1679"/>
      <c r="AF364" s="1679"/>
    </row>
    <row r="365" spans="1:57" ht="12.75" customHeight="1">
      <c r="E365" s="8" t="s">
        <v>69</v>
      </c>
      <c r="F365" s="8"/>
      <c r="G365" s="8"/>
      <c r="H365" s="8"/>
      <c r="I365" s="8"/>
      <c r="J365" s="8"/>
      <c r="K365" s="8"/>
      <c r="L365" s="8"/>
      <c r="N365" s="1679"/>
      <c r="O365" s="1679"/>
      <c r="P365" s="1679"/>
      <c r="Q365" s="1679"/>
      <c r="R365" s="8"/>
      <c r="V365" s="8"/>
      <c r="W365" s="8"/>
      <c r="X365" s="8"/>
      <c r="Y365" s="8"/>
      <c r="Z365" s="8"/>
      <c r="AA365" s="8"/>
      <c r="AB365" s="8"/>
    </row>
    <row r="366" spans="1:57" ht="12.75">
      <c r="E366" s="8" t="s">
        <v>70</v>
      </c>
      <c r="F366" s="8"/>
      <c r="G366" s="8"/>
      <c r="H366" s="8"/>
      <c r="I366" s="8"/>
      <c r="J366" s="8"/>
      <c r="K366" s="8"/>
      <c r="L366" s="8"/>
      <c r="N366" s="1696"/>
      <c r="O366" s="1696"/>
      <c r="P366" s="1696"/>
      <c r="Q366" s="1696"/>
      <c r="R366" s="1696"/>
      <c r="S366" s="1696"/>
      <c r="T366" s="1696"/>
      <c r="U366" s="1696"/>
      <c r="V366" s="1696"/>
      <c r="W366" s="1696"/>
      <c r="X366" s="1696"/>
      <c r="Y366" s="1696"/>
      <c r="Z366" s="1696"/>
      <c r="AA366" s="1696"/>
      <c r="AB366" s="1696"/>
      <c r="AC366" s="1696"/>
      <c r="AD366" s="1696"/>
      <c r="AE366" s="1696"/>
      <c r="AF366" s="1696"/>
    </row>
    <row r="367" spans="1:57" ht="12.75">
      <c r="E367" s="8"/>
      <c r="F367" s="8"/>
      <c r="G367" s="8"/>
      <c r="H367" s="8"/>
      <c r="I367" s="8"/>
      <c r="J367" s="8"/>
      <c r="K367" s="8"/>
      <c r="L367" s="8"/>
      <c r="N367" s="1697"/>
      <c r="O367" s="1697"/>
      <c r="P367" s="1697"/>
      <c r="Q367" s="1697"/>
      <c r="R367" s="1697"/>
      <c r="S367" s="1697"/>
      <c r="T367" s="1697"/>
      <c r="U367" s="1697"/>
      <c r="V367" s="1697"/>
      <c r="W367" s="1697"/>
      <c r="X367" s="1697"/>
      <c r="Y367" s="1697"/>
      <c r="Z367" s="1697"/>
      <c r="AA367" s="1697"/>
      <c r="AB367" s="1697"/>
      <c r="AC367" s="1697"/>
      <c r="AD367" s="1697"/>
      <c r="AE367" s="1697"/>
      <c r="AF367" s="1697"/>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700"/>
      <c r="T370" s="1700"/>
      <c r="U370" s="758" t="s">
        <v>258</v>
      </c>
      <c r="V370" s="1700"/>
      <c r="W370" s="1700"/>
      <c r="X370" s="579"/>
      <c r="Y370" s="759" t="s">
        <v>256</v>
      </c>
      <c r="Z370" s="579"/>
      <c r="AA370" s="759"/>
      <c r="AB370" s="759" t="s">
        <v>257</v>
      </c>
      <c r="AC370" s="579"/>
      <c r="AD370" s="1700"/>
      <c r="AE370" s="1700"/>
      <c r="AF370" s="758" t="s">
        <v>258</v>
      </c>
      <c r="AG370" s="1700"/>
      <c r="AH370" s="1700"/>
    </row>
    <row r="371" spans="1:36" ht="12.75" customHeight="1">
      <c r="D371" s="579"/>
      <c r="E371" s="578" t="s">
        <v>1337</v>
      </c>
      <c r="F371" s="578"/>
      <c r="G371" s="578"/>
      <c r="H371" s="578"/>
      <c r="I371" s="578"/>
      <c r="J371" s="578"/>
      <c r="K371" s="578"/>
      <c r="L371" s="578"/>
      <c r="M371" s="579"/>
      <c r="N371" s="1700"/>
      <c r="O371" s="1700"/>
      <c r="P371" s="1700"/>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698" t="s">
        <v>135</v>
      </c>
      <c r="AH372" s="1698"/>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698" t="s">
        <v>135</v>
      </c>
      <c r="AH373" s="1698"/>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698" t="s">
        <v>135</v>
      </c>
      <c r="W374" s="1698"/>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698" t="s">
        <v>135</v>
      </c>
      <c r="W375" s="1698"/>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80" t="s">
        <v>2412</v>
      </c>
      <c r="K378" s="1664"/>
      <c r="L378" s="1664"/>
      <c r="M378" s="1664"/>
      <c r="N378" s="1664"/>
      <c r="O378" s="1664"/>
      <c r="P378" s="1664"/>
      <c r="Q378" s="1664"/>
      <c r="R378" s="1664"/>
      <c r="S378" s="1664"/>
      <c r="T378" s="1664"/>
      <c r="U378" s="1664"/>
      <c r="V378" s="18" t="s">
        <v>772</v>
      </c>
      <c r="W378" s="18"/>
      <c r="X378" s="18"/>
      <c r="Y378" s="18"/>
      <c r="Z378" s="18"/>
      <c r="AA378" s="18"/>
      <c r="AB378" s="18"/>
      <c r="AC378" s="1680" t="s">
        <v>2413</v>
      </c>
      <c r="AD378" s="1664"/>
      <c r="AE378" s="1664"/>
      <c r="AF378" s="1664"/>
      <c r="AG378" s="1664"/>
      <c r="AH378" s="1664"/>
      <c r="AI378" s="1664"/>
      <c r="AJ378" s="1664"/>
    </row>
    <row r="379" spans="1:36" ht="12.75" customHeight="1">
      <c r="D379" s="72" t="s">
        <v>2176</v>
      </c>
      <c r="J379" s="1676" t="s">
        <v>2413</v>
      </c>
      <c r="K379" s="1676"/>
      <c r="L379" s="1676"/>
      <c r="M379" s="1676"/>
      <c r="N379" s="1676"/>
      <c r="O379" s="1676"/>
      <c r="P379" s="1676"/>
      <c r="Q379" s="1676"/>
      <c r="R379" s="1676"/>
      <c r="S379" s="1676"/>
      <c r="T379" s="1676"/>
      <c r="U379" s="1676"/>
      <c r="V379" s="72" t="s">
        <v>2176</v>
      </c>
      <c r="W379" s="18"/>
      <c r="X379" s="18"/>
      <c r="Y379" s="18"/>
      <c r="Z379" s="18"/>
      <c r="AA379" s="18"/>
      <c r="AB379" s="18"/>
      <c r="AC379" s="1664"/>
      <c r="AD379" s="1664"/>
      <c r="AE379" s="1664"/>
      <c r="AF379" s="1664"/>
      <c r="AG379" s="1664"/>
      <c r="AH379" s="1664"/>
      <c r="AI379" s="1664"/>
      <c r="AJ379" s="1664"/>
    </row>
    <row r="380" spans="1:36" ht="12.75" customHeight="1">
      <c r="D380" s="72" t="s">
        <v>600</v>
      </c>
      <c r="J380" s="1676" t="s">
        <v>2341</v>
      </c>
      <c r="K380" s="1676"/>
      <c r="L380" s="1676"/>
      <c r="M380" s="1676"/>
      <c r="N380" s="1676"/>
      <c r="O380" s="1676"/>
      <c r="P380" s="1676"/>
      <c r="Q380" s="1676"/>
      <c r="R380" s="1676"/>
      <c r="S380" s="1676"/>
      <c r="T380" s="1676"/>
      <c r="U380" s="1676"/>
      <c r="V380" s="72" t="s">
        <v>600</v>
      </c>
      <c r="W380" s="18"/>
      <c r="X380" s="18"/>
      <c r="Y380" s="18"/>
      <c r="Z380" s="18"/>
      <c r="AA380" s="18"/>
      <c r="AB380" s="18"/>
      <c r="AC380" s="1664"/>
      <c r="AD380" s="1664"/>
      <c r="AE380" s="1664"/>
      <c r="AF380" s="1664"/>
      <c r="AG380" s="1664"/>
      <c r="AH380" s="1664"/>
      <c r="AI380" s="1664"/>
      <c r="AJ380" s="1664"/>
    </row>
    <row r="381" spans="1:36" ht="12.75" customHeight="1">
      <c r="D381" s="727" t="s">
        <v>2177</v>
      </c>
      <c r="I381" s="102"/>
      <c r="J381" s="1752" t="s">
        <v>2414</v>
      </c>
      <c r="K381" s="1752"/>
      <c r="L381" s="1752"/>
      <c r="M381" s="1752"/>
      <c r="N381" s="1752"/>
      <c r="O381" s="1752"/>
      <c r="P381" s="1752"/>
      <c r="Q381" s="1752"/>
      <c r="R381" s="1752"/>
      <c r="S381" s="1752"/>
      <c r="T381" s="1752"/>
      <c r="U381" s="1752"/>
      <c r="V381" s="1664" t="s">
        <v>2415</v>
      </c>
      <c r="W381" s="1664"/>
      <c r="X381" s="1664"/>
      <c r="Y381" s="1664"/>
      <c r="Z381" s="1664"/>
      <c r="AA381" s="1664"/>
      <c r="AB381" s="1664"/>
      <c r="AC381" s="1664"/>
      <c r="AD381" s="1664"/>
      <c r="AE381" s="1664"/>
      <c r="AF381" s="1664"/>
      <c r="AG381" s="1664"/>
      <c r="AH381" s="1664"/>
      <c r="AI381" s="1664"/>
      <c r="AJ381" s="1664"/>
    </row>
    <row r="382" spans="1:36" ht="12.75" customHeight="1">
      <c r="D382" s="16" t="s">
        <v>611</v>
      </c>
      <c r="Q382" s="2011">
        <v>44350</v>
      </c>
      <c r="R382" s="2011"/>
      <c r="S382" s="2011"/>
      <c r="T382" s="2011"/>
      <c r="U382" s="2011"/>
      <c r="V382" s="16" t="s">
        <v>184</v>
      </c>
      <c r="AI382" s="1677" t="s">
        <v>528</v>
      </c>
      <c r="AJ382" s="1677"/>
    </row>
    <row r="383" spans="1:36" ht="12.75" customHeight="1">
      <c r="D383" s="16" t="s">
        <v>612</v>
      </c>
      <c r="Q383" s="1785"/>
      <c r="R383" s="1924"/>
      <c r="S383" s="1924"/>
      <c r="T383" s="1924"/>
      <c r="U383" s="1924"/>
      <c r="W383" s="43" t="s">
        <v>20</v>
      </c>
      <c r="AG383" s="1998"/>
      <c r="AH383" s="1998"/>
      <c r="AI383" s="1998"/>
      <c r="AJ383" s="1998"/>
    </row>
    <row r="384" spans="1:36" ht="12.75" customHeight="1">
      <c r="D384" s="16" t="s">
        <v>301</v>
      </c>
      <c r="Q384" s="1730">
        <v>10630000</v>
      </c>
      <c r="R384" s="1730"/>
      <c r="S384" s="1730"/>
      <c r="T384" s="1730"/>
      <c r="U384" s="1730"/>
      <c r="V384" s="72" t="s">
        <v>2178</v>
      </c>
      <c r="AG384" s="1824"/>
      <c r="AH384" s="1824"/>
      <c r="AI384" s="1824"/>
      <c r="AJ384" s="1824"/>
    </row>
    <row r="385" spans="4:36" ht="12.75" customHeight="1">
      <c r="D385" s="16" t="s">
        <v>416</v>
      </c>
      <c r="I385" s="1702"/>
      <c r="J385" s="1702"/>
      <c r="K385" s="1702"/>
      <c r="L385" s="1702"/>
      <c r="M385" s="1702"/>
      <c r="N385" s="1702"/>
      <c r="Q385" s="326" t="s">
        <v>892</v>
      </c>
      <c r="S385" s="2003"/>
      <c r="T385" s="2003"/>
      <c r="U385" s="2003"/>
      <c r="V385" s="16" t="s">
        <v>19</v>
      </c>
      <c r="AI385" s="1677" t="s">
        <v>528</v>
      </c>
      <c r="AJ385" s="1677"/>
    </row>
    <row r="386" spans="4:36" s="50" customFormat="1" ht="12.75" customHeight="1">
      <c r="D386" s="16" t="s">
        <v>185</v>
      </c>
      <c r="E386" s="16"/>
      <c r="F386" s="16"/>
      <c r="G386" s="16"/>
      <c r="H386" s="16"/>
      <c r="I386" s="16"/>
      <c r="J386" s="16"/>
      <c r="K386" s="16"/>
      <c r="L386" s="16"/>
      <c r="M386" s="16"/>
      <c r="N386" s="16"/>
      <c r="O386" s="16"/>
      <c r="P386" s="16"/>
      <c r="Q386" s="1775"/>
      <c r="R386" s="1775"/>
      <c r="S386" s="1775"/>
      <c r="T386" s="1775"/>
      <c r="U386" s="1775"/>
      <c r="V386" s="16" t="s">
        <v>186</v>
      </c>
      <c r="W386" s="16"/>
      <c r="X386" s="16"/>
      <c r="Y386" s="16"/>
      <c r="Z386" s="16"/>
      <c r="AA386" s="16"/>
      <c r="AB386" s="16"/>
      <c r="AC386" s="16"/>
      <c r="AD386" s="16"/>
      <c r="AE386" s="16"/>
      <c r="AF386" s="16"/>
      <c r="AG386" s="1998"/>
      <c r="AH386" s="1998"/>
      <c r="AI386" s="1998"/>
      <c r="AJ386" s="1998"/>
    </row>
    <row r="387" spans="4:36" s="50" customFormat="1" ht="12.75" customHeight="1">
      <c r="D387" s="16" t="s">
        <v>29</v>
      </c>
      <c r="E387" s="16"/>
      <c r="F387" s="16"/>
      <c r="G387" s="16"/>
      <c r="H387" s="16"/>
      <c r="I387" s="16"/>
      <c r="J387" s="16"/>
      <c r="K387" s="16"/>
      <c r="L387" s="16"/>
      <c r="M387" s="16"/>
      <c r="N387" s="16"/>
      <c r="O387" s="16"/>
      <c r="P387" s="16"/>
      <c r="Q387" s="2004"/>
      <c r="R387" s="2004"/>
      <c r="S387" s="2004"/>
      <c r="T387" s="2004"/>
      <c r="U387" s="2004"/>
      <c r="V387" s="16" t="s">
        <v>1842</v>
      </c>
      <c r="W387" s="16"/>
      <c r="X387" s="16"/>
      <c r="Y387" s="16"/>
      <c r="Z387" s="16"/>
      <c r="AA387" s="16"/>
      <c r="AB387" s="16"/>
      <c r="AC387" s="16"/>
      <c r="AD387" s="16"/>
      <c r="AE387" s="16"/>
      <c r="AF387" s="16"/>
      <c r="AG387" s="1998"/>
      <c r="AH387" s="1998"/>
      <c r="AI387" s="1998"/>
      <c r="AJ387" s="1998"/>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98"/>
      <c r="AH388" s="1998"/>
      <c r="AI388" s="1998"/>
      <c r="AJ388" s="199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77" t="s">
        <v>528</v>
      </c>
      <c r="AJ390" s="1677"/>
    </row>
    <row r="391" spans="4:36" s="50" customFormat="1" ht="12.75" customHeight="1">
      <c r="D391" s="72" t="s">
        <v>2181</v>
      </c>
      <c r="E391" s="16"/>
      <c r="F391" s="16"/>
      <c r="G391" s="16"/>
      <c r="H391" s="16"/>
      <c r="I391" s="16"/>
      <c r="J391" s="16"/>
      <c r="K391" s="16"/>
      <c r="L391" s="16"/>
      <c r="M391" s="16"/>
      <c r="N391" s="16"/>
      <c r="O391" s="16"/>
      <c r="P391" s="16"/>
      <c r="Q391" s="16"/>
      <c r="R391" s="16"/>
      <c r="S391" s="16"/>
      <c r="T391" s="2005"/>
      <c r="U391" s="2005"/>
      <c r="V391" s="2005"/>
      <c r="W391" s="2005"/>
      <c r="X391" s="2005"/>
      <c r="Y391" s="2005"/>
      <c r="Z391" s="2005"/>
      <c r="AA391" s="2005"/>
      <c r="AB391" s="2005"/>
      <c r="AC391" s="2005"/>
      <c r="AD391" s="2005"/>
      <c r="AE391" s="2005"/>
      <c r="AF391" s="2005"/>
      <c r="AG391" s="2005"/>
      <c r="AH391" s="2005"/>
      <c r="AI391" s="2005"/>
      <c r="AJ391" s="2005"/>
    </row>
    <row r="392" spans="4:36" s="50" customFormat="1" ht="12.75" customHeight="1">
      <c r="D392" s="72" t="s">
        <v>2182</v>
      </c>
      <c r="E392" s="16"/>
      <c r="F392" s="16"/>
      <c r="G392" s="16"/>
      <c r="H392" s="16"/>
      <c r="I392" s="16"/>
      <c r="J392" s="16"/>
      <c r="K392" s="16"/>
      <c r="L392" s="16"/>
      <c r="M392" s="16"/>
      <c r="N392" s="16"/>
      <c r="O392" s="16"/>
      <c r="P392" s="16"/>
      <c r="Q392" s="16"/>
      <c r="R392" s="16"/>
      <c r="S392" s="16"/>
      <c r="T392" s="2005"/>
      <c r="U392" s="2005"/>
      <c r="V392" s="2005"/>
      <c r="W392" s="2005"/>
      <c r="X392" s="2005"/>
      <c r="Y392" s="2005"/>
      <c r="Z392" s="2005"/>
      <c r="AA392" s="2005"/>
      <c r="AB392" s="2005"/>
      <c r="AC392" s="2005"/>
      <c r="AD392" s="2005"/>
      <c r="AE392" s="2005"/>
      <c r="AF392" s="2005"/>
      <c r="AG392" s="2005"/>
      <c r="AH392" s="2005"/>
      <c r="AI392" s="2005"/>
      <c r="AJ392" s="200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05" t="s">
        <v>528</v>
      </c>
      <c r="T394" s="2005"/>
      <c r="U394" s="2005"/>
      <c r="V394" s="727" t="s">
        <v>2184</v>
      </c>
      <c r="W394" s="16"/>
      <c r="X394" s="16"/>
      <c r="Y394" s="16"/>
      <c r="Z394" s="16"/>
      <c r="AA394" s="16"/>
      <c r="AG394" s="2006"/>
      <c r="AH394" s="2006"/>
      <c r="AI394" s="2006"/>
      <c r="AJ394" s="2006"/>
    </row>
    <row r="395" spans="4:36" s="50" customFormat="1" ht="12.75" customHeight="1">
      <c r="D395" s="72" t="s">
        <v>2185</v>
      </c>
      <c r="E395" s="16"/>
      <c r="F395" s="16"/>
      <c r="G395" s="16"/>
      <c r="H395" s="16"/>
      <c r="I395" s="16"/>
      <c r="J395" s="16"/>
      <c r="K395" s="16"/>
      <c r="L395" s="16"/>
      <c r="M395" s="16"/>
      <c r="N395" s="16"/>
      <c r="O395" s="16"/>
      <c r="P395" s="16"/>
      <c r="Q395" s="16"/>
      <c r="R395" s="16"/>
      <c r="S395" s="2005" t="s">
        <v>135</v>
      </c>
      <c r="T395" s="2005"/>
      <c r="U395" s="2005"/>
      <c r="V395" s="727" t="s">
        <v>2186</v>
      </c>
      <c r="W395" s="16"/>
      <c r="X395" s="16"/>
      <c r="Y395" s="16"/>
      <c r="Z395" s="16"/>
      <c r="AA395" s="16"/>
      <c r="AE395" s="2007"/>
      <c r="AF395" s="2007"/>
      <c r="AG395" s="2007"/>
      <c r="AH395" s="2007"/>
      <c r="AI395" s="2007"/>
      <c r="AJ395" s="2007"/>
    </row>
    <row r="396" spans="4:36" s="50" customFormat="1" ht="12.75" customHeight="1">
      <c r="D396" s="72" t="s">
        <v>2187</v>
      </c>
      <c r="E396" s="16"/>
      <c r="F396" s="16"/>
      <c r="G396" s="16"/>
      <c r="H396" s="16"/>
      <c r="I396" s="16"/>
      <c r="J396" s="16"/>
      <c r="K396" s="1845"/>
      <c r="L396" s="1845"/>
      <c r="M396" s="1845"/>
      <c r="N396" s="1845"/>
      <c r="O396" s="1845"/>
      <c r="P396" s="1845"/>
      <c r="Q396" s="1845"/>
      <c r="R396" s="1845"/>
      <c r="S396" s="1845"/>
      <c r="T396" s="1845"/>
      <c r="U396" s="1845"/>
      <c r="V396" s="1845"/>
      <c r="W396" s="1845"/>
      <c r="X396" s="1845"/>
      <c r="Y396" s="1845"/>
      <c r="Z396" s="1845"/>
      <c r="AA396" s="1845"/>
      <c r="AB396" s="1845"/>
      <c r="AC396" s="1845"/>
      <c r="AD396" s="1845"/>
      <c r="AE396" s="1845"/>
      <c r="AF396" s="1845"/>
      <c r="AG396" s="1845"/>
      <c r="AH396" s="1845"/>
      <c r="AI396" s="1845"/>
      <c r="AJ396" s="1845"/>
    </row>
    <row r="397" spans="4:36" s="50" customFormat="1" ht="12.75" customHeight="1">
      <c r="D397" s="72" t="s">
        <v>2188</v>
      </c>
      <c r="E397" s="16"/>
      <c r="F397" s="16"/>
      <c r="G397" s="16"/>
      <c r="H397" s="16"/>
      <c r="I397" s="16"/>
      <c r="J397" s="16"/>
      <c r="K397" s="1845"/>
      <c r="L397" s="1845"/>
      <c r="M397" s="1845"/>
      <c r="N397" s="1845"/>
      <c r="O397" s="1845"/>
      <c r="P397" s="1845"/>
      <c r="Q397" s="1845"/>
      <c r="R397" s="1845"/>
      <c r="S397" s="1845"/>
      <c r="T397" s="1845"/>
      <c r="U397" s="1845"/>
      <c r="V397" s="1845"/>
      <c r="W397" s="1845"/>
      <c r="X397" s="1845"/>
      <c r="Y397" s="1845"/>
      <c r="Z397" s="1845"/>
      <c r="AA397" s="1845"/>
      <c r="AB397" s="1845"/>
      <c r="AC397" s="1845"/>
      <c r="AD397" s="1845"/>
      <c r="AE397" s="1845"/>
      <c r="AF397" s="1845"/>
      <c r="AG397" s="1845"/>
      <c r="AH397" s="1845"/>
      <c r="AI397" s="1845"/>
      <c r="AJ397" s="1845"/>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12" t="s">
        <v>2190</v>
      </c>
      <c r="T398" s="2012"/>
      <c r="U398" s="2012"/>
      <c r="V398" s="2012"/>
      <c r="W398" s="2012"/>
      <c r="X398" s="2012"/>
      <c r="Y398" s="2012"/>
      <c r="Z398" s="2012"/>
      <c r="AA398" s="2012"/>
      <c r="AB398" s="2012"/>
      <c r="AC398" s="2012"/>
      <c r="AD398" s="2012"/>
      <c r="AE398" s="2012"/>
      <c r="AF398" s="2012"/>
      <c r="AG398" s="2012"/>
      <c r="AH398" s="2012"/>
      <c r="AI398" s="2012"/>
      <c r="AJ398" s="2012"/>
    </row>
    <row r="399" spans="4:36" s="50" customFormat="1" ht="12.75" customHeight="1">
      <c r="D399" s="1545" t="s">
        <v>2191</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80" t="s">
        <v>2416</v>
      </c>
      <c r="J403" s="1680"/>
      <c r="K403" s="1680"/>
      <c r="L403" s="1680"/>
      <c r="M403" s="1680"/>
      <c r="N403" s="1680"/>
      <c r="O403" s="1680"/>
      <c r="P403" s="1680"/>
      <c r="Q403" s="1680"/>
      <c r="R403" s="1680"/>
      <c r="S403" s="1680"/>
      <c r="T403" s="1680"/>
      <c r="U403" s="1680"/>
      <c r="V403" s="1680"/>
      <c r="W403" s="1680"/>
      <c r="X403" s="1680"/>
      <c r="Y403" s="1680"/>
      <c r="Z403" s="1680"/>
      <c r="AA403" s="1680"/>
      <c r="AB403" s="1680"/>
      <c r="AC403" s="1680"/>
      <c r="AD403" s="1680"/>
    </row>
    <row r="404" spans="1:36" ht="12.75" customHeight="1">
      <c r="C404" s="35"/>
      <c r="E404" s="16" t="s">
        <v>930</v>
      </c>
      <c r="R404" s="1677" t="s">
        <v>119</v>
      </c>
      <c r="S404" s="1677"/>
      <c r="T404" s="16" t="s">
        <v>318</v>
      </c>
      <c r="AD404" s="1679">
        <v>3</v>
      </c>
      <c r="AE404" s="1679"/>
    </row>
    <row r="405" spans="1:36" ht="12.75" customHeight="1">
      <c r="C405" s="35"/>
      <c r="E405" s="16" t="s">
        <v>931</v>
      </c>
      <c r="R405" s="1677" t="s">
        <v>135</v>
      </c>
      <c r="S405" s="1677"/>
      <c r="T405" s="16" t="s">
        <v>318</v>
      </c>
      <c r="AD405" s="1679">
        <v>0</v>
      </c>
      <c r="AE405" s="1679"/>
    </row>
    <row r="406" spans="1:36" ht="12.75" customHeight="1">
      <c r="E406" s="16" t="s">
        <v>932</v>
      </c>
      <c r="S406" s="1677" t="s">
        <v>135</v>
      </c>
      <c r="T406" s="1677"/>
    </row>
    <row r="407" spans="1:36" ht="12.75" customHeight="1">
      <c r="E407" s="16" t="s">
        <v>310</v>
      </c>
      <c r="H407" s="1977" t="s">
        <v>619</v>
      </c>
      <c r="I407" s="1977"/>
      <c r="J407" s="1977"/>
      <c r="K407" s="1977"/>
      <c r="L407" s="1977"/>
      <c r="M407" s="1977"/>
      <c r="N407" s="1977"/>
      <c r="O407" s="1977"/>
      <c r="P407" s="1977"/>
      <c r="Q407" s="1977"/>
      <c r="R407" s="1977"/>
      <c r="S407" s="1977"/>
      <c r="T407" s="1977"/>
      <c r="U407" s="1977"/>
      <c r="V407" s="1977"/>
      <c r="W407" s="1977"/>
      <c r="X407" s="1977"/>
      <c r="Y407" s="1977"/>
      <c r="Z407" s="1977"/>
      <c r="AA407" s="1977"/>
      <c r="AB407" s="1977"/>
      <c r="AC407" s="1977"/>
      <c r="AD407" s="1977"/>
      <c r="AE407" s="1977"/>
      <c r="AF407" s="1977"/>
      <c r="AG407" s="1977"/>
      <c r="AH407" s="1977"/>
      <c r="AI407" s="1977"/>
      <c r="AJ407" s="1977"/>
    </row>
    <row r="408" spans="1:36" ht="12.75" customHeight="1">
      <c r="H408" s="1978"/>
      <c r="I408" s="1978"/>
      <c r="J408" s="1978"/>
      <c r="K408" s="1978"/>
      <c r="L408" s="1978"/>
      <c r="M408" s="1978"/>
      <c r="N408" s="1978"/>
      <c r="O408" s="1978"/>
      <c r="P408" s="1978"/>
      <c r="Q408" s="1978"/>
      <c r="R408" s="1978"/>
      <c r="S408" s="1978"/>
      <c r="T408" s="1978"/>
      <c r="U408" s="1978"/>
      <c r="V408" s="1978"/>
      <c r="W408" s="1978"/>
      <c r="X408" s="1978"/>
      <c r="Y408" s="1978"/>
      <c r="Z408" s="1978"/>
      <c r="AA408" s="1978"/>
      <c r="AB408" s="1978"/>
      <c r="AC408" s="1978"/>
      <c r="AD408" s="1978"/>
      <c r="AE408" s="1978"/>
      <c r="AF408" s="1978"/>
      <c r="AG408" s="1978"/>
      <c r="AH408" s="1978"/>
      <c r="AI408" s="1978"/>
      <c r="AJ408" s="1978"/>
    </row>
    <row r="409" spans="1:36" ht="12.75" customHeight="1"/>
    <row r="410" spans="1:36" ht="12.75" customHeight="1">
      <c r="A410" s="63" t="s">
        <v>134</v>
      </c>
      <c r="B410" s="63"/>
      <c r="C410" s="63"/>
      <c r="D410" s="63" t="s">
        <v>985</v>
      </c>
      <c r="AE410" s="8"/>
      <c r="AF410" s="63" t="s">
        <v>1314</v>
      </c>
    </row>
    <row r="411" spans="1:36" ht="12.75" customHeight="1">
      <c r="E411" s="2010"/>
      <c r="F411" s="2010"/>
      <c r="G411" s="2010"/>
      <c r="H411" s="33" t="s">
        <v>986</v>
      </c>
      <c r="I411" s="2010"/>
      <c r="J411" s="2010"/>
      <c r="K411" s="2010"/>
      <c r="L411" s="16" t="s">
        <v>987</v>
      </c>
      <c r="N411" s="240" t="s">
        <v>925</v>
      </c>
      <c r="P411" s="1681">
        <v>3.49</v>
      </c>
      <c r="Q411" s="1681"/>
      <c r="R411" s="1681"/>
      <c r="S411" s="16" t="s">
        <v>988</v>
      </c>
      <c r="W411" s="2008">
        <f>IF(E411&gt;0,(E411*I411),(P411*43560))</f>
        <v>152024.40000000002</v>
      </c>
      <c r="X411" s="2008"/>
      <c r="Y411" s="2008"/>
      <c r="Z411" s="16" t="s">
        <v>989</v>
      </c>
      <c r="AF411" s="2118">
        <f>IF(P411&gt;0,(AG430/P411),(AG430/(W411/43560)))</f>
        <v>14.040114613180515</v>
      </c>
      <c r="AG411" s="2118"/>
      <c r="AH411" s="2118"/>
    </row>
    <row r="412" spans="1:36" ht="12.75" customHeight="1">
      <c r="E412" s="16" t="s">
        <v>223</v>
      </c>
    </row>
    <row r="413" spans="1:36" ht="12.75" customHeight="1">
      <c r="E413" s="1695"/>
      <c r="F413" s="1695"/>
      <c r="G413" s="1695"/>
      <c r="H413" s="1695"/>
      <c r="I413" s="1695"/>
      <c r="J413" s="1695"/>
      <c r="K413" s="1695"/>
      <c r="L413" s="1695"/>
      <c r="M413" s="1695"/>
      <c r="N413" s="1695"/>
      <c r="O413" s="1695"/>
      <c r="P413" s="1695"/>
      <c r="Q413" s="1695"/>
      <c r="R413" s="1695"/>
      <c r="S413" s="1695"/>
      <c r="T413" s="1695"/>
      <c r="U413" s="1695"/>
      <c r="V413" s="1695"/>
      <c r="W413" s="1695"/>
      <c r="X413" s="1695"/>
      <c r="Y413" s="1695"/>
      <c r="Z413" s="1695"/>
      <c r="AA413" s="1695"/>
      <c r="AB413" s="1695"/>
      <c r="AC413" s="1695"/>
      <c r="AD413" s="1695"/>
      <c r="AE413" s="1695"/>
      <c r="AF413" s="1695"/>
      <c r="AG413" s="1695"/>
      <c r="AH413" s="1695"/>
      <c r="AI413" s="1695"/>
      <c r="AJ413" s="1695"/>
    </row>
    <row r="414" spans="1:36" s="50" customFormat="1" ht="12.75" customHeight="1">
      <c r="E414" s="412" t="s">
        <v>2192</v>
      </c>
      <c r="F414" s="59"/>
      <c r="G414" s="59"/>
      <c r="H414" s="59"/>
      <c r="I414" s="2028">
        <v>3.49</v>
      </c>
      <c r="J414" s="2028"/>
      <c r="K414" s="2028"/>
      <c r="L414" s="59"/>
      <c r="M414" s="412"/>
      <c r="N414" s="59"/>
      <c r="O414" s="59"/>
      <c r="P414" s="2117">
        <f>(CQ629+CS634+CQ648)/I414</f>
        <v>24.355300859598852</v>
      </c>
      <c r="Q414" s="2117"/>
      <c r="R414" s="2117"/>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77"/>
      <c r="Q417" s="1677"/>
      <c r="S417" s="16" t="s">
        <v>148</v>
      </c>
      <c r="AE417" s="1677"/>
      <c r="AF417" s="1677"/>
    </row>
    <row r="418" spans="1:36" ht="12.75" customHeight="1">
      <c r="E418" s="16" t="s">
        <v>149</v>
      </c>
      <c r="P418" s="1677"/>
      <c r="Q418" s="1677"/>
      <c r="S418" s="16" t="s">
        <v>788</v>
      </c>
      <c r="AE418" s="1677" t="s">
        <v>135</v>
      </c>
      <c r="AF418" s="1677"/>
    </row>
    <row r="419" spans="1:36" ht="12.75">
      <c r="F419" s="81" t="s">
        <v>246</v>
      </c>
    </row>
    <row r="420" spans="1:36" ht="12.75">
      <c r="F420" s="1995"/>
      <c r="G420" s="1995"/>
      <c r="H420" s="1995"/>
      <c r="I420" s="1995"/>
      <c r="J420" s="1995"/>
      <c r="K420" s="1995"/>
      <c r="L420" s="1995"/>
      <c r="M420" s="1995"/>
      <c r="N420" s="1995"/>
      <c r="O420" s="1995"/>
      <c r="P420" s="1995"/>
      <c r="Q420" s="1995"/>
      <c r="R420" s="1995"/>
      <c r="S420" s="1995"/>
      <c r="T420" s="1995"/>
      <c r="U420" s="1995"/>
      <c r="V420" s="1995"/>
      <c r="W420" s="1995"/>
      <c r="X420" s="1995"/>
      <c r="Y420" s="1995"/>
      <c r="Z420" s="1995"/>
      <c r="AA420" s="1995"/>
      <c r="AB420" s="1995"/>
      <c r="AC420" s="1995"/>
      <c r="AD420" s="1995"/>
      <c r="AE420" s="1995"/>
      <c r="AF420" s="1995"/>
      <c r="AG420" s="1995"/>
      <c r="AH420" s="1995"/>
    </row>
    <row r="421" spans="1:36" ht="12.75">
      <c r="F421" s="1996"/>
      <c r="G421" s="1996"/>
      <c r="H421" s="1996"/>
      <c r="I421" s="1996"/>
      <c r="J421" s="1996"/>
      <c r="K421" s="1996"/>
      <c r="L421" s="1996"/>
      <c r="M421" s="1996"/>
      <c r="N421" s="1996"/>
      <c r="O421" s="1996"/>
      <c r="P421" s="1996"/>
      <c r="Q421" s="1996"/>
      <c r="R421" s="1996"/>
      <c r="S421" s="1996"/>
      <c r="T421" s="1996"/>
      <c r="U421" s="1996"/>
      <c r="V421" s="1996"/>
      <c r="W421" s="1996"/>
      <c r="X421" s="1996"/>
      <c r="Y421" s="1996"/>
      <c r="Z421" s="1996"/>
      <c r="AA421" s="1996"/>
      <c r="AB421" s="1996"/>
      <c r="AC421" s="1996"/>
      <c r="AD421" s="1996"/>
      <c r="AE421" s="1996"/>
      <c r="AF421" s="1996"/>
      <c r="AG421" s="1996"/>
      <c r="AH421" s="1996"/>
    </row>
    <row r="422" spans="1:36" ht="12.75">
      <c r="E422" s="16" t="s">
        <v>934</v>
      </c>
      <c r="N422" s="50"/>
      <c r="O422" s="50"/>
      <c r="P422" s="390"/>
      <c r="Q422" s="1677" t="s">
        <v>119</v>
      </c>
      <c r="R422" s="1677"/>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77" t="s">
        <v>135</v>
      </c>
      <c r="AF423" s="2009"/>
    </row>
    <row r="424" spans="1:36" ht="12.75">
      <c r="S424" s="35"/>
      <c r="T424" s="35"/>
    </row>
    <row r="425" spans="1:36" ht="12.75" customHeight="1">
      <c r="A425" s="63"/>
      <c r="B425" s="63"/>
      <c r="C425" s="63"/>
      <c r="E425" s="8" t="s">
        <v>87</v>
      </c>
      <c r="Z425" s="1677" t="s">
        <v>528</v>
      </c>
      <c r="AA425" s="167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77" t="s">
        <v>135</v>
      </c>
      <c r="AA427" s="1677"/>
    </row>
    <row r="428" spans="1:36" ht="12.75" customHeight="1">
      <c r="AG428" s="16">
        <v>0</v>
      </c>
    </row>
    <row r="429" spans="1:36" ht="12.75" customHeight="1">
      <c r="A429" s="63" t="s">
        <v>408</v>
      </c>
      <c r="B429" s="63"/>
      <c r="C429" s="63"/>
      <c r="D429" s="63" t="s">
        <v>188</v>
      </c>
      <c r="AF429" s="94"/>
    </row>
    <row r="430" spans="1:36" ht="12.75" customHeight="1">
      <c r="D430" s="1692" t="s">
        <v>397</v>
      </c>
      <c r="E430" s="1693"/>
      <c r="F430" s="1693"/>
      <c r="G430" s="1693"/>
      <c r="H430" s="1693"/>
      <c r="I430" s="1693"/>
      <c r="J430" s="1693"/>
      <c r="K430" s="1693"/>
      <c r="L430" s="1693"/>
      <c r="M430" s="1693"/>
      <c r="N430" s="1693"/>
      <c r="O430" s="1693"/>
      <c r="P430" s="1693"/>
      <c r="Q430" s="1693"/>
      <c r="R430" s="1693"/>
      <c r="S430" s="1693"/>
      <c r="T430" s="1693"/>
      <c r="U430" s="1693"/>
      <c r="V430" s="1693"/>
      <c r="W430" s="1693"/>
      <c r="X430" s="1693"/>
      <c r="Y430" s="1693"/>
      <c r="Z430" s="1693"/>
      <c r="AA430" s="1693"/>
      <c r="AB430" s="1693"/>
      <c r="AC430" s="1693"/>
      <c r="AD430" s="1693"/>
      <c r="AE430" s="1693"/>
      <c r="AF430" s="1694"/>
      <c r="AG430" s="2025">
        <v>49</v>
      </c>
      <c r="AH430" s="2025"/>
      <c r="AI430" s="2025"/>
      <c r="AJ430" s="2025"/>
    </row>
    <row r="431" spans="1:36" ht="12.75" customHeight="1">
      <c r="D431" s="1877" t="s">
        <v>1491</v>
      </c>
      <c r="E431" s="1975"/>
      <c r="F431" s="1975"/>
      <c r="G431" s="1975"/>
      <c r="H431" s="1975"/>
      <c r="I431" s="1975"/>
      <c r="J431" s="1975"/>
      <c r="K431" s="1975"/>
      <c r="L431" s="1975"/>
      <c r="M431" s="1975"/>
      <c r="N431" s="1975"/>
      <c r="O431" s="1975"/>
      <c r="P431" s="1975"/>
      <c r="Q431" s="1975"/>
      <c r="R431" s="1975"/>
      <c r="S431" s="1975"/>
      <c r="T431" s="1975"/>
      <c r="U431" s="1975"/>
      <c r="V431" s="1975"/>
      <c r="W431" s="1975"/>
      <c r="X431" s="1975"/>
      <c r="Y431" s="1975"/>
      <c r="Z431" s="1975"/>
      <c r="AA431" s="1975"/>
      <c r="AB431" s="1975"/>
      <c r="AC431" s="1975"/>
      <c r="AD431" s="1975"/>
      <c r="AE431" s="1975"/>
      <c r="AF431" s="1976"/>
      <c r="AG431" s="2110">
        <v>48</v>
      </c>
      <c r="AH431" s="2111"/>
      <c r="AI431" s="2111"/>
      <c r="AJ431" s="2111"/>
    </row>
    <row r="432" spans="1:36" ht="12.75" customHeight="1">
      <c r="D432" s="1877" t="s">
        <v>1492</v>
      </c>
      <c r="E432" s="1975"/>
      <c r="F432" s="1975"/>
      <c r="G432" s="1975"/>
      <c r="H432" s="1975"/>
      <c r="I432" s="1975"/>
      <c r="J432" s="1975"/>
      <c r="K432" s="1975"/>
      <c r="L432" s="1975"/>
      <c r="M432" s="1975"/>
      <c r="N432" s="1975"/>
      <c r="O432" s="1975"/>
      <c r="P432" s="1975"/>
      <c r="Q432" s="1975"/>
      <c r="R432" s="1975"/>
      <c r="S432" s="1975"/>
      <c r="T432" s="1975"/>
      <c r="U432" s="1975"/>
      <c r="V432" s="1975"/>
      <c r="W432" s="1975"/>
      <c r="X432" s="1975"/>
      <c r="Y432" s="1975"/>
      <c r="Z432" s="1975"/>
      <c r="AA432" s="1975"/>
      <c r="AB432" s="1975"/>
      <c r="AC432" s="1975"/>
      <c r="AD432" s="1975"/>
      <c r="AE432" s="1975"/>
      <c r="AF432" s="1976"/>
      <c r="AG432" s="2025">
        <v>48</v>
      </c>
      <c r="AH432" s="2025"/>
      <c r="AI432" s="2025"/>
      <c r="AJ432" s="2025"/>
    </row>
    <row r="433" spans="4:36" ht="12.75" customHeight="1">
      <c r="D433" s="1877" t="s">
        <v>1488</v>
      </c>
      <c r="E433" s="1975"/>
      <c r="F433" s="1975"/>
      <c r="G433" s="1975"/>
      <c r="H433" s="1975"/>
      <c r="I433" s="1975"/>
      <c r="J433" s="1975"/>
      <c r="K433" s="1975"/>
      <c r="L433" s="1975"/>
      <c r="M433" s="1975"/>
      <c r="N433" s="1975"/>
      <c r="O433" s="1975"/>
      <c r="P433" s="1975"/>
      <c r="Q433" s="1975"/>
      <c r="R433" s="1975"/>
      <c r="S433" s="1975"/>
      <c r="T433" s="1975"/>
      <c r="U433" s="1975"/>
      <c r="V433" s="1975"/>
      <c r="W433" s="1975"/>
      <c r="X433" s="1975"/>
      <c r="Y433" s="1975"/>
      <c r="Z433" s="1975"/>
      <c r="AA433" s="1975"/>
      <c r="AB433" s="1975"/>
      <c r="AC433" s="1975"/>
      <c r="AD433" s="1975"/>
      <c r="AE433" s="1975"/>
      <c r="AF433" s="1976"/>
      <c r="AG433" s="2025">
        <v>48</v>
      </c>
      <c r="AH433" s="2025"/>
      <c r="AI433" s="2025"/>
      <c r="AJ433" s="2025"/>
    </row>
    <row r="434" spans="4:36" ht="12.75" customHeight="1">
      <c r="D434" s="1877" t="s">
        <v>1493</v>
      </c>
      <c r="E434" s="1975"/>
      <c r="F434" s="1975"/>
      <c r="G434" s="1975"/>
      <c r="H434" s="1975"/>
      <c r="I434" s="1975"/>
      <c r="J434" s="1975"/>
      <c r="K434" s="1975"/>
      <c r="L434" s="1975"/>
      <c r="M434" s="1975"/>
      <c r="N434" s="1975"/>
      <c r="O434" s="1975"/>
      <c r="P434" s="1975"/>
      <c r="Q434" s="1975"/>
      <c r="R434" s="1975"/>
      <c r="S434" s="1975"/>
      <c r="T434" s="1975"/>
      <c r="U434" s="1975"/>
      <c r="V434" s="1975"/>
      <c r="W434" s="1975"/>
      <c r="X434" s="1975"/>
      <c r="Y434" s="1975"/>
      <c r="Z434" s="1975"/>
      <c r="AA434" s="1975"/>
      <c r="AB434" s="1975"/>
      <c r="AC434" s="1975"/>
      <c r="AD434" s="1975"/>
      <c r="AE434" s="1975"/>
      <c r="AF434" s="1976"/>
      <c r="AG434" s="2031">
        <f>IF(ISERROR(AG433/AG432),"",AG433/AG432)</f>
        <v>1</v>
      </c>
      <c r="AH434" s="2031"/>
      <c r="AI434" s="2031"/>
      <c r="AJ434" s="2031"/>
    </row>
    <row r="435" spans="4:36" ht="12.75" customHeight="1">
      <c r="D435" s="1877" t="s">
        <v>1490</v>
      </c>
      <c r="E435" s="1975"/>
      <c r="F435" s="1975"/>
      <c r="G435" s="1975"/>
      <c r="H435" s="1975"/>
      <c r="I435" s="1975"/>
      <c r="J435" s="1975"/>
      <c r="K435" s="1975"/>
      <c r="L435" s="1975"/>
      <c r="M435" s="1975"/>
      <c r="N435" s="1975"/>
      <c r="O435" s="1975"/>
      <c r="P435" s="1975"/>
      <c r="Q435" s="1975"/>
      <c r="R435" s="1975"/>
      <c r="S435" s="1975"/>
      <c r="T435" s="1975"/>
      <c r="U435" s="1975"/>
      <c r="V435" s="1975"/>
      <c r="W435" s="1975"/>
      <c r="X435" s="1975"/>
      <c r="Y435" s="1975"/>
      <c r="Z435" s="1975"/>
      <c r="AA435" s="1975"/>
      <c r="AB435" s="1975"/>
      <c r="AC435" s="1975"/>
      <c r="AD435" s="1975"/>
      <c r="AE435" s="1975"/>
      <c r="AF435" s="1976"/>
      <c r="AG435" s="2035">
        <v>115775</v>
      </c>
      <c r="AH435" s="2035"/>
      <c r="AI435" s="2035"/>
      <c r="AJ435" s="2035"/>
    </row>
    <row r="436" spans="4:36" ht="12.75" customHeight="1">
      <c r="D436" s="1877" t="s">
        <v>1489</v>
      </c>
      <c r="E436" s="1975"/>
      <c r="F436" s="1975"/>
      <c r="G436" s="1975"/>
      <c r="H436" s="1975"/>
      <c r="I436" s="1975"/>
      <c r="J436" s="1975"/>
      <c r="K436" s="1975"/>
      <c r="L436" s="1975"/>
      <c r="M436" s="1975"/>
      <c r="N436" s="1975"/>
      <c r="O436" s="1975"/>
      <c r="P436" s="1975"/>
      <c r="Q436" s="1975"/>
      <c r="R436" s="1975"/>
      <c r="S436" s="1975"/>
      <c r="T436" s="1975"/>
      <c r="U436" s="1975"/>
      <c r="V436" s="1975"/>
      <c r="W436" s="1975"/>
      <c r="X436" s="1975"/>
      <c r="Y436" s="1975"/>
      <c r="Z436" s="1975"/>
      <c r="AA436" s="1975"/>
      <c r="AB436" s="1975"/>
      <c r="AC436" s="1975"/>
      <c r="AD436" s="1975"/>
      <c r="AE436" s="1975"/>
      <c r="AF436" s="1976"/>
      <c r="AG436" s="2035">
        <v>115775</v>
      </c>
      <c r="AH436" s="2035"/>
      <c r="AI436" s="2035"/>
      <c r="AJ436" s="2035"/>
    </row>
    <row r="437" spans="4:36" ht="12.75" customHeight="1">
      <c r="D437" s="1877" t="s">
        <v>1496</v>
      </c>
      <c r="E437" s="1975"/>
      <c r="F437" s="1975"/>
      <c r="G437" s="1975"/>
      <c r="H437" s="1975"/>
      <c r="I437" s="1975"/>
      <c r="J437" s="1975"/>
      <c r="K437" s="1975"/>
      <c r="L437" s="1975"/>
      <c r="M437" s="1975"/>
      <c r="N437" s="1975"/>
      <c r="O437" s="1975"/>
      <c r="P437" s="1975"/>
      <c r="Q437" s="1975"/>
      <c r="R437" s="1975"/>
      <c r="S437" s="1975"/>
      <c r="T437" s="1975"/>
      <c r="U437" s="1975"/>
      <c r="V437" s="1975"/>
      <c r="W437" s="1975"/>
      <c r="X437" s="1975"/>
      <c r="Y437" s="1975"/>
      <c r="Z437" s="1975"/>
      <c r="AA437" s="1975"/>
      <c r="AB437" s="1975"/>
      <c r="AC437" s="1975"/>
      <c r="AD437" s="1975"/>
      <c r="AE437" s="1975"/>
      <c r="AF437" s="1976"/>
      <c r="AG437" s="2031">
        <f>IF(ISERROR(AG436/AG435),"",AG436/AG435)</f>
        <v>1</v>
      </c>
      <c r="AH437" s="2031"/>
      <c r="AI437" s="2031"/>
      <c r="AJ437" s="2031"/>
    </row>
    <row r="438" spans="4:36" ht="12.75" customHeight="1">
      <c r="D438" s="1877" t="s">
        <v>1494</v>
      </c>
      <c r="E438" s="1975"/>
      <c r="F438" s="1975"/>
      <c r="G438" s="1975"/>
      <c r="H438" s="1975"/>
      <c r="I438" s="1975"/>
      <c r="J438" s="1975"/>
      <c r="K438" s="1975"/>
      <c r="L438" s="1975"/>
      <c r="M438" s="1975"/>
      <c r="N438" s="1975"/>
      <c r="O438" s="1975"/>
      <c r="P438" s="1975"/>
      <c r="Q438" s="1975"/>
      <c r="R438" s="1975"/>
      <c r="S438" s="1975"/>
      <c r="T438" s="1975"/>
      <c r="U438" s="1975"/>
      <c r="V438" s="1975"/>
      <c r="W438" s="1975"/>
      <c r="X438" s="1975"/>
      <c r="Y438" s="1975"/>
      <c r="Z438" s="1975"/>
      <c r="AA438" s="1975"/>
      <c r="AB438" s="1975"/>
      <c r="AC438" s="1975"/>
      <c r="AD438" s="1975"/>
      <c r="AE438" s="1975"/>
      <c r="AF438" s="1976"/>
      <c r="AG438" s="2031">
        <f>MIN(IF(AG434&gt;AG437,AG437,AG434),1)</f>
        <v>1</v>
      </c>
      <c r="AH438" s="2031"/>
      <c r="AI438" s="2031"/>
      <c r="AJ438" s="2031"/>
    </row>
    <row r="439" spans="4:36" ht="12.75">
      <c r="D439" s="2107" t="s">
        <v>1901</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2035">
        <v>2630</v>
      </c>
      <c r="AH439" s="2035"/>
      <c r="AI439" s="2035"/>
      <c r="AJ439" s="2035"/>
    </row>
    <row r="440" spans="4:36" ht="12.75">
      <c r="D440" s="1877" t="s">
        <v>230</v>
      </c>
      <c r="E440" s="1975"/>
      <c r="F440" s="1975"/>
      <c r="G440" s="1975"/>
      <c r="H440" s="1975"/>
      <c r="I440" s="1975"/>
      <c r="J440" s="1975"/>
      <c r="K440" s="1975"/>
      <c r="L440" s="1975"/>
      <c r="M440" s="1975"/>
      <c r="N440" s="1975"/>
      <c r="O440" s="1975"/>
      <c r="P440" s="1975"/>
      <c r="Q440" s="1975"/>
      <c r="R440" s="1975"/>
      <c r="S440" s="1975"/>
      <c r="T440" s="1975"/>
      <c r="U440" s="1975"/>
      <c r="V440" s="1975"/>
      <c r="W440" s="1975"/>
      <c r="X440" s="1975"/>
      <c r="Y440" s="1975"/>
      <c r="Z440" s="1975"/>
      <c r="AA440" s="1975"/>
      <c r="AB440" s="1975"/>
      <c r="AC440" s="1975"/>
      <c r="AD440" s="1975"/>
      <c r="AE440" s="1975"/>
      <c r="AF440" s="1976"/>
      <c r="AG440" s="2035"/>
      <c r="AH440" s="2035"/>
      <c r="AI440" s="2035"/>
      <c r="AJ440" s="2035"/>
    </row>
    <row r="441" spans="4:36" ht="12.75" customHeight="1">
      <c r="D441" s="2107" t="s">
        <v>1902</v>
      </c>
      <c r="E441" s="1975"/>
      <c r="F441" s="1975"/>
      <c r="G441" s="1975"/>
      <c r="H441" s="1975"/>
      <c r="I441" s="1975"/>
      <c r="J441" s="1975"/>
      <c r="K441" s="1975"/>
      <c r="L441" s="1975"/>
      <c r="M441" s="1975"/>
      <c r="N441" s="1975"/>
      <c r="O441" s="1975"/>
      <c r="P441" s="1975"/>
      <c r="Q441" s="1975"/>
      <c r="R441" s="1975"/>
      <c r="S441" s="1975"/>
      <c r="T441" s="1975"/>
      <c r="U441" s="1975"/>
      <c r="V441" s="1975"/>
      <c r="W441" s="1975"/>
      <c r="X441" s="1975"/>
      <c r="Y441" s="1975"/>
      <c r="Z441" s="1975"/>
      <c r="AA441" s="1975"/>
      <c r="AB441" s="1975"/>
      <c r="AC441" s="1975"/>
      <c r="AD441" s="1975"/>
      <c r="AE441" s="1975"/>
      <c r="AF441" s="1976"/>
      <c r="AG441" s="2035">
        <v>3580</v>
      </c>
      <c r="AH441" s="2035"/>
      <c r="AI441" s="2035"/>
      <c r="AJ441" s="2035"/>
    </row>
    <row r="442" spans="4:36" ht="12.75">
      <c r="D442" s="1877" t="s">
        <v>1495</v>
      </c>
      <c r="E442" s="1975"/>
      <c r="F442" s="1975"/>
      <c r="G442" s="1975"/>
      <c r="H442" s="1975"/>
      <c r="I442" s="1975"/>
      <c r="J442" s="1975"/>
      <c r="K442" s="1975"/>
      <c r="L442" s="1975"/>
      <c r="M442" s="1975"/>
      <c r="N442" s="1975"/>
      <c r="O442" s="1975"/>
      <c r="P442" s="1975"/>
      <c r="Q442" s="1975"/>
      <c r="R442" s="1975"/>
      <c r="S442" s="1975"/>
      <c r="T442" s="1975"/>
      <c r="U442" s="1975"/>
      <c r="V442" s="1975"/>
      <c r="W442" s="1975"/>
      <c r="X442" s="1975"/>
      <c r="Y442" s="1975"/>
      <c r="Z442" s="1975"/>
      <c r="AA442" s="1975"/>
      <c r="AB442" s="1975"/>
      <c r="AC442" s="1975"/>
      <c r="AD442" s="1975"/>
      <c r="AE442" s="1975"/>
      <c r="AF442" s="1976"/>
      <c r="AG442" s="2035"/>
      <c r="AH442" s="2035"/>
      <c r="AI442" s="2035"/>
      <c r="AJ442" s="2035"/>
    </row>
    <row r="443" spans="4:36" ht="12.75">
      <c r="D443" s="1877" t="s">
        <v>1497</v>
      </c>
      <c r="E443" s="1975"/>
      <c r="F443" s="1975"/>
      <c r="G443" s="1975"/>
      <c r="H443" s="1975"/>
      <c r="I443" s="1975"/>
      <c r="J443" s="1975"/>
      <c r="K443" s="1975"/>
      <c r="L443" s="1975"/>
      <c r="M443" s="1975"/>
      <c r="N443" s="1975"/>
      <c r="O443" s="1975"/>
      <c r="P443" s="1975"/>
      <c r="Q443" s="1975"/>
      <c r="R443" s="1975"/>
      <c r="S443" s="1975"/>
      <c r="T443" s="1975"/>
      <c r="U443" s="1975"/>
      <c r="V443" s="1975"/>
      <c r="W443" s="1975"/>
      <c r="X443" s="1975"/>
      <c r="Y443" s="1975"/>
      <c r="Z443" s="1975"/>
      <c r="AA443" s="1975"/>
      <c r="AB443" s="1975"/>
      <c r="AC443" s="1975"/>
      <c r="AD443" s="1975"/>
      <c r="AE443" s="1975"/>
      <c r="AF443" s="1976"/>
      <c r="AG443" s="2027">
        <f>AG435+AG439+AG441+AG442</f>
        <v>121985</v>
      </c>
      <c r="AH443" s="2027"/>
      <c r="AI443" s="2027"/>
      <c r="AJ443" s="2027"/>
    </row>
    <row r="444" spans="4:36" ht="12.75">
      <c r="D444" s="1690" t="s">
        <v>1903</v>
      </c>
      <c r="E444" s="1690"/>
      <c r="F444" s="1690"/>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1690"/>
      <c r="AG444" s="1690"/>
      <c r="AH444" s="1690"/>
      <c r="AI444" s="1690"/>
      <c r="AJ444" s="1690"/>
    </row>
    <row r="445" spans="4:36" ht="13.7" customHeight="1">
      <c r="D445" s="1691"/>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1"/>
      <c r="AG445" s="1691"/>
      <c r="AH445" s="1691"/>
      <c r="AI445" s="1691"/>
      <c r="AJ445" s="1691"/>
    </row>
    <row r="446" spans="4:36" ht="12.75">
      <c r="D446" s="2112"/>
      <c r="E446" s="2112"/>
      <c r="F446" s="2112"/>
      <c r="G446" s="2112"/>
      <c r="H446" s="2112"/>
      <c r="I446" s="2112"/>
      <c r="J446" s="2112"/>
      <c r="K446" s="2112"/>
      <c r="L446" s="2112"/>
      <c r="M446" s="2112"/>
      <c r="N446" s="2112"/>
      <c r="O446" s="2112"/>
      <c r="P446" s="2112"/>
      <c r="Q446" s="2112"/>
      <c r="R446" s="2112"/>
      <c r="S446" s="2112"/>
      <c r="T446" s="2112"/>
      <c r="U446" s="2112"/>
      <c r="V446" s="2112"/>
      <c r="W446" s="2112"/>
      <c r="X446" s="2112"/>
      <c r="Y446" s="2112"/>
      <c r="Z446" s="2112"/>
      <c r="AA446" s="2112"/>
      <c r="AB446" s="2112"/>
      <c r="AC446" s="2112"/>
      <c r="AD446" s="2112"/>
      <c r="AE446" s="2112"/>
      <c r="AF446" s="2112"/>
      <c r="AG446" s="2112"/>
      <c r="AH446" s="2112"/>
      <c r="AI446" s="2112"/>
      <c r="AJ446" s="2112"/>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9">
        <f>'Sources and Uses Budget'!B104/Application!AG430</f>
        <v>729614.30612244899</v>
      </c>
      <c r="AD447" s="1979"/>
      <c r="AE447" s="1979"/>
      <c r="AF447" s="1979"/>
      <c r="AG447" s="2020"/>
      <c r="AH447" s="2020"/>
      <c r="AI447" s="2020"/>
      <c r="AJ447" s="2020"/>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9">
        <f>'Sources and Uses Budget'!C104/Application!AG430</f>
        <v>729614.30612244899</v>
      </c>
      <c r="AD448" s="1979"/>
      <c r="AE448" s="1979"/>
      <c r="AF448" s="1979"/>
      <c r="AG448" s="2020"/>
      <c r="AH448" s="2020"/>
      <c r="AI448" s="2020"/>
      <c r="AJ448" s="2020"/>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9">
        <f>('Sources and Uses Budget'!S106+'Sources and Uses Budget'!T106)/Application!AG430</f>
        <v>487078.44897959183</v>
      </c>
      <c r="AD449" s="1979"/>
      <c r="AE449" s="1979"/>
      <c r="AF449" s="1979"/>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682" t="s">
        <v>235</v>
      </c>
      <c r="E458" s="1683"/>
      <c r="F458" s="1683"/>
      <c r="G458" s="1683"/>
      <c r="H458" s="1683"/>
      <c r="I458" s="1683"/>
      <c r="J458" s="1683"/>
      <c r="K458" s="1683"/>
      <c r="L458" s="1683"/>
      <c r="M458" s="1683"/>
      <c r="N458" s="1683"/>
      <c r="O458" s="1683"/>
      <c r="P458" s="1683"/>
      <c r="Q458" s="1683"/>
      <c r="R458" s="1683"/>
      <c r="S458" s="1683"/>
      <c r="T458" s="1683"/>
      <c r="U458" s="1683"/>
      <c r="V458" s="1684"/>
      <c r="W458" s="1685" t="s">
        <v>135</v>
      </c>
      <c r="X458" s="1686"/>
      <c r="Y458" s="1687"/>
      <c r="Z458" s="478"/>
      <c r="AA458" s="478"/>
      <c r="AB458" s="478"/>
      <c r="AC458" s="478"/>
      <c r="AD458" s="478"/>
      <c r="AE458" s="478"/>
      <c r="AF458" s="478"/>
      <c r="AG458" s="478"/>
      <c r="AH458" s="478"/>
      <c r="AI458" s="478"/>
      <c r="AJ458" s="327"/>
      <c r="AK458" s="327"/>
      <c r="AL458" s="327"/>
    </row>
    <row r="459" spans="1:38" ht="12.75" customHeight="1">
      <c r="A459" s="327"/>
      <c r="B459" s="327"/>
      <c r="C459" s="327"/>
      <c r="D459" s="1682" t="s">
        <v>236</v>
      </c>
      <c r="E459" s="1683"/>
      <c r="F459" s="1683"/>
      <c r="G459" s="1683"/>
      <c r="H459" s="1683"/>
      <c r="I459" s="1683"/>
      <c r="J459" s="1683"/>
      <c r="K459" s="1683"/>
      <c r="L459" s="1683"/>
      <c r="M459" s="1683"/>
      <c r="N459" s="1683"/>
      <c r="O459" s="1683"/>
      <c r="P459" s="1683"/>
      <c r="Q459" s="1683"/>
      <c r="R459" s="1683"/>
      <c r="S459" s="1683"/>
      <c r="T459" s="1683"/>
      <c r="U459" s="1683"/>
      <c r="V459" s="1684"/>
      <c r="W459" s="1685" t="s">
        <v>135</v>
      </c>
      <c r="X459" s="1686"/>
      <c r="Y459" s="1687"/>
      <c r="Z459" s="478"/>
      <c r="AA459" s="478"/>
      <c r="AB459" s="478"/>
      <c r="AC459" s="478"/>
      <c r="AD459" s="478"/>
      <c r="AE459" s="478"/>
      <c r="AF459" s="478"/>
      <c r="AG459" s="478"/>
      <c r="AH459" s="478"/>
      <c r="AI459" s="478"/>
      <c r="AJ459" s="327"/>
      <c r="AK459" s="327"/>
      <c r="AL459" s="327"/>
    </row>
    <row r="460" spans="1:38" ht="12.75" customHeight="1">
      <c r="A460" s="327"/>
      <c r="B460" s="327"/>
      <c r="C460" s="327"/>
      <c r="D460" s="1682" t="s">
        <v>237</v>
      </c>
      <c r="E460" s="1683"/>
      <c r="F460" s="1683"/>
      <c r="G460" s="1683"/>
      <c r="H460" s="1683"/>
      <c r="I460" s="1683"/>
      <c r="J460" s="1683"/>
      <c r="K460" s="1683"/>
      <c r="L460" s="1683"/>
      <c r="M460" s="1683"/>
      <c r="N460" s="1683"/>
      <c r="O460" s="1683"/>
      <c r="P460" s="1683"/>
      <c r="Q460" s="1683"/>
      <c r="R460" s="1683"/>
      <c r="S460" s="1683"/>
      <c r="T460" s="1683"/>
      <c r="U460" s="1683"/>
      <c r="V460" s="1684"/>
      <c r="W460" s="1685" t="s">
        <v>135</v>
      </c>
      <c r="X460" s="1686"/>
      <c r="Y460" s="1687"/>
      <c r="Z460" s="478"/>
      <c r="AA460" s="478"/>
      <c r="AB460" s="478"/>
      <c r="AC460" s="478"/>
      <c r="AD460" s="478"/>
      <c r="AE460" s="478"/>
      <c r="AF460" s="478"/>
      <c r="AG460" s="478"/>
      <c r="AH460" s="478"/>
      <c r="AI460" s="478"/>
      <c r="AJ460" s="327"/>
      <c r="AK460" s="327"/>
      <c r="AL460" s="327"/>
    </row>
    <row r="461" spans="1:38" ht="12.75" customHeight="1">
      <c r="A461" s="327"/>
      <c r="B461" s="327"/>
      <c r="C461" s="327"/>
      <c r="D461" s="1682" t="s">
        <v>241</v>
      </c>
      <c r="E461" s="1683"/>
      <c r="F461" s="1683"/>
      <c r="G461" s="1683"/>
      <c r="H461" s="1683"/>
      <c r="I461" s="1683"/>
      <c r="J461" s="1683"/>
      <c r="K461" s="1683"/>
      <c r="L461" s="1683"/>
      <c r="M461" s="1683"/>
      <c r="N461" s="1683"/>
      <c r="O461" s="1683"/>
      <c r="P461" s="1683"/>
      <c r="Q461" s="1683"/>
      <c r="R461" s="1683"/>
      <c r="S461" s="1683"/>
      <c r="T461" s="1683"/>
      <c r="U461" s="1683"/>
      <c r="V461" s="1684"/>
      <c r="W461" s="1685" t="s">
        <v>135</v>
      </c>
      <c r="X461" s="1686"/>
      <c r="Y461" s="1687"/>
      <c r="Z461" s="478"/>
      <c r="AA461" s="478"/>
      <c r="AB461" s="478"/>
      <c r="AC461" s="478"/>
      <c r="AD461" s="478"/>
      <c r="AE461" s="478"/>
      <c r="AF461" s="478"/>
      <c r="AG461" s="478"/>
      <c r="AH461" s="478"/>
      <c r="AI461" s="478"/>
      <c r="AJ461" s="327"/>
      <c r="AK461" s="327"/>
      <c r="AL461" s="327"/>
    </row>
    <row r="462" spans="1:38" ht="12.75" customHeight="1">
      <c r="A462" s="327"/>
      <c r="B462" s="327"/>
      <c r="C462" s="327"/>
      <c r="D462" s="2024" t="s">
        <v>1197</v>
      </c>
      <c r="E462" s="1683"/>
      <c r="F462" s="1683"/>
      <c r="G462" s="1683"/>
      <c r="H462" s="1683"/>
      <c r="I462" s="1683"/>
      <c r="J462" s="1683"/>
      <c r="K462" s="1683"/>
      <c r="L462" s="1683"/>
      <c r="M462" s="1683"/>
      <c r="N462" s="1683"/>
      <c r="O462" s="1683"/>
      <c r="P462" s="1683"/>
      <c r="Q462" s="1683"/>
      <c r="R462" s="1683"/>
      <c r="S462" s="1683"/>
      <c r="T462" s="1683"/>
      <c r="U462" s="1683"/>
      <c r="V462" s="1684"/>
      <c r="W462" s="1685" t="s">
        <v>135</v>
      </c>
      <c r="X462" s="1686"/>
      <c r="Y462" s="1687"/>
      <c r="Z462" s="478"/>
      <c r="AA462" s="478"/>
      <c r="AB462" s="478"/>
      <c r="AC462" s="478"/>
      <c r="AD462" s="478"/>
      <c r="AE462" s="478"/>
      <c r="AF462" s="478"/>
      <c r="AG462" s="478"/>
      <c r="AH462" s="478"/>
      <c r="AI462" s="478"/>
      <c r="AJ462" s="327"/>
      <c r="AK462" s="327"/>
      <c r="AL462" s="327"/>
    </row>
    <row r="463" spans="1:38" ht="12.75" customHeight="1">
      <c r="A463" s="327"/>
      <c r="B463" s="327"/>
      <c r="C463" s="327"/>
      <c r="D463" s="1682" t="s">
        <v>245</v>
      </c>
      <c r="E463" s="1683"/>
      <c r="F463" s="1683"/>
      <c r="G463" s="1683"/>
      <c r="H463" s="1683"/>
      <c r="I463" s="1683"/>
      <c r="J463" s="1683"/>
      <c r="K463" s="1683"/>
      <c r="L463" s="1683"/>
      <c r="M463" s="1683"/>
      <c r="N463" s="1683"/>
      <c r="O463" s="1683"/>
      <c r="P463" s="1683"/>
      <c r="Q463" s="1683"/>
      <c r="R463" s="1683"/>
      <c r="S463" s="1683"/>
      <c r="T463" s="1683"/>
      <c r="U463" s="1683"/>
      <c r="V463" s="1684"/>
      <c r="W463" s="1685" t="s">
        <v>135</v>
      </c>
      <c r="X463" s="1686"/>
      <c r="Y463" s="1687"/>
      <c r="Z463" s="478"/>
      <c r="AA463" s="478"/>
      <c r="AB463" s="478"/>
      <c r="AC463" s="478"/>
      <c r="AD463" s="478"/>
      <c r="AE463" s="478"/>
      <c r="AF463" s="478"/>
      <c r="AG463" s="478"/>
      <c r="AH463" s="478"/>
      <c r="AI463" s="478"/>
      <c r="AJ463" s="327"/>
      <c r="AK463" s="327"/>
      <c r="AL463" s="327"/>
    </row>
    <row r="464" spans="1:38" ht="12.75" customHeight="1">
      <c r="A464" s="861"/>
      <c r="B464" s="861"/>
      <c r="C464" s="861"/>
      <c r="D464" s="2024" t="s">
        <v>1415</v>
      </c>
      <c r="E464" s="2108"/>
      <c r="F464" s="2108"/>
      <c r="G464" s="2108"/>
      <c r="H464" s="2108"/>
      <c r="I464" s="2108"/>
      <c r="J464" s="2108"/>
      <c r="K464" s="2108"/>
      <c r="L464" s="2108"/>
      <c r="M464" s="2108"/>
      <c r="N464" s="2108"/>
      <c r="O464" s="2108"/>
      <c r="P464" s="2108"/>
      <c r="Q464" s="2108"/>
      <c r="R464" s="2108"/>
      <c r="S464" s="2108"/>
      <c r="T464" s="2108"/>
      <c r="U464" s="2108"/>
      <c r="V464" s="2109"/>
      <c r="W464" s="2114" t="s">
        <v>135</v>
      </c>
      <c r="X464" s="2115"/>
      <c r="Y464" s="2116"/>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4"/>
      <c r="H465" s="2105"/>
      <c r="I465" s="2105"/>
      <c r="J465" s="2105"/>
      <c r="K465" s="2105"/>
      <c r="L465" s="2105"/>
      <c r="M465" s="2105"/>
      <c r="N465" s="2105"/>
      <c r="O465" s="2105"/>
      <c r="P465" s="2105"/>
      <c r="Q465" s="2105"/>
      <c r="R465" s="2105"/>
      <c r="S465" s="2105"/>
      <c r="T465" s="2105"/>
      <c r="U465" s="2105"/>
      <c r="V465" s="2106"/>
      <c r="W465" s="1685" t="s">
        <v>135</v>
      </c>
      <c r="X465" s="1686"/>
      <c r="Y465" s="168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688" t="s">
        <v>238</v>
      </c>
      <c r="E469" s="1689"/>
      <c r="F469" s="1689"/>
      <c r="G469" s="1689"/>
      <c r="H469" s="1689"/>
      <c r="I469" s="1689"/>
      <c r="J469" s="1689"/>
      <c r="K469" s="1689"/>
      <c r="L469" s="1689"/>
      <c r="M469" s="1689"/>
      <c r="N469" s="1689"/>
      <c r="O469" s="1689"/>
      <c r="P469" s="1689"/>
      <c r="Q469" s="1689"/>
      <c r="R469" s="1689"/>
      <c r="S469" s="1689"/>
      <c r="T469" s="1689"/>
      <c r="U469" s="1689"/>
      <c r="V469" s="1689"/>
      <c r="W469" s="2038"/>
      <c r="X469" s="2038"/>
      <c r="Y469" s="203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682" t="s">
        <v>239</v>
      </c>
      <c r="E470" s="1683"/>
      <c r="F470" s="1683"/>
      <c r="G470" s="1683"/>
      <c r="H470" s="1683"/>
      <c r="I470" s="1683"/>
      <c r="J470" s="1683"/>
      <c r="K470" s="1683"/>
      <c r="L470" s="1683"/>
      <c r="M470" s="1683"/>
      <c r="N470" s="1683"/>
      <c r="O470" s="1683"/>
      <c r="P470" s="1683"/>
      <c r="Q470" s="1683"/>
      <c r="R470" s="1683"/>
      <c r="S470" s="1683"/>
      <c r="T470" s="1683"/>
      <c r="U470" s="1683"/>
      <c r="V470" s="1684"/>
      <c r="W470" s="1685" t="s">
        <v>135</v>
      </c>
      <c r="X470" s="1686"/>
      <c r="Y470" s="168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705" t="s">
        <v>1112</v>
      </c>
      <c r="B473" s="1705"/>
      <c r="C473" s="1705"/>
      <c r="D473" s="1705"/>
      <c r="E473" s="1705"/>
      <c r="F473" s="1705"/>
      <c r="G473" s="1705"/>
      <c r="H473" s="1705"/>
      <c r="I473" s="1705"/>
      <c r="J473" s="1705"/>
      <c r="K473" s="1705"/>
      <c r="L473" s="1705"/>
      <c r="M473" s="1705"/>
      <c r="N473" s="1705"/>
      <c r="O473" s="1705"/>
      <c r="P473" s="1705"/>
      <c r="Q473" s="1705"/>
      <c r="R473" s="1705"/>
      <c r="S473" s="1705"/>
      <c r="T473" s="1705"/>
      <c r="U473" s="1705"/>
      <c r="V473" s="1705"/>
      <c r="W473" s="1705"/>
      <c r="X473" s="1705"/>
      <c r="Y473" s="1705"/>
      <c r="Z473" s="1705"/>
      <c r="AA473" s="1705"/>
      <c r="AB473" s="1705"/>
      <c r="AC473" s="1705"/>
      <c r="AD473" s="1705"/>
      <c r="AE473" s="1705"/>
      <c r="AF473" s="1705"/>
      <c r="AG473" s="1705"/>
      <c r="AH473" s="1705"/>
      <c r="AI473" s="1705"/>
      <c r="AJ473" s="1705"/>
      <c r="AK473" s="1705"/>
      <c r="AL473" s="170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706"/>
      <c r="B474" s="1706"/>
      <c r="C474" s="1706"/>
      <c r="D474" s="1706"/>
      <c r="E474" s="1706"/>
      <c r="F474" s="1706"/>
      <c r="G474" s="1706"/>
      <c r="H474" s="1706"/>
      <c r="I474" s="1706"/>
      <c r="J474" s="1706"/>
      <c r="K474" s="1706"/>
      <c r="L474" s="1706"/>
      <c r="M474" s="1706"/>
      <c r="N474" s="1706"/>
      <c r="O474" s="1706"/>
      <c r="P474" s="1706"/>
      <c r="Q474" s="1706"/>
      <c r="R474" s="1706"/>
      <c r="S474" s="1706"/>
      <c r="T474" s="1706"/>
      <c r="U474" s="1706"/>
      <c r="V474" s="1706"/>
      <c r="W474" s="1706"/>
      <c r="X474" s="1706"/>
      <c r="Y474" s="1706"/>
      <c r="Z474" s="1706"/>
      <c r="AA474" s="1706"/>
      <c r="AB474" s="1706"/>
      <c r="AC474" s="1706"/>
      <c r="AD474" s="1706"/>
      <c r="AE474" s="1706"/>
      <c r="AF474" s="1706"/>
      <c r="AG474" s="1706"/>
      <c r="AH474" s="1706"/>
      <c r="AI474" s="1706"/>
      <c r="AJ474" s="1706"/>
      <c r="AK474" s="1706"/>
      <c r="AL474" s="170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21" t="s">
        <v>1113</v>
      </c>
      <c r="U478" s="2022"/>
      <c r="V478" s="2022"/>
      <c r="W478" s="2022"/>
      <c r="X478" s="2022"/>
      <c r="Y478" s="2022"/>
      <c r="Z478" s="2022"/>
      <c r="AA478" s="2022"/>
      <c r="AB478" s="2022"/>
      <c r="AC478" s="2022"/>
      <c r="AD478" s="2022"/>
      <c r="AE478" s="2022"/>
      <c r="AF478" s="2022"/>
      <c r="AG478" s="2022"/>
      <c r="AH478" s="202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9" t="s">
        <v>865</v>
      </c>
      <c r="U479" s="2019"/>
      <c r="V479" s="2019"/>
      <c r="W479" s="2019"/>
      <c r="X479" s="2019"/>
      <c r="Y479" s="2019" t="s">
        <v>866</v>
      </c>
      <c r="Z479" s="2019"/>
      <c r="AA479" s="2019"/>
      <c r="AB479" s="2019"/>
      <c r="AC479" s="2019"/>
      <c r="AD479" s="2019" t="s">
        <v>926</v>
      </c>
      <c r="AE479" s="2019"/>
      <c r="AF479" s="2019"/>
      <c r="AG479" s="2019"/>
      <c r="AH479" s="201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9"/>
      <c r="U480" s="2019"/>
      <c r="V480" s="2019"/>
      <c r="W480" s="2019"/>
      <c r="X480" s="2019"/>
      <c r="Y480" s="2019"/>
      <c r="Z480" s="2019"/>
      <c r="AA480" s="2019"/>
      <c r="AB480" s="2019"/>
      <c r="AC480" s="2019"/>
      <c r="AD480" s="2019"/>
      <c r="AE480" s="2019"/>
      <c r="AF480" s="2019"/>
      <c r="AG480" s="2019"/>
      <c r="AH480" s="201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83" t="s">
        <v>2449</v>
      </c>
      <c r="U481" s="1984"/>
      <c r="V481" s="1984"/>
      <c r="W481" s="1984"/>
      <c r="X481" s="1984"/>
      <c r="Y481" s="1983" t="s">
        <v>2449</v>
      </c>
      <c r="Z481" s="1984"/>
      <c r="AA481" s="1984"/>
      <c r="AB481" s="1984"/>
      <c r="AC481" s="1984"/>
      <c r="AD481" s="1983" t="s">
        <v>2449</v>
      </c>
      <c r="AE481" s="1984"/>
      <c r="AF481" s="1984"/>
      <c r="AG481" s="1984"/>
      <c r="AH481" s="198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83" t="s">
        <v>2449</v>
      </c>
      <c r="U482" s="1984"/>
      <c r="V482" s="1984"/>
      <c r="W482" s="1984"/>
      <c r="X482" s="1984"/>
      <c r="Y482" s="1983" t="s">
        <v>2449</v>
      </c>
      <c r="Z482" s="1984"/>
      <c r="AA482" s="1984"/>
      <c r="AB482" s="1984"/>
      <c r="AC482" s="1984"/>
      <c r="AD482" s="1983" t="s">
        <v>2449</v>
      </c>
      <c r="AE482" s="1984"/>
      <c r="AF482" s="1984"/>
      <c r="AG482" s="1984"/>
      <c r="AH482" s="198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83" t="s">
        <v>2449</v>
      </c>
      <c r="U483" s="1984"/>
      <c r="V483" s="1984"/>
      <c r="W483" s="1984"/>
      <c r="X483" s="1984"/>
      <c r="Y483" s="1983" t="s">
        <v>2449</v>
      </c>
      <c r="Z483" s="1984"/>
      <c r="AA483" s="1984"/>
      <c r="AB483" s="1984"/>
      <c r="AC483" s="1984"/>
      <c r="AD483" s="1983" t="s">
        <v>2449</v>
      </c>
      <c r="AE483" s="1984"/>
      <c r="AF483" s="1984"/>
      <c r="AG483" s="1984"/>
      <c r="AH483" s="198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83" t="s">
        <v>2449</v>
      </c>
      <c r="U484" s="1984"/>
      <c r="V484" s="1984"/>
      <c r="W484" s="1984"/>
      <c r="X484" s="1984"/>
      <c r="Y484" s="1983" t="s">
        <v>2449</v>
      </c>
      <c r="Z484" s="1984"/>
      <c r="AA484" s="1984"/>
      <c r="AB484" s="1984"/>
      <c r="AC484" s="1984"/>
      <c r="AD484" s="1983" t="s">
        <v>2449</v>
      </c>
      <c r="AE484" s="1984"/>
      <c r="AF484" s="1984"/>
      <c r="AG484" s="1984"/>
      <c r="AH484" s="198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83" t="s">
        <v>2449</v>
      </c>
      <c r="U485" s="1984"/>
      <c r="V485" s="1984"/>
      <c r="W485" s="1984"/>
      <c r="X485" s="1984"/>
      <c r="Y485" s="1983" t="s">
        <v>2449</v>
      </c>
      <c r="Z485" s="1984"/>
      <c r="AA485" s="1984"/>
      <c r="AB485" s="1984"/>
      <c r="AC485" s="1984"/>
      <c r="AD485" s="1983" t="s">
        <v>2449</v>
      </c>
      <c r="AE485" s="1984"/>
      <c r="AF485" s="1984"/>
      <c r="AG485" s="1984"/>
      <c r="AH485" s="198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83" t="s">
        <v>2449</v>
      </c>
      <c r="U486" s="1984"/>
      <c r="V486" s="1984"/>
      <c r="W486" s="1984"/>
      <c r="X486" s="1984"/>
      <c r="Y486" s="1983" t="s">
        <v>2449</v>
      </c>
      <c r="Z486" s="1984"/>
      <c r="AA486" s="1984"/>
      <c r="AB486" s="1984"/>
      <c r="AC486" s="1984"/>
      <c r="AD486" s="1983" t="s">
        <v>2449</v>
      </c>
      <c r="AE486" s="1984"/>
      <c r="AF486" s="1984"/>
      <c r="AG486" s="1984"/>
      <c r="AH486" s="198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83" t="s">
        <v>2449</v>
      </c>
      <c r="U487" s="1984"/>
      <c r="V487" s="1984"/>
      <c r="W487" s="1984"/>
      <c r="X487" s="1984"/>
      <c r="Y487" s="1983" t="s">
        <v>2449</v>
      </c>
      <c r="Z487" s="1984"/>
      <c r="AA487" s="1984"/>
      <c r="AB487" s="1984"/>
      <c r="AC487" s="1984"/>
      <c r="AD487" s="1983" t="s">
        <v>2449</v>
      </c>
      <c r="AE487" s="1984"/>
      <c r="AF487" s="1984"/>
      <c r="AG487" s="1984"/>
      <c r="AH487" s="198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83" t="s">
        <v>2449</v>
      </c>
      <c r="U488" s="1984"/>
      <c r="V488" s="1984"/>
      <c r="W488" s="1984"/>
      <c r="X488" s="1984"/>
      <c r="Y488" s="1983" t="s">
        <v>2449</v>
      </c>
      <c r="Z488" s="1984"/>
      <c r="AA488" s="1984"/>
      <c r="AB488" s="1984"/>
      <c r="AC488" s="1984"/>
      <c r="AD488" s="1983" t="s">
        <v>2449</v>
      </c>
      <c r="AE488" s="1984"/>
      <c r="AF488" s="1984"/>
      <c r="AG488" s="1984"/>
      <c r="AH488" s="198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3" t="s">
        <v>2449</v>
      </c>
      <c r="U489" s="1984"/>
      <c r="V489" s="1984"/>
      <c r="W489" s="1984"/>
      <c r="X489" s="1984"/>
      <c r="Y489" s="1983" t="s">
        <v>2449</v>
      </c>
      <c r="Z489" s="1984"/>
      <c r="AA489" s="1984"/>
      <c r="AB489" s="1984"/>
      <c r="AC489" s="1984"/>
      <c r="AD489" s="1983" t="s">
        <v>2449</v>
      </c>
      <c r="AE489" s="1984"/>
      <c r="AF489" s="1984"/>
      <c r="AG489" s="1984"/>
      <c r="AH489" s="198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83" t="s">
        <v>2449</v>
      </c>
      <c r="U490" s="1984"/>
      <c r="V490" s="1984"/>
      <c r="W490" s="1984"/>
      <c r="X490" s="1984"/>
      <c r="Y490" s="1983" t="s">
        <v>2449</v>
      </c>
      <c r="Z490" s="1984"/>
      <c r="AA490" s="1984"/>
      <c r="AB490" s="1984"/>
      <c r="AC490" s="1984"/>
      <c r="AD490" s="1983" t="s">
        <v>2449</v>
      </c>
      <c r="AE490" s="1984"/>
      <c r="AF490" s="1984"/>
      <c r="AG490" s="1984"/>
      <c r="AH490" s="198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21" t="s">
        <v>265</v>
      </c>
      <c r="R492" s="2022"/>
      <c r="S492" s="2022"/>
      <c r="T492" s="2022"/>
      <c r="U492" s="2022"/>
      <c r="V492" s="2022"/>
      <c r="W492" s="2022"/>
      <c r="X492" s="2022"/>
      <c r="Y492" s="2022"/>
      <c r="Z492" s="2022"/>
      <c r="AA492" s="2022"/>
      <c r="AB492" s="2022"/>
      <c r="AC492" s="2022"/>
      <c r="AD492" s="2022"/>
      <c r="AE492" s="2022"/>
      <c r="AF492" s="2022"/>
      <c r="AG492" s="2022"/>
      <c r="AH492" s="2022"/>
      <c r="AI492" s="2022"/>
      <c r="AJ492" s="2022"/>
      <c r="AK492" s="202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49" t="s">
        <v>2417</v>
      </c>
      <c r="R493" s="1676"/>
      <c r="S493" s="1676"/>
      <c r="T493" s="1676"/>
      <c r="U493" s="1676"/>
      <c r="V493" s="1676"/>
      <c r="W493" s="1676"/>
      <c r="X493" s="1676"/>
      <c r="Y493" s="1676"/>
      <c r="Z493" s="1676"/>
      <c r="AA493" s="1676"/>
      <c r="AB493" s="1676"/>
      <c r="AC493" s="1676"/>
      <c r="AD493" s="1676"/>
      <c r="AE493" s="1676"/>
      <c r="AF493" s="1676"/>
      <c r="AG493" s="1676"/>
      <c r="AH493" s="1676"/>
      <c r="AI493" s="1676"/>
      <c r="AJ493" s="1676"/>
      <c r="AK493" s="175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49" t="s">
        <v>2418</v>
      </c>
      <c r="R494" s="1676"/>
      <c r="S494" s="1676"/>
      <c r="T494" s="1676"/>
      <c r="U494" s="1676"/>
      <c r="V494" s="1676"/>
      <c r="W494" s="1676"/>
      <c r="X494" s="1676"/>
      <c r="Y494" s="1676"/>
      <c r="Z494" s="1676"/>
      <c r="AA494" s="1676"/>
      <c r="AB494" s="1676"/>
      <c r="AC494" s="1676"/>
      <c r="AD494" s="1676"/>
      <c r="AE494" s="1676"/>
      <c r="AF494" s="1676"/>
      <c r="AG494" s="1676"/>
      <c r="AH494" s="1676"/>
      <c r="AI494" s="1676"/>
      <c r="AJ494" s="1676"/>
      <c r="AK494" s="175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49" t="s">
        <v>2419</v>
      </c>
      <c r="R495" s="1676"/>
      <c r="S495" s="1676"/>
      <c r="T495" s="1676"/>
      <c r="U495" s="1676"/>
      <c r="V495" s="1676"/>
      <c r="W495" s="1676"/>
      <c r="X495" s="1676"/>
      <c r="Y495" s="1676"/>
      <c r="Z495" s="1676"/>
      <c r="AA495" s="1676"/>
      <c r="AB495" s="1676"/>
      <c r="AC495" s="1676"/>
      <c r="AD495" s="1676"/>
      <c r="AE495" s="1676"/>
      <c r="AF495" s="1676"/>
      <c r="AG495" s="1676"/>
      <c r="AH495" s="1676"/>
      <c r="AI495" s="1676"/>
      <c r="AJ495" s="1676"/>
      <c r="AK495" s="175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3" t="s">
        <v>269</v>
      </c>
      <c r="C496" s="2014"/>
      <c r="D496" s="2014"/>
      <c r="E496" s="2014"/>
      <c r="F496" s="2014"/>
      <c r="G496" s="2014"/>
      <c r="H496" s="2014"/>
      <c r="I496" s="2014"/>
      <c r="J496" s="2014"/>
      <c r="K496" s="2014"/>
      <c r="L496" s="2014"/>
      <c r="M496" s="2014"/>
      <c r="N496" s="2014"/>
      <c r="O496" s="2014"/>
      <c r="P496" s="2015"/>
      <c r="Q496" s="2119" t="s">
        <v>528</v>
      </c>
      <c r="R496" s="2120"/>
      <c r="S496" s="2123" t="s">
        <v>58</v>
      </c>
      <c r="T496" s="2124"/>
      <c r="U496" s="2124"/>
      <c r="V496" s="2124"/>
      <c r="W496" s="2124"/>
      <c r="X496" s="2124"/>
      <c r="Y496" s="2124"/>
      <c r="Z496" s="2124"/>
      <c r="AA496" s="2124"/>
      <c r="AB496" s="2124"/>
      <c r="AC496" s="2124"/>
      <c r="AD496" s="2124"/>
      <c r="AE496" s="2124"/>
      <c r="AF496" s="2124"/>
      <c r="AG496" s="2124"/>
      <c r="AH496" s="2124"/>
      <c r="AI496" s="2124"/>
      <c r="AJ496" s="2124"/>
      <c r="AK496" s="212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16"/>
      <c r="C497" s="2017"/>
      <c r="D497" s="2017"/>
      <c r="E497" s="2017"/>
      <c r="F497" s="2017"/>
      <c r="G497" s="2017"/>
      <c r="H497" s="2017"/>
      <c r="I497" s="2017"/>
      <c r="J497" s="2017"/>
      <c r="K497" s="2017"/>
      <c r="L497" s="2017"/>
      <c r="M497" s="2017"/>
      <c r="N497" s="2017"/>
      <c r="O497" s="2017"/>
      <c r="P497" s="2018"/>
      <c r="Q497" s="2121"/>
      <c r="R497" s="2122"/>
      <c r="S497" s="2126"/>
      <c r="T497" s="2127"/>
      <c r="U497" s="2127"/>
      <c r="V497" s="2127"/>
      <c r="W497" s="2127"/>
      <c r="X497" s="2127"/>
      <c r="Y497" s="2127"/>
      <c r="Z497" s="2127"/>
      <c r="AA497" s="2127"/>
      <c r="AB497" s="2127"/>
      <c r="AC497" s="2127"/>
      <c r="AD497" s="2127"/>
      <c r="AE497" s="2127"/>
      <c r="AF497" s="2127"/>
      <c r="AG497" s="2127"/>
      <c r="AH497" s="2127"/>
      <c r="AI497" s="2127"/>
      <c r="AJ497" s="2127"/>
      <c r="AK497" s="212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2129" t="s">
        <v>528</v>
      </c>
      <c r="R498" s="2130"/>
      <c r="S498" s="2130"/>
      <c r="T498" s="2130"/>
      <c r="U498" s="2130"/>
      <c r="V498" s="2130"/>
      <c r="W498" s="2130"/>
      <c r="X498" s="2130"/>
      <c r="Y498" s="2130"/>
      <c r="Z498" s="2130"/>
      <c r="AA498" s="2130"/>
      <c r="AB498" s="2130"/>
      <c r="AC498" s="2130"/>
      <c r="AD498" s="2130"/>
      <c r="AE498" s="2130"/>
      <c r="AF498" s="2130"/>
      <c r="AG498" s="2130"/>
      <c r="AH498" s="2130"/>
      <c r="AI498" s="2130"/>
      <c r="AJ498" s="2130"/>
      <c r="AK498" s="213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49"/>
      <c r="R499" s="1676"/>
      <c r="S499" s="1676"/>
      <c r="T499" s="1676"/>
      <c r="U499" s="1676"/>
      <c r="V499" s="1676"/>
      <c r="W499" s="1676"/>
      <c r="X499" s="1676"/>
      <c r="Y499" s="1676"/>
      <c r="Z499" s="1676"/>
      <c r="AA499" s="1676"/>
      <c r="AB499" s="1676"/>
      <c r="AC499" s="1676"/>
      <c r="AD499" s="1676"/>
      <c r="AE499" s="1676"/>
      <c r="AF499" s="1676"/>
      <c r="AG499" s="1676"/>
      <c r="AH499" s="1676"/>
      <c r="AI499" s="1676"/>
      <c r="AJ499" s="1676"/>
      <c r="AK499" s="175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26">
        <v>4.2361111111111106E-2</v>
      </c>
      <c r="R500" s="1676"/>
      <c r="S500" s="1676"/>
      <c r="T500" s="1676"/>
      <c r="U500" s="1676"/>
      <c r="V500" s="1676"/>
      <c r="W500" s="1676"/>
      <c r="X500" s="1676"/>
      <c r="Y500" s="1676"/>
      <c r="Z500" s="1676"/>
      <c r="AA500" s="1676"/>
      <c r="AB500" s="1676"/>
      <c r="AC500" s="1676"/>
      <c r="AD500" s="1676"/>
      <c r="AE500" s="1676"/>
      <c r="AF500" s="1676"/>
      <c r="AG500" s="1676"/>
      <c r="AH500" s="1676"/>
      <c r="AI500" s="1676"/>
      <c r="AJ500" s="1676"/>
      <c r="AK500" s="175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49">
        <v>137</v>
      </c>
      <c r="R501" s="1676"/>
      <c r="S501" s="1676"/>
      <c r="T501" s="1676"/>
      <c r="U501" s="1676"/>
      <c r="V501" s="1676"/>
      <c r="W501" s="1676"/>
      <c r="X501" s="1676"/>
      <c r="Y501" s="1676"/>
      <c r="Z501" s="1676"/>
      <c r="AA501" s="1676"/>
      <c r="AB501" s="1676"/>
      <c r="AC501" s="1676"/>
      <c r="AD501" s="1676"/>
      <c r="AE501" s="1676"/>
      <c r="AF501" s="1676"/>
      <c r="AG501" s="1676"/>
      <c r="AH501" s="1676"/>
      <c r="AI501" s="1676"/>
      <c r="AJ501" s="1676"/>
      <c r="AK501" s="175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654"/>
      <c r="N502" s="1655"/>
      <c r="O502" s="1655"/>
      <c r="P502" s="1656"/>
      <c r="Q502" s="1384" t="s">
        <v>2198</v>
      </c>
      <c r="R502" s="1385"/>
      <c r="S502" s="1385"/>
      <c r="T502" s="1385"/>
      <c r="U502" s="1385"/>
      <c r="V502" s="1385"/>
      <c r="W502" s="1385"/>
      <c r="X502" s="1385"/>
      <c r="Y502" s="1385"/>
      <c r="Z502" s="1385"/>
      <c r="AA502" s="1385"/>
      <c r="AB502" s="1385"/>
      <c r="AC502" s="1385"/>
      <c r="AD502" s="1385"/>
      <c r="AE502" s="1385"/>
      <c r="AF502" s="1385"/>
      <c r="AG502" s="1385"/>
      <c r="AH502" s="1654">
        <v>137</v>
      </c>
      <c r="AI502" s="1655"/>
      <c r="AJ502" s="1655"/>
      <c r="AK502" s="165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21" t="s">
        <v>273</v>
      </c>
      <c r="AD506" s="2022"/>
      <c r="AE506" s="2022"/>
      <c r="AF506" s="2022"/>
      <c r="AG506" s="2022"/>
      <c r="AH506" s="2022"/>
      <c r="AI506" s="2022"/>
      <c r="AJ506" s="2022"/>
      <c r="AK506" s="20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3" t="s">
        <v>274</v>
      </c>
      <c r="AD507" s="2029"/>
      <c r="AE507" s="2029"/>
      <c r="AF507" s="2029"/>
      <c r="AG507" s="96" t="s">
        <v>275</v>
      </c>
      <c r="AH507" s="2029" t="s">
        <v>276</v>
      </c>
      <c r="AI507" s="2029"/>
      <c r="AJ507" s="2029"/>
      <c r="AK507" s="203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710" t="s">
        <v>277</v>
      </c>
      <c r="C508" s="1711"/>
      <c r="D508" s="1711"/>
      <c r="E508" s="1711"/>
      <c r="F508" s="1711"/>
      <c r="G508" s="1711"/>
      <c r="H508" s="1712"/>
      <c r="I508" s="86" t="s">
        <v>733</v>
      </c>
      <c r="J508" s="86"/>
      <c r="K508" s="86"/>
      <c r="L508" s="86"/>
      <c r="M508" s="86"/>
      <c r="N508" s="86"/>
      <c r="O508" s="86"/>
      <c r="P508" s="86"/>
      <c r="Q508" s="86"/>
      <c r="R508" s="86"/>
      <c r="S508" s="86"/>
      <c r="T508" s="86"/>
      <c r="U508" s="86"/>
      <c r="V508" s="86"/>
      <c r="W508" s="86"/>
      <c r="X508" s="35"/>
      <c r="Y508" s="35"/>
      <c r="AC508" s="1678" t="s">
        <v>135</v>
      </c>
      <c r="AD508" s="1679"/>
      <c r="AE508" s="1679"/>
      <c r="AF508" s="1679"/>
      <c r="AG508" s="89" t="s">
        <v>275</v>
      </c>
      <c r="AH508" s="1752">
        <v>0</v>
      </c>
      <c r="AI508" s="1752"/>
      <c r="AJ508" s="1752"/>
      <c r="AK508" s="175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713"/>
      <c r="C509" s="1714"/>
      <c r="D509" s="1714"/>
      <c r="E509" s="1714"/>
      <c r="F509" s="1714"/>
      <c r="G509" s="1714"/>
      <c r="H509" s="1715"/>
      <c r="I509" s="94" t="s">
        <v>734</v>
      </c>
      <c r="J509" s="94"/>
      <c r="K509" s="94"/>
      <c r="L509" s="94"/>
      <c r="M509" s="94"/>
      <c r="N509" s="94"/>
      <c r="O509" s="94"/>
      <c r="P509" s="94"/>
      <c r="Q509" s="94"/>
      <c r="R509" s="94"/>
      <c r="S509" s="94"/>
      <c r="T509" s="94"/>
      <c r="U509" s="94"/>
      <c r="V509" s="94"/>
      <c r="W509" s="94"/>
      <c r="X509" s="94"/>
      <c r="Y509" s="94"/>
      <c r="Z509" s="94"/>
      <c r="AA509" s="94"/>
      <c r="AB509" s="94"/>
      <c r="AC509" s="1678">
        <v>6</v>
      </c>
      <c r="AD509" s="1679"/>
      <c r="AE509" s="1679"/>
      <c r="AF509" s="1679"/>
      <c r="AG509" s="79" t="s">
        <v>275</v>
      </c>
      <c r="AH509" s="1752">
        <v>2021</v>
      </c>
      <c r="AI509" s="1752"/>
      <c r="AJ509" s="1752"/>
      <c r="AK509" s="175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710" t="s">
        <v>735</v>
      </c>
      <c r="C510" s="1711"/>
      <c r="D510" s="1711"/>
      <c r="E510" s="1711"/>
      <c r="F510" s="1711"/>
      <c r="G510" s="1711"/>
      <c r="H510" s="1712"/>
      <c r="I510" s="86" t="s">
        <v>736</v>
      </c>
      <c r="J510" s="86"/>
      <c r="K510" s="86"/>
      <c r="L510" s="86"/>
      <c r="M510" s="86"/>
      <c r="N510" s="86"/>
      <c r="O510" s="86"/>
      <c r="P510" s="86"/>
      <c r="Q510" s="86"/>
      <c r="R510" s="86"/>
      <c r="S510" s="86"/>
      <c r="T510" s="86"/>
      <c r="U510" s="86"/>
      <c r="V510" s="86"/>
      <c r="W510" s="86"/>
      <c r="X510" s="35"/>
      <c r="Y510" s="35"/>
      <c r="AC510" s="1678" t="s">
        <v>135</v>
      </c>
      <c r="AD510" s="1679"/>
      <c r="AE510" s="1679"/>
      <c r="AF510" s="1679"/>
      <c r="AG510" s="89" t="s">
        <v>275</v>
      </c>
      <c r="AH510" s="1752"/>
      <c r="AI510" s="1752"/>
      <c r="AJ510" s="1752"/>
      <c r="AK510" s="175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713"/>
      <c r="C511" s="1714"/>
      <c r="D511" s="1714"/>
      <c r="E511" s="1714"/>
      <c r="F511" s="1714"/>
      <c r="G511" s="1714"/>
      <c r="H511" s="1715"/>
      <c r="I511" s="35" t="s">
        <v>737</v>
      </c>
      <c r="J511" s="35"/>
      <c r="K511" s="35"/>
      <c r="L511" s="35"/>
      <c r="M511" s="35"/>
      <c r="N511" s="35"/>
      <c r="O511" s="35"/>
      <c r="P511" s="35"/>
      <c r="Q511" s="35"/>
      <c r="R511" s="35"/>
      <c r="S511" s="35"/>
      <c r="T511" s="35"/>
      <c r="U511" s="35"/>
      <c r="V511" s="35"/>
      <c r="W511" s="35"/>
      <c r="X511" s="35"/>
      <c r="Y511" s="35"/>
      <c r="AC511" s="1678" t="s">
        <v>135</v>
      </c>
      <c r="AD511" s="1679"/>
      <c r="AE511" s="1679"/>
      <c r="AF511" s="1679"/>
      <c r="AG511" s="89" t="s">
        <v>275</v>
      </c>
      <c r="AH511" s="1752"/>
      <c r="AI511" s="1752"/>
      <c r="AJ511" s="1752"/>
      <c r="AK511" s="175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713"/>
      <c r="C512" s="1714"/>
      <c r="D512" s="1714"/>
      <c r="E512" s="1714"/>
      <c r="F512" s="1714"/>
      <c r="G512" s="1714"/>
      <c r="H512" s="1715"/>
      <c r="I512" s="35" t="s">
        <v>738</v>
      </c>
      <c r="J512" s="35"/>
      <c r="K512" s="35"/>
      <c r="L512" s="35"/>
      <c r="M512" s="35"/>
      <c r="N512" s="35"/>
      <c r="O512" s="35"/>
      <c r="P512" s="35"/>
      <c r="Q512" s="35"/>
      <c r="R512" s="35"/>
      <c r="S512" s="35"/>
      <c r="T512" s="35"/>
      <c r="U512" s="35"/>
      <c r="V512" s="35"/>
      <c r="W512" s="35"/>
      <c r="X512" s="35"/>
      <c r="Y512" s="35"/>
      <c r="AC512" s="1678" t="s">
        <v>135</v>
      </c>
      <c r="AD512" s="1679"/>
      <c r="AE512" s="1679"/>
      <c r="AF512" s="1679"/>
      <c r="AG512" s="89" t="s">
        <v>275</v>
      </c>
      <c r="AH512" s="1752"/>
      <c r="AI512" s="1752"/>
      <c r="AJ512" s="1752"/>
      <c r="AK512" s="175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713"/>
      <c r="C513" s="1714"/>
      <c r="D513" s="1714"/>
      <c r="E513" s="1714"/>
      <c r="F513" s="1714"/>
      <c r="G513" s="1714"/>
      <c r="H513" s="1715"/>
      <c r="I513" s="35" t="s">
        <v>739</v>
      </c>
      <c r="J513" s="35"/>
      <c r="K513" s="35"/>
      <c r="L513" s="35"/>
      <c r="M513" s="35"/>
      <c r="N513" s="35"/>
      <c r="O513" s="35"/>
      <c r="P513" s="35"/>
      <c r="Q513" s="35"/>
      <c r="R513" s="35"/>
      <c r="S513" s="35"/>
      <c r="T513" s="35"/>
      <c r="U513" s="35"/>
      <c r="V513" s="35"/>
      <c r="W513" s="35"/>
      <c r="X513" s="35"/>
      <c r="Y513" s="35"/>
      <c r="AC513" s="1678">
        <v>3</v>
      </c>
      <c r="AD513" s="1679"/>
      <c r="AE513" s="1679"/>
      <c r="AF513" s="1679"/>
      <c r="AG513" s="89" t="s">
        <v>275</v>
      </c>
      <c r="AH513" s="1752">
        <v>2023</v>
      </c>
      <c r="AI513" s="1752"/>
      <c r="AJ513" s="1752"/>
      <c r="AK513" s="175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713"/>
      <c r="C514" s="1714"/>
      <c r="D514" s="1714"/>
      <c r="E514" s="1714"/>
      <c r="F514" s="1714"/>
      <c r="G514" s="1714"/>
      <c r="H514" s="1715"/>
      <c r="I514" s="326" t="s">
        <v>740</v>
      </c>
      <c r="J514" s="35"/>
      <c r="K514" s="35"/>
      <c r="L514" s="35"/>
      <c r="M514" s="35"/>
      <c r="N514" s="35"/>
      <c r="O514" s="35"/>
      <c r="P514" s="35"/>
      <c r="Q514" s="35"/>
      <c r="R514" s="35"/>
      <c r="S514" s="35"/>
      <c r="T514" s="35"/>
      <c r="U514" s="35"/>
      <c r="V514" s="35"/>
      <c r="W514" s="35"/>
      <c r="X514" s="35"/>
      <c r="Y514" s="35"/>
      <c r="AC514" s="1800">
        <v>3</v>
      </c>
      <c r="AD514" s="1801"/>
      <c r="AE514" s="1801"/>
      <c r="AF514" s="1801"/>
      <c r="AG514" s="1350" t="s">
        <v>275</v>
      </c>
      <c r="AH514" s="1752">
        <v>2023</v>
      </c>
      <c r="AI514" s="1752"/>
      <c r="AJ514" s="1752"/>
      <c r="AK514" s="175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713"/>
      <c r="C515" s="1714"/>
      <c r="D515" s="1714"/>
      <c r="E515" s="1714"/>
      <c r="F515" s="1714"/>
      <c r="G515" s="1714"/>
      <c r="H515" s="1715"/>
      <c r="I515" s="624" t="s">
        <v>310</v>
      </c>
      <c r="J515" s="94"/>
      <c r="K515" s="94"/>
      <c r="L515" s="2096" t="s">
        <v>619</v>
      </c>
      <c r="M515" s="2005"/>
      <c r="N515" s="2005"/>
      <c r="O515" s="2005"/>
      <c r="P515" s="2005"/>
      <c r="Q515" s="2005"/>
      <c r="R515" s="2005"/>
      <c r="S515" s="2005"/>
      <c r="T515" s="2005"/>
      <c r="U515" s="2005"/>
      <c r="V515" s="2005"/>
      <c r="W515" s="2005"/>
      <c r="X515" s="2005"/>
      <c r="Y515" s="2005"/>
      <c r="Z515" s="2005"/>
      <c r="AA515" s="2005"/>
      <c r="AB515" s="2097"/>
      <c r="AC515" s="2102" t="s">
        <v>135</v>
      </c>
      <c r="AD515" s="1854"/>
      <c r="AE515" s="1854"/>
      <c r="AF515" s="1854"/>
      <c r="AG515" s="1346" t="s">
        <v>275</v>
      </c>
      <c r="AH515" s="1752"/>
      <c r="AI515" s="1752"/>
      <c r="AJ515" s="1752"/>
      <c r="AK515" s="175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713"/>
      <c r="C516" s="1714"/>
      <c r="D516" s="1714"/>
      <c r="E516" s="1714"/>
      <c r="F516" s="1714"/>
      <c r="G516" s="1714"/>
      <c r="H516" s="1715"/>
      <c r="I516" s="1070" t="s">
        <v>2199</v>
      </c>
      <c r="J516" s="35"/>
      <c r="K516" s="35"/>
      <c r="L516" s="35"/>
      <c r="M516" s="35"/>
      <c r="N516" s="35"/>
      <c r="O516" s="35"/>
      <c r="P516" s="35"/>
      <c r="Q516" s="35"/>
      <c r="R516" s="35"/>
      <c r="S516" s="35"/>
      <c r="T516" s="35"/>
      <c r="U516" s="35"/>
      <c r="V516" s="35"/>
      <c r="W516" s="35"/>
      <c r="X516" s="35"/>
      <c r="Y516" s="35"/>
      <c r="AC516" s="2103" t="s">
        <v>528</v>
      </c>
      <c r="AD516" s="2103"/>
      <c r="AE516" s="2103"/>
      <c r="AF516" s="2103"/>
      <c r="AG516" s="1350"/>
      <c r="AH516" s="2091"/>
      <c r="AI516" s="2091"/>
      <c r="AJ516" s="2091"/>
      <c r="AK516" s="209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713"/>
      <c r="C517" s="1714"/>
      <c r="D517" s="1714"/>
      <c r="E517" s="1714"/>
      <c r="F517" s="1714"/>
      <c r="G517" s="1714"/>
      <c r="H517" s="1715"/>
      <c r="I517" s="623" t="s">
        <v>2200</v>
      </c>
      <c r="J517" s="35"/>
      <c r="K517" s="35"/>
      <c r="L517" s="35"/>
      <c r="M517" s="35"/>
      <c r="N517" s="35"/>
      <c r="O517" s="35"/>
      <c r="P517" s="35"/>
      <c r="Q517" s="35"/>
      <c r="R517" s="35"/>
      <c r="S517" s="35"/>
      <c r="T517" s="35"/>
      <c r="U517" s="35"/>
      <c r="V517" s="35"/>
      <c r="W517" s="35"/>
      <c r="X517" s="35"/>
      <c r="Y517" s="35"/>
      <c r="AC517" s="1800"/>
      <c r="AD517" s="1801"/>
      <c r="AE517" s="1801"/>
      <c r="AF517" s="1802"/>
      <c r="AG517" s="1350"/>
      <c r="AH517" s="2091"/>
      <c r="AI517" s="2091"/>
      <c r="AJ517" s="2091"/>
      <c r="AK517" s="209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713"/>
      <c r="C518" s="1714"/>
      <c r="D518" s="1714"/>
      <c r="E518" s="1714"/>
      <c r="F518" s="1714"/>
      <c r="G518" s="1714"/>
      <c r="H518" s="1715"/>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713"/>
      <c r="C519" s="1714"/>
      <c r="D519" s="1714"/>
      <c r="E519" s="1714"/>
      <c r="F519" s="1714"/>
      <c r="G519" s="1714"/>
      <c r="H519" s="1715"/>
      <c r="I519" s="1390" t="s">
        <v>2202</v>
      </c>
      <c r="J519" s="94"/>
      <c r="K519" s="94"/>
      <c r="L519" s="94"/>
      <c r="M519" s="94"/>
      <c r="N519" s="94"/>
      <c r="O519" s="94"/>
      <c r="P519" s="94"/>
      <c r="Q519" s="94"/>
      <c r="R519" s="94"/>
      <c r="S519" s="94"/>
      <c r="T519" s="94"/>
      <c r="U519" s="94"/>
      <c r="V519" s="94"/>
      <c r="W519" s="94"/>
      <c r="X519" s="94"/>
      <c r="Y519" s="94"/>
      <c r="Z519" s="94"/>
      <c r="AA519" s="94"/>
      <c r="AB519" s="94"/>
      <c r="AC519" s="2093"/>
      <c r="AD519" s="2094"/>
      <c r="AE519" s="2094"/>
      <c r="AF519" s="2095"/>
      <c r="AG519" s="1346"/>
      <c r="AH519" s="2036"/>
      <c r="AI519" s="2036"/>
      <c r="AJ519" s="2036"/>
      <c r="AK519" s="203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710" t="s">
        <v>741</v>
      </c>
      <c r="C520" s="1711"/>
      <c r="D520" s="1711"/>
      <c r="E520" s="1711"/>
      <c r="F520" s="1711"/>
      <c r="G520" s="1711"/>
      <c r="H520" s="1712"/>
      <c r="I520" s="86" t="s">
        <v>742</v>
      </c>
      <c r="J520" s="86"/>
      <c r="K520" s="86"/>
      <c r="L520" s="86"/>
      <c r="M520" s="86"/>
      <c r="N520" s="86"/>
      <c r="O520" s="86"/>
      <c r="P520" s="86"/>
      <c r="Q520" s="86"/>
      <c r="R520" s="86"/>
      <c r="S520" s="86"/>
      <c r="T520" s="86"/>
      <c r="U520" s="86"/>
      <c r="V520" s="86"/>
      <c r="W520" s="86"/>
      <c r="X520" s="35"/>
      <c r="Y520" s="35"/>
      <c r="AC520" s="2098">
        <v>6</v>
      </c>
      <c r="AD520" s="2099"/>
      <c r="AE520" s="2099"/>
      <c r="AF520" s="2099"/>
      <c r="AG520" s="89" t="s">
        <v>275</v>
      </c>
      <c r="AH520" s="2100">
        <v>2022</v>
      </c>
      <c r="AI520" s="2100"/>
      <c r="AJ520" s="2100"/>
      <c r="AK520" s="210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713"/>
      <c r="C521" s="1714"/>
      <c r="D521" s="1714"/>
      <c r="E521" s="1714"/>
      <c r="F521" s="1714"/>
      <c r="G521" s="1714"/>
      <c r="H521" s="1715"/>
      <c r="I521" s="35" t="s">
        <v>743</v>
      </c>
      <c r="J521" s="35"/>
      <c r="K521" s="35"/>
      <c r="L521" s="35"/>
      <c r="M521" s="35"/>
      <c r="N521" s="35"/>
      <c r="O521" s="35"/>
      <c r="P521" s="35"/>
      <c r="Q521" s="35"/>
      <c r="R521" s="35"/>
      <c r="S521" s="35"/>
      <c r="T521" s="35"/>
      <c r="U521" s="35"/>
      <c r="V521" s="35"/>
      <c r="W521" s="35"/>
      <c r="X521" s="35"/>
      <c r="Y521" s="35"/>
      <c r="AC521" s="2098">
        <v>6</v>
      </c>
      <c r="AD521" s="2099"/>
      <c r="AE521" s="2099"/>
      <c r="AF521" s="2099"/>
      <c r="AG521" s="89" t="s">
        <v>275</v>
      </c>
      <c r="AH521" s="2100">
        <v>2022</v>
      </c>
      <c r="AI521" s="2100"/>
      <c r="AJ521" s="2100"/>
      <c r="AK521" s="210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713"/>
      <c r="C522" s="1714"/>
      <c r="D522" s="1714"/>
      <c r="E522" s="1714"/>
      <c r="F522" s="1714"/>
      <c r="G522" s="1714"/>
      <c r="H522" s="1715"/>
      <c r="I522" s="94" t="s">
        <v>744</v>
      </c>
      <c r="J522" s="94"/>
      <c r="K522" s="94"/>
      <c r="L522" s="94"/>
      <c r="M522" s="94"/>
      <c r="N522" s="94"/>
      <c r="O522" s="94"/>
      <c r="P522" s="94"/>
      <c r="Q522" s="94"/>
      <c r="R522" s="94"/>
      <c r="S522" s="94"/>
      <c r="T522" s="94"/>
      <c r="U522" s="94"/>
      <c r="V522" s="94"/>
      <c r="W522" s="94"/>
      <c r="X522" s="94"/>
      <c r="Y522" s="94"/>
      <c r="Z522" s="94"/>
      <c r="AA522" s="94"/>
      <c r="AB522" s="94"/>
      <c r="AC522" s="2098">
        <v>3</v>
      </c>
      <c r="AD522" s="2099"/>
      <c r="AE522" s="2099"/>
      <c r="AF522" s="2099"/>
      <c r="AG522" s="79" t="s">
        <v>275</v>
      </c>
      <c r="AH522" s="2100">
        <v>2023</v>
      </c>
      <c r="AI522" s="2100"/>
      <c r="AJ522" s="2100"/>
      <c r="AK522" s="210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710" t="s">
        <v>745</v>
      </c>
      <c r="C523" s="1711"/>
      <c r="D523" s="1711"/>
      <c r="E523" s="1711"/>
      <c r="F523" s="1711"/>
      <c r="G523" s="1711"/>
      <c r="H523" s="1712"/>
      <c r="I523" s="86" t="s">
        <v>742</v>
      </c>
      <c r="J523" s="86"/>
      <c r="K523" s="86"/>
      <c r="L523" s="86"/>
      <c r="M523" s="86"/>
      <c r="N523" s="86"/>
      <c r="O523" s="86"/>
      <c r="P523" s="86"/>
      <c r="Q523" s="86"/>
      <c r="R523" s="86"/>
      <c r="S523" s="86"/>
      <c r="T523" s="86"/>
      <c r="U523" s="86"/>
      <c r="V523" s="86"/>
      <c r="W523" s="86"/>
      <c r="X523" s="86"/>
      <c r="Y523" s="86"/>
      <c r="Z523" s="86"/>
      <c r="AA523" s="86"/>
      <c r="AB523" s="86"/>
      <c r="AC523" s="2098">
        <v>6</v>
      </c>
      <c r="AD523" s="2099"/>
      <c r="AE523" s="2099"/>
      <c r="AF523" s="2099"/>
      <c r="AG523" s="360" t="s">
        <v>275</v>
      </c>
      <c r="AH523" s="2100">
        <v>2022</v>
      </c>
      <c r="AI523" s="2100"/>
      <c r="AJ523" s="2100"/>
      <c r="AK523" s="210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713"/>
      <c r="C524" s="1714"/>
      <c r="D524" s="1714"/>
      <c r="E524" s="1714"/>
      <c r="F524" s="1714"/>
      <c r="G524" s="1714"/>
      <c r="H524" s="1715"/>
      <c r="I524" s="35" t="s">
        <v>743</v>
      </c>
      <c r="J524" s="35"/>
      <c r="K524" s="35"/>
      <c r="L524" s="35"/>
      <c r="M524" s="35"/>
      <c r="N524" s="35"/>
      <c r="O524" s="35"/>
      <c r="P524" s="35"/>
      <c r="Q524" s="35"/>
      <c r="R524" s="35"/>
      <c r="S524" s="35"/>
      <c r="T524" s="35"/>
      <c r="U524" s="35"/>
      <c r="V524" s="35"/>
      <c r="W524" s="35"/>
      <c r="X524" s="35"/>
      <c r="Y524" s="35"/>
      <c r="Z524" s="35"/>
      <c r="AA524" s="35"/>
      <c r="AB524" s="35"/>
      <c r="AC524" s="2098">
        <v>6</v>
      </c>
      <c r="AD524" s="2099"/>
      <c r="AE524" s="2099"/>
      <c r="AF524" s="2099"/>
      <c r="AG524" s="89" t="s">
        <v>275</v>
      </c>
      <c r="AH524" s="2100">
        <v>2022</v>
      </c>
      <c r="AI524" s="2100"/>
      <c r="AJ524" s="2100"/>
      <c r="AK524" s="210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716"/>
      <c r="C525" s="1717"/>
      <c r="D525" s="1717"/>
      <c r="E525" s="1717"/>
      <c r="F525" s="1717"/>
      <c r="G525" s="1717"/>
      <c r="H525" s="1718"/>
      <c r="I525" s="94" t="s">
        <v>744</v>
      </c>
      <c r="J525" s="94"/>
      <c r="K525" s="94"/>
      <c r="L525" s="94"/>
      <c r="M525" s="94"/>
      <c r="N525" s="94"/>
      <c r="O525" s="94"/>
      <c r="P525" s="94"/>
      <c r="Q525" s="94"/>
      <c r="R525" s="94"/>
      <c r="S525" s="94"/>
      <c r="T525" s="94"/>
      <c r="U525" s="94"/>
      <c r="V525" s="94"/>
      <c r="W525" s="94"/>
      <c r="X525" s="94"/>
      <c r="Y525" s="94"/>
      <c r="Z525" s="94"/>
      <c r="AA525" s="94"/>
      <c r="AB525" s="94"/>
      <c r="AC525" s="2098">
        <v>3</v>
      </c>
      <c r="AD525" s="2099"/>
      <c r="AE525" s="2099"/>
      <c r="AF525" s="2099"/>
      <c r="AG525" s="79" t="s">
        <v>275</v>
      </c>
      <c r="AH525" s="2100">
        <v>2023</v>
      </c>
      <c r="AI525" s="2100"/>
      <c r="AJ525" s="2100"/>
      <c r="AK525" s="210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710" t="s">
        <v>746</v>
      </c>
      <c r="C526" s="1711"/>
      <c r="D526" s="1711"/>
      <c r="E526" s="1711"/>
      <c r="F526" s="1711"/>
      <c r="G526" s="1711"/>
      <c r="H526" s="1712"/>
      <c r="I526" s="85" t="s">
        <v>747</v>
      </c>
      <c r="J526" s="86"/>
      <c r="K526" s="86"/>
      <c r="L526" s="86"/>
      <c r="M526" s="86"/>
      <c r="N526" s="86"/>
      <c r="O526" s="1701" t="s">
        <v>2450</v>
      </c>
      <c r="P526" s="1676"/>
      <c r="Q526" s="1676"/>
      <c r="R526" s="1676"/>
      <c r="S526" s="1676"/>
      <c r="T526" s="1676"/>
      <c r="U526" s="1676"/>
      <c r="V526" s="1676"/>
      <c r="W526" s="1676"/>
      <c r="X526" s="1676"/>
      <c r="Y526" s="1676"/>
      <c r="Z526" s="1676"/>
      <c r="AA526" s="1676"/>
      <c r="AB526" s="108"/>
      <c r="AC526" s="1839" t="s">
        <v>135</v>
      </c>
      <c r="AD526" s="1840"/>
      <c r="AE526" s="1840"/>
      <c r="AF526" s="1840"/>
      <c r="AG526" s="360" t="s">
        <v>275</v>
      </c>
      <c r="AH526" s="1752"/>
      <c r="AI526" s="1752"/>
      <c r="AJ526" s="1752"/>
      <c r="AK526" s="175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713"/>
      <c r="C527" s="1714"/>
      <c r="D527" s="1714"/>
      <c r="E527" s="1714"/>
      <c r="F527" s="1714"/>
      <c r="G527" s="1714"/>
      <c r="H527" s="1715"/>
      <c r="I527" s="317" t="s">
        <v>748</v>
      </c>
      <c r="J527" s="35"/>
      <c r="K527" s="35"/>
      <c r="L527" s="35"/>
      <c r="M527" s="35"/>
      <c r="N527" s="35"/>
      <c r="O527" s="35"/>
      <c r="P527" s="35"/>
      <c r="Q527" s="35"/>
      <c r="R527" s="35"/>
      <c r="S527" s="35"/>
      <c r="T527" s="35"/>
      <c r="U527" s="35"/>
      <c r="V527" s="35"/>
      <c r="W527" s="35"/>
      <c r="X527" s="35"/>
      <c r="Y527" s="35"/>
      <c r="Z527" s="35"/>
      <c r="AA527" s="35"/>
      <c r="AB527" s="115"/>
      <c r="AC527" s="1678">
        <v>11</v>
      </c>
      <c r="AD527" s="1679"/>
      <c r="AE527" s="1679"/>
      <c r="AF527" s="1679"/>
      <c r="AG527" s="89" t="s">
        <v>275</v>
      </c>
      <c r="AH527" s="1752">
        <v>2020</v>
      </c>
      <c r="AI527" s="1752"/>
      <c r="AJ527" s="1752"/>
      <c r="AK527" s="175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713"/>
      <c r="C528" s="1714"/>
      <c r="D528" s="1714"/>
      <c r="E528" s="1714"/>
      <c r="F528" s="1714"/>
      <c r="G528" s="1714"/>
      <c r="H528" s="1715"/>
      <c r="I528" s="93" t="s">
        <v>749</v>
      </c>
      <c r="J528" s="94"/>
      <c r="K528" s="94"/>
      <c r="L528" s="94"/>
      <c r="M528" s="94"/>
      <c r="N528" s="94"/>
      <c r="O528" s="94"/>
      <c r="P528" s="94"/>
      <c r="Q528" s="94"/>
      <c r="R528" s="94"/>
      <c r="S528" s="94"/>
      <c r="T528" s="94"/>
      <c r="U528" s="94"/>
      <c r="V528" s="94"/>
      <c r="W528" s="94"/>
      <c r="X528" s="94"/>
      <c r="Y528" s="94"/>
      <c r="Z528" s="94"/>
      <c r="AA528" s="94"/>
      <c r="AB528" s="95"/>
      <c r="AC528" s="1678">
        <v>3</v>
      </c>
      <c r="AD528" s="1679"/>
      <c r="AE528" s="1679"/>
      <c r="AF528" s="1679"/>
      <c r="AG528" s="79" t="s">
        <v>275</v>
      </c>
      <c r="AH528" s="1752">
        <v>2023</v>
      </c>
      <c r="AI528" s="1752"/>
      <c r="AJ528" s="1752"/>
      <c r="AK528" s="175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713"/>
      <c r="C529" s="1714"/>
      <c r="D529" s="1714"/>
      <c r="E529" s="1714"/>
      <c r="F529" s="1714"/>
      <c r="G529" s="1714"/>
      <c r="H529" s="1715"/>
      <c r="I529" s="86" t="s">
        <v>750</v>
      </c>
      <c r="J529" s="86"/>
      <c r="K529" s="86"/>
      <c r="L529" s="86"/>
      <c r="M529" s="86"/>
      <c r="N529" s="86"/>
      <c r="O529" s="1680" t="s">
        <v>2451</v>
      </c>
      <c r="P529" s="1664"/>
      <c r="Q529" s="1664"/>
      <c r="R529" s="1664"/>
      <c r="S529" s="1664"/>
      <c r="T529" s="1664"/>
      <c r="U529" s="1664"/>
      <c r="V529" s="1664"/>
      <c r="W529" s="1664"/>
      <c r="X529" s="1664"/>
      <c r="Y529" s="1664"/>
      <c r="Z529" s="1664"/>
      <c r="AA529" s="1664"/>
      <c r="AC529" s="1678" t="s">
        <v>135</v>
      </c>
      <c r="AD529" s="1679"/>
      <c r="AE529" s="1679"/>
      <c r="AF529" s="1679"/>
      <c r="AG529" s="89" t="s">
        <v>275</v>
      </c>
      <c r="AH529" s="1752"/>
      <c r="AI529" s="1752"/>
      <c r="AJ529" s="1752"/>
      <c r="AK529" s="175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713"/>
      <c r="C530" s="1714"/>
      <c r="D530" s="1714"/>
      <c r="E530" s="1714"/>
      <c r="F530" s="1714"/>
      <c r="G530" s="1714"/>
      <c r="H530" s="1715"/>
      <c r="I530" s="35" t="s">
        <v>748</v>
      </c>
      <c r="J530" s="35"/>
      <c r="K530" s="35"/>
      <c r="L530" s="35"/>
      <c r="M530" s="35"/>
      <c r="N530" s="35"/>
      <c r="O530" s="35"/>
      <c r="P530" s="35"/>
      <c r="Q530" s="35"/>
      <c r="R530" s="35"/>
      <c r="S530" s="35"/>
      <c r="T530" s="35"/>
      <c r="U530" s="35"/>
      <c r="V530" s="35"/>
      <c r="W530" s="35"/>
      <c r="X530" s="35"/>
      <c r="Y530" s="35"/>
      <c r="AC530" s="1678">
        <v>6</v>
      </c>
      <c r="AD530" s="1679"/>
      <c r="AE530" s="1679"/>
      <c r="AF530" s="1679"/>
      <c r="AG530" s="89" t="s">
        <v>275</v>
      </c>
      <c r="AH530" s="1752">
        <v>2022</v>
      </c>
      <c r="AI530" s="1752"/>
      <c r="AJ530" s="1752"/>
      <c r="AK530" s="175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713"/>
      <c r="C531" s="1714"/>
      <c r="D531" s="1714"/>
      <c r="E531" s="1714"/>
      <c r="F531" s="1714"/>
      <c r="G531" s="1714"/>
      <c r="H531" s="1715"/>
      <c r="I531" s="94" t="s">
        <v>749</v>
      </c>
      <c r="J531" s="94"/>
      <c r="K531" s="94"/>
      <c r="L531" s="94"/>
      <c r="M531" s="94"/>
      <c r="N531" s="94"/>
      <c r="O531" s="94"/>
      <c r="P531" s="94"/>
      <c r="Q531" s="94"/>
      <c r="R531" s="94"/>
      <c r="S531" s="94"/>
      <c r="T531" s="94"/>
      <c r="U531" s="94"/>
      <c r="V531" s="94"/>
      <c r="W531" s="94"/>
      <c r="X531" s="94"/>
      <c r="Y531" s="94"/>
      <c r="Z531" s="94"/>
      <c r="AA531" s="94"/>
      <c r="AB531" s="94"/>
      <c r="AC531" s="1678">
        <v>3</v>
      </c>
      <c r="AD531" s="1679"/>
      <c r="AE531" s="1679"/>
      <c r="AF531" s="1679"/>
      <c r="AG531" s="79" t="s">
        <v>275</v>
      </c>
      <c r="AH531" s="1752">
        <v>2023</v>
      </c>
      <c r="AI531" s="1752"/>
      <c r="AJ531" s="1752"/>
      <c r="AK531" s="175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713"/>
      <c r="C532" s="1714"/>
      <c r="D532" s="1714"/>
      <c r="E532" s="1714"/>
      <c r="F532" s="1714"/>
      <c r="G532" s="1714"/>
      <c r="H532" s="1715"/>
      <c r="I532" s="86" t="s">
        <v>750</v>
      </c>
      <c r="J532" s="86"/>
      <c r="K532" s="86"/>
      <c r="L532" s="86"/>
      <c r="M532" s="86"/>
      <c r="N532" s="86"/>
      <c r="O532" s="1680" t="s">
        <v>2452</v>
      </c>
      <c r="P532" s="1664"/>
      <c r="Q532" s="1664"/>
      <c r="R532" s="1664"/>
      <c r="S532" s="1664"/>
      <c r="T532" s="1664"/>
      <c r="U532" s="1664"/>
      <c r="V532" s="1664"/>
      <c r="W532" s="1664"/>
      <c r="X532" s="1664"/>
      <c r="Y532" s="1664"/>
      <c r="Z532" s="1664"/>
      <c r="AA532" s="1664"/>
      <c r="AC532" s="1678" t="s">
        <v>135</v>
      </c>
      <c r="AD532" s="1679"/>
      <c r="AE532" s="1679"/>
      <c r="AF532" s="1679"/>
      <c r="AG532" s="89" t="s">
        <v>275</v>
      </c>
      <c r="AH532" s="1752"/>
      <c r="AI532" s="1752"/>
      <c r="AJ532" s="1752"/>
      <c r="AK532" s="175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713"/>
      <c r="C533" s="1714"/>
      <c r="D533" s="1714"/>
      <c r="E533" s="1714"/>
      <c r="F533" s="1714"/>
      <c r="G533" s="1714"/>
      <c r="H533" s="1715"/>
      <c r="I533" s="35" t="s">
        <v>748</v>
      </c>
      <c r="J533" s="35"/>
      <c r="K533" s="35"/>
      <c r="L533" s="35"/>
      <c r="M533" s="35"/>
      <c r="N533" s="35"/>
      <c r="O533" s="35"/>
      <c r="P533" s="35"/>
      <c r="Q533" s="35"/>
      <c r="R533" s="35"/>
      <c r="S533" s="35"/>
      <c r="T533" s="35"/>
      <c r="U533" s="35"/>
      <c r="V533" s="35"/>
      <c r="W533" s="35"/>
      <c r="X533" s="35"/>
      <c r="Y533" s="35"/>
      <c r="AC533" s="1678">
        <v>6</v>
      </c>
      <c r="AD533" s="1679"/>
      <c r="AE533" s="1679"/>
      <c r="AF533" s="1679"/>
      <c r="AG533" s="89" t="s">
        <v>275</v>
      </c>
      <c r="AH533" s="1752">
        <v>2022</v>
      </c>
      <c r="AI533" s="1752"/>
      <c r="AJ533" s="1752"/>
      <c r="AK533" s="175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713"/>
      <c r="C534" s="1714"/>
      <c r="D534" s="1714"/>
      <c r="E534" s="1714"/>
      <c r="F534" s="1714"/>
      <c r="G534" s="1714"/>
      <c r="H534" s="1715"/>
      <c r="I534" s="94" t="s">
        <v>749</v>
      </c>
      <c r="J534" s="94"/>
      <c r="K534" s="94"/>
      <c r="L534" s="94"/>
      <c r="M534" s="94"/>
      <c r="N534" s="94"/>
      <c r="O534" s="94"/>
      <c r="P534" s="94"/>
      <c r="Q534" s="94"/>
      <c r="R534" s="94"/>
      <c r="S534" s="94"/>
      <c r="T534" s="94"/>
      <c r="U534" s="94"/>
      <c r="V534" s="94"/>
      <c r="W534" s="94"/>
      <c r="X534" s="94"/>
      <c r="Y534" s="94"/>
      <c r="Z534" s="94"/>
      <c r="AA534" s="94"/>
      <c r="AB534" s="94"/>
      <c r="AC534" s="1678">
        <v>3</v>
      </c>
      <c r="AD534" s="1679"/>
      <c r="AE534" s="1679"/>
      <c r="AF534" s="1679"/>
      <c r="AG534" s="79" t="s">
        <v>275</v>
      </c>
      <c r="AH534" s="1752">
        <v>2023</v>
      </c>
      <c r="AI534" s="1752"/>
      <c r="AJ534" s="1752"/>
      <c r="AK534" s="175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713"/>
      <c r="C535" s="1714"/>
      <c r="D535" s="1714"/>
      <c r="E535" s="1714"/>
      <c r="F535" s="1714"/>
      <c r="G535" s="1714"/>
      <c r="H535" s="1715"/>
      <c r="I535" s="86" t="s">
        <v>750</v>
      </c>
      <c r="J535" s="86"/>
      <c r="K535" s="86"/>
      <c r="L535" s="86"/>
      <c r="M535" s="86"/>
      <c r="N535" s="86"/>
      <c r="O535" s="1664" t="s">
        <v>619</v>
      </c>
      <c r="P535" s="1664"/>
      <c r="Q535" s="1664"/>
      <c r="R535" s="1664"/>
      <c r="S535" s="1664"/>
      <c r="T535" s="1664"/>
      <c r="U535" s="1664"/>
      <c r="V535" s="1664"/>
      <c r="W535" s="1664"/>
      <c r="X535" s="1664"/>
      <c r="Y535" s="1664"/>
      <c r="Z535" s="1664"/>
      <c r="AA535" s="1664"/>
      <c r="AC535" s="1678" t="s">
        <v>135</v>
      </c>
      <c r="AD535" s="1679"/>
      <c r="AE535" s="1679"/>
      <c r="AF535" s="1679"/>
      <c r="AG535" s="89" t="s">
        <v>275</v>
      </c>
      <c r="AH535" s="1752"/>
      <c r="AI535" s="1752"/>
      <c r="AJ535" s="1752"/>
      <c r="AK535" s="175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713"/>
      <c r="C536" s="1714"/>
      <c r="D536" s="1714"/>
      <c r="E536" s="1714"/>
      <c r="F536" s="1714"/>
      <c r="G536" s="1714"/>
      <c r="H536" s="1715"/>
      <c r="I536" s="35" t="s">
        <v>748</v>
      </c>
      <c r="J536" s="35"/>
      <c r="K536" s="35"/>
      <c r="L536" s="35"/>
      <c r="M536" s="35"/>
      <c r="N536" s="35"/>
      <c r="O536" s="35"/>
      <c r="P536" s="35"/>
      <c r="Q536" s="35"/>
      <c r="R536" s="35"/>
      <c r="S536" s="35"/>
      <c r="T536" s="35"/>
      <c r="U536" s="35"/>
      <c r="V536" s="35"/>
      <c r="W536" s="35"/>
      <c r="X536" s="35"/>
      <c r="Y536" s="35"/>
      <c r="AC536" s="1678" t="s">
        <v>135</v>
      </c>
      <c r="AD536" s="1679"/>
      <c r="AE536" s="1679"/>
      <c r="AF536" s="1679"/>
      <c r="AG536" s="89" t="s">
        <v>275</v>
      </c>
      <c r="AH536" s="1752"/>
      <c r="AI536" s="1752"/>
      <c r="AJ536" s="1752"/>
      <c r="AK536" s="175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713"/>
      <c r="C537" s="1714"/>
      <c r="D537" s="1714"/>
      <c r="E537" s="1714"/>
      <c r="F537" s="1714"/>
      <c r="G537" s="1714"/>
      <c r="H537" s="1715"/>
      <c r="I537" s="94" t="s">
        <v>749</v>
      </c>
      <c r="J537" s="94"/>
      <c r="K537" s="94"/>
      <c r="L537" s="94"/>
      <c r="M537" s="94"/>
      <c r="N537" s="94"/>
      <c r="O537" s="94"/>
      <c r="P537" s="94"/>
      <c r="Q537" s="94"/>
      <c r="R537" s="94"/>
      <c r="S537" s="94"/>
      <c r="T537" s="94"/>
      <c r="U537" s="94"/>
      <c r="V537" s="94"/>
      <c r="W537" s="94"/>
      <c r="X537" s="94"/>
      <c r="Y537" s="94"/>
      <c r="Z537" s="94"/>
      <c r="AA537" s="94"/>
      <c r="AB537" s="94"/>
      <c r="AC537" s="1678" t="s">
        <v>135</v>
      </c>
      <c r="AD537" s="1679"/>
      <c r="AE537" s="1679"/>
      <c r="AF537" s="1679"/>
      <c r="AG537" s="79" t="s">
        <v>275</v>
      </c>
      <c r="AH537" s="1752"/>
      <c r="AI537" s="1752"/>
      <c r="AJ537" s="1752"/>
      <c r="AK537" s="175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713"/>
      <c r="C538" s="1714"/>
      <c r="D538" s="1714"/>
      <c r="E538" s="1714"/>
      <c r="F538" s="1714"/>
      <c r="G538" s="1714"/>
      <c r="H538" s="1715"/>
      <c r="I538" s="86" t="s">
        <v>750</v>
      </c>
      <c r="J538" s="86"/>
      <c r="K538" s="86"/>
      <c r="L538" s="86"/>
      <c r="M538" s="86"/>
      <c r="N538" s="86"/>
      <c r="O538" s="1664" t="s">
        <v>619</v>
      </c>
      <c r="P538" s="1664"/>
      <c r="Q538" s="1664"/>
      <c r="R538" s="1664"/>
      <c r="S538" s="1664"/>
      <c r="T538" s="1664"/>
      <c r="U538" s="1664"/>
      <c r="V538" s="1664"/>
      <c r="W538" s="1664"/>
      <c r="X538" s="1664"/>
      <c r="Y538" s="1664"/>
      <c r="Z538" s="1664"/>
      <c r="AA538" s="1664"/>
      <c r="AC538" s="1678" t="s">
        <v>135</v>
      </c>
      <c r="AD538" s="1679"/>
      <c r="AE538" s="1679"/>
      <c r="AF538" s="1679"/>
      <c r="AG538" s="89" t="s">
        <v>275</v>
      </c>
      <c r="AH538" s="1752"/>
      <c r="AI538" s="1752"/>
      <c r="AJ538" s="1752"/>
      <c r="AK538" s="175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713"/>
      <c r="C539" s="1714"/>
      <c r="D539" s="1714"/>
      <c r="E539" s="1714"/>
      <c r="F539" s="1714"/>
      <c r="G539" s="1714"/>
      <c r="H539" s="1715"/>
      <c r="I539" s="35" t="s">
        <v>748</v>
      </c>
      <c r="J539" s="35"/>
      <c r="K539" s="35"/>
      <c r="L539" s="35"/>
      <c r="M539" s="35"/>
      <c r="N539" s="35"/>
      <c r="O539" s="35"/>
      <c r="P539" s="35"/>
      <c r="Q539" s="35"/>
      <c r="R539" s="35"/>
      <c r="S539" s="35"/>
      <c r="T539" s="35"/>
      <c r="U539" s="35"/>
      <c r="V539" s="35"/>
      <c r="W539" s="35"/>
      <c r="X539" s="35"/>
      <c r="Y539" s="35"/>
      <c r="AC539" s="1678" t="s">
        <v>135</v>
      </c>
      <c r="AD539" s="1679"/>
      <c r="AE539" s="1679"/>
      <c r="AF539" s="1679"/>
      <c r="AG539" s="79" t="s">
        <v>275</v>
      </c>
      <c r="AH539" s="1752"/>
      <c r="AI539" s="1752"/>
      <c r="AJ539" s="1752"/>
      <c r="AK539" s="175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713"/>
      <c r="C540" s="1714"/>
      <c r="D540" s="1714"/>
      <c r="E540" s="1714"/>
      <c r="F540" s="1714"/>
      <c r="G540" s="1714"/>
      <c r="H540" s="1715"/>
      <c r="I540" s="94" t="s">
        <v>749</v>
      </c>
      <c r="J540" s="94"/>
      <c r="K540" s="94"/>
      <c r="L540" s="94"/>
      <c r="M540" s="94"/>
      <c r="N540" s="94"/>
      <c r="O540" s="94"/>
      <c r="P540" s="94"/>
      <c r="Q540" s="94"/>
      <c r="R540" s="94"/>
      <c r="S540" s="94"/>
      <c r="T540" s="94"/>
      <c r="U540" s="94"/>
      <c r="V540" s="94"/>
      <c r="W540" s="94"/>
      <c r="X540" s="94"/>
      <c r="Y540" s="94"/>
      <c r="Z540" s="94"/>
      <c r="AA540" s="94"/>
      <c r="AB540" s="94"/>
      <c r="AC540" s="1678" t="s">
        <v>135</v>
      </c>
      <c r="AD540" s="1679"/>
      <c r="AE540" s="1679"/>
      <c r="AF540" s="1679"/>
      <c r="AG540" s="89" t="s">
        <v>275</v>
      </c>
      <c r="AH540" s="1752"/>
      <c r="AI540" s="1752"/>
      <c r="AJ540" s="1752"/>
      <c r="AK540" s="175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13"/>
      <c r="C541" s="1714"/>
      <c r="D541" s="1714"/>
      <c r="E541" s="1714"/>
      <c r="F541" s="1714"/>
      <c r="G541" s="1714"/>
      <c r="H541" s="1715"/>
      <c r="I541" s="86" t="s">
        <v>750</v>
      </c>
      <c r="J541" s="86"/>
      <c r="K541" s="86"/>
      <c r="L541" s="86"/>
      <c r="M541" s="86"/>
      <c r="N541" s="86"/>
      <c r="O541" s="1664" t="s">
        <v>619</v>
      </c>
      <c r="P541" s="1664"/>
      <c r="Q541" s="1664"/>
      <c r="R541" s="1664"/>
      <c r="S541" s="1664"/>
      <c r="T541" s="1664"/>
      <c r="U541" s="1664"/>
      <c r="V541" s="1664"/>
      <c r="W541" s="1664"/>
      <c r="X541" s="1664"/>
      <c r="Y541" s="1664"/>
      <c r="Z541" s="1664"/>
      <c r="AA541" s="1664"/>
      <c r="AC541" s="1678" t="s">
        <v>135</v>
      </c>
      <c r="AD541" s="1679"/>
      <c r="AE541" s="1679"/>
      <c r="AF541" s="1679"/>
      <c r="AG541" s="79" t="s">
        <v>275</v>
      </c>
      <c r="AH541" s="1752"/>
      <c r="AI541" s="1752"/>
      <c r="AJ541" s="1752"/>
      <c r="AK541" s="175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713"/>
      <c r="C542" s="1714"/>
      <c r="D542" s="1714"/>
      <c r="E542" s="1714"/>
      <c r="F542" s="1714"/>
      <c r="G542" s="1714"/>
      <c r="H542" s="1715"/>
      <c r="I542" s="35" t="s">
        <v>748</v>
      </c>
      <c r="J542" s="35"/>
      <c r="K542" s="35"/>
      <c r="L542" s="35"/>
      <c r="M542" s="35"/>
      <c r="N542" s="35"/>
      <c r="O542" s="35"/>
      <c r="P542" s="35"/>
      <c r="Q542" s="35"/>
      <c r="R542" s="35"/>
      <c r="S542" s="35"/>
      <c r="T542" s="35"/>
      <c r="U542" s="35"/>
      <c r="V542" s="35"/>
      <c r="W542" s="35"/>
      <c r="X542" s="35"/>
      <c r="Y542" s="35"/>
      <c r="AC542" s="1678" t="s">
        <v>135</v>
      </c>
      <c r="AD542" s="1679"/>
      <c r="AE542" s="1679"/>
      <c r="AF542" s="1679"/>
      <c r="AG542" s="89" t="s">
        <v>275</v>
      </c>
      <c r="AH542" s="1752"/>
      <c r="AI542" s="1752"/>
      <c r="AJ542" s="1752"/>
      <c r="AK542" s="175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713"/>
      <c r="C543" s="1714"/>
      <c r="D543" s="1714"/>
      <c r="E543" s="1714"/>
      <c r="F543" s="1714"/>
      <c r="G543" s="1714"/>
      <c r="H543" s="1715"/>
      <c r="I543" s="94" t="s">
        <v>749</v>
      </c>
      <c r="J543" s="94"/>
      <c r="K543" s="94"/>
      <c r="L543" s="94"/>
      <c r="M543" s="94"/>
      <c r="N543" s="94"/>
      <c r="O543" s="94"/>
      <c r="P543" s="94"/>
      <c r="Q543" s="94"/>
      <c r="R543" s="94"/>
      <c r="S543" s="94"/>
      <c r="T543" s="94"/>
      <c r="U543" s="94"/>
      <c r="V543" s="94"/>
      <c r="W543" s="94"/>
      <c r="X543" s="94"/>
      <c r="Y543" s="94"/>
      <c r="Z543" s="94"/>
      <c r="AA543" s="94"/>
      <c r="AB543" s="94"/>
      <c r="AC543" s="1678" t="s">
        <v>135</v>
      </c>
      <c r="AD543" s="1679"/>
      <c r="AE543" s="1679"/>
      <c r="AF543" s="1679"/>
      <c r="AG543" s="79" t="s">
        <v>275</v>
      </c>
      <c r="AH543" s="1752"/>
      <c r="AI543" s="1752"/>
      <c r="AJ543" s="1752"/>
      <c r="AK543" s="175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13"/>
      <c r="C544" s="1714"/>
      <c r="D544" s="1714"/>
      <c r="E544" s="1714"/>
      <c r="F544" s="1714"/>
      <c r="G544" s="1714"/>
      <c r="H544" s="1715"/>
      <c r="I544" s="86" t="s">
        <v>797</v>
      </c>
      <c r="J544" s="86"/>
      <c r="K544" s="86"/>
      <c r="L544" s="86"/>
      <c r="M544" s="86"/>
      <c r="N544" s="86"/>
      <c r="O544" s="86"/>
      <c r="P544" s="86"/>
      <c r="Q544" s="86"/>
      <c r="R544" s="86"/>
      <c r="S544" s="86"/>
      <c r="T544" s="86"/>
      <c r="U544" s="86"/>
      <c r="V544" s="86"/>
      <c r="W544" s="86"/>
      <c r="X544" s="35"/>
      <c r="Y544" s="35"/>
      <c r="AC544" s="1678">
        <v>3</v>
      </c>
      <c r="AD544" s="1679"/>
      <c r="AE544" s="1679"/>
      <c r="AF544" s="1679"/>
      <c r="AG544" s="79" t="s">
        <v>275</v>
      </c>
      <c r="AH544" s="1752">
        <v>2024</v>
      </c>
      <c r="AI544" s="1752"/>
      <c r="AJ544" s="1752"/>
      <c r="AK544" s="175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713"/>
      <c r="C545" s="1714"/>
      <c r="D545" s="1714"/>
      <c r="E545" s="1714"/>
      <c r="F545" s="1714"/>
      <c r="G545" s="1714"/>
      <c r="H545" s="1715"/>
      <c r="I545" s="35" t="s">
        <v>798</v>
      </c>
      <c r="J545" s="35"/>
      <c r="K545" s="35"/>
      <c r="L545" s="35"/>
      <c r="M545" s="35"/>
      <c r="N545" s="35"/>
      <c r="O545" s="35"/>
      <c r="P545" s="35"/>
      <c r="Q545" s="35"/>
      <c r="R545" s="35"/>
      <c r="S545" s="35"/>
      <c r="T545" s="35"/>
      <c r="U545" s="35"/>
      <c r="V545" s="35"/>
      <c r="W545" s="35"/>
      <c r="X545" s="35"/>
      <c r="Y545" s="35"/>
      <c r="AC545" s="1678">
        <v>3</v>
      </c>
      <c r="AD545" s="1679"/>
      <c r="AE545" s="1679"/>
      <c r="AF545" s="1679"/>
      <c r="AG545" s="89" t="s">
        <v>275</v>
      </c>
      <c r="AH545" s="1752">
        <v>2023</v>
      </c>
      <c r="AI545" s="1752"/>
      <c r="AJ545" s="1752"/>
      <c r="AK545" s="175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713"/>
      <c r="C546" s="1714"/>
      <c r="D546" s="1714"/>
      <c r="E546" s="1714"/>
      <c r="F546" s="1714"/>
      <c r="G546" s="1714"/>
      <c r="H546" s="1715"/>
      <c r="I546" s="35" t="s">
        <v>799</v>
      </c>
      <c r="J546" s="35"/>
      <c r="K546" s="35"/>
      <c r="L546" s="35"/>
      <c r="M546" s="35"/>
      <c r="N546" s="35"/>
      <c r="O546" s="35"/>
      <c r="P546" s="35"/>
      <c r="Q546" s="35"/>
      <c r="R546" s="35"/>
      <c r="S546" s="35"/>
      <c r="T546" s="35"/>
      <c r="U546" s="35"/>
      <c r="V546" s="35"/>
      <c r="W546" s="35"/>
      <c r="X546" s="35"/>
      <c r="Y546" s="35"/>
      <c r="AC546" s="1678">
        <v>3</v>
      </c>
      <c r="AD546" s="1679"/>
      <c r="AE546" s="1679"/>
      <c r="AF546" s="1679"/>
      <c r="AG546" s="79" t="s">
        <v>275</v>
      </c>
      <c r="AH546" s="1752">
        <v>2025</v>
      </c>
      <c r="AI546" s="1752"/>
      <c r="AJ546" s="1752"/>
      <c r="AK546" s="175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713"/>
      <c r="C547" s="1714"/>
      <c r="D547" s="1714"/>
      <c r="E547" s="1714"/>
      <c r="F547" s="1714"/>
      <c r="G547" s="1714"/>
      <c r="H547" s="1715"/>
      <c r="I547" s="35" t="s">
        <v>800</v>
      </c>
      <c r="J547" s="35"/>
      <c r="K547" s="35"/>
      <c r="L547" s="35"/>
      <c r="M547" s="35"/>
      <c r="N547" s="35"/>
      <c r="O547" s="35"/>
      <c r="P547" s="35"/>
      <c r="Q547" s="35"/>
      <c r="R547" s="35"/>
      <c r="S547" s="35"/>
      <c r="T547" s="35"/>
      <c r="U547" s="35"/>
      <c r="V547" s="35"/>
      <c r="W547" s="35"/>
      <c r="X547" s="35"/>
      <c r="Y547" s="35"/>
      <c r="AC547" s="1678">
        <v>4</v>
      </c>
      <c r="AD547" s="1679"/>
      <c r="AE547" s="1679"/>
      <c r="AF547" s="1679"/>
      <c r="AG547" s="79" t="s">
        <v>275</v>
      </c>
      <c r="AH547" s="1752">
        <v>2025</v>
      </c>
      <c r="AI547" s="1752"/>
      <c r="AJ547" s="1752"/>
      <c r="AK547" s="175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716"/>
      <c r="C548" s="1717"/>
      <c r="D548" s="1717"/>
      <c r="E548" s="1717"/>
      <c r="F548" s="1717"/>
      <c r="G548" s="1717"/>
      <c r="H548" s="1718"/>
      <c r="I548" s="94" t="s">
        <v>1487</v>
      </c>
      <c r="J548" s="94"/>
      <c r="K548" s="94"/>
      <c r="L548" s="94"/>
      <c r="M548" s="94"/>
      <c r="N548" s="94"/>
      <c r="O548" s="94"/>
      <c r="P548" s="94"/>
      <c r="Q548" s="94"/>
      <c r="R548" s="94"/>
      <c r="S548" s="94"/>
      <c r="T548" s="94"/>
      <c r="U548" s="94"/>
      <c r="V548" s="94"/>
      <c r="W548" s="94"/>
      <c r="X548" s="94"/>
      <c r="Y548" s="94"/>
      <c r="Z548" s="94"/>
      <c r="AA548" s="94"/>
      <c r="AB548" s="94"/>
      <c r="AC548" s="1678">
        <v>5</v>
      </c>
      <c r="AD548" s="1679"/>
      <c r="AE548" s="1679"/>
      <c r="AF548" s="1679"/>
      <c r="AG548" s="79" t="s">
        <v>275</v>
      </c>
      <c r="AH548" s="1752">
        <v>2025</v>
      </c>
      <c r="AI548" s="1752"/>
      <c r="AJ548" s="1752"/>
      <c r="AK548" s="175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10" t="s">
        <v>802</v>
      </c>
      <c r="C557" s="1711"/>
      <c r="D557" s="1711"/>
      <c r="E557" s="1711"/>
      <c r="F557" s="1711"/>
      <c r="G557" s="1711"/>
      <c r="H557" s="1711"/>
      <c r="I557" s="1711"/>
      <c r="J557" s="1711"/>
      <c r="K557" s="1711"/>
      <c r="L557" s="1711"/>
      <c r="M557" s="1711"/>
      <c r="N557" s="1711"/>
      <c r="O557" s="1711"/>
      <c r="P557" s="1712"/>
      <c r="Q557" s="1710" t="s">
        <v>486</v>
      </c>
      <c r="R557" s="1711"/>
      <c r="S557" s="1712"/>
      <c r="T557" s="1710" t="s">
        <v>2204</v>
      </c>
      <c r="U557" s="1711"/>
      <c r="V557" s="1712"/>
      <c r="W557" s="1710" t="s">
        <v>803</v>
      </c>
      <c r="X557" s="1711"/>
      <c r="Y557" s="1712"/>
      <c r="Z557" s="1710" t="s">
        <v>2209</v>
      </c>
      <c r="AA557" s="1711"/>
      <c r="AB557" s="1711"/>
      <c r="AC557" s="1711"/>
      <c r="AD557" s="1712"/>
      <c r="AE557" s="1710" t="s">
        <v>2206</v>
      </c>
      <c r="AF557" s="1711"/>
      <c r="AG557" s="1711"/>
      <c r="AH557" s="1712"/>
      <c r="AI557" s="1710" t="s">
        <v>2210</v>
      </c>
      <c r="AJ557" s="1711"/>
      <c r="AK557" s="1711"/>
      <c r="AL557" s="1712"/>
      <c r="AM557" s="1710" t="s">
        <v>804</v>
      </c>
      <c r="AN557" s="1711"/>
      <c r="AO557" s="1711"/>
      <c r="AP557" s="1711"/>
      <c r="AQ557" s="1711"/>
      <c r="AR557" s="1711"/>
      <c r="AS557" s="171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13"/>
      <c r="C558" s="1714"/>
      <c r="D558" s="1714"/>
      <c r="E558" s="1714"/>
      <c r="F558" s="1714"/>
      <c r="G558" s="1714"/>
      <c r="H558" s="1714"/>
      <c r="I558" s="1714"/>
      <c r="J558" s="1714"/>
      <c r="K558" s="1714"/>
      <c r="L558" s="1714"/>
      <c r="M558" s="1714"/>
      <c r="N558" s="1714"/>
      <c r="O558" s="1714"/>
      <c r="P558" s="1715"/>
      <c r="Q558" s="1713"/>
      <c r="R558" s="1714"/>
      <c r="S558" s="1715"/>
      <c r="T558" s="1713"/>
      <c r="U558" s="1714"/>
      <c r="V558" s="1715"/>
      <c r="W558" s="1713"/>
      <c r="X558" s="1714"/>
      <c r="Y558" s="1715"/>
      <c r="Z558" s="1713"/>
      <c r="AA558" s="1714"/>
      <c r="AB558" s="1714"/>
      <c r="AC558" s="1714"/>
      <c r="AD558" s="1715"/>
      <c r="AE558" s="1713"/>
      <c r="AF558" s="1714"/>
      <c r="AG558" s="1714"/>
      <c r="AH558" s="1715"/>
      <c r="AI558" s="1713"/>
      <c r="AJ558" s="1714"/>
      <c r="AK558" s="1714"/>
      <c r="AL558" s="1715"/>
      <c r="AM558" s="1713"/>
      <c r="AN558" s="1714"/>
      <c r="AO558" s="1714"/>
      <c r="AP558" s="1714"/>
      <c r="AQ558" s="1714"/>
      <c r="AR558" s="1714"/>
      <c r="AS558" s="171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16"/>
      <c r="C559" s="1717"/>
      <c r="D559" s="1717"/>
      <c r="E559" s="1717"/>
      <c r="F559" s="1717"/>
      <c r="G559" s="1717"/>
      <c r="H559" s="1717"/>
      <c r="I559" s="1717"/>
      <c r="J559" s="1717"/>
      <c r="K559" s="1717"/>
      <c r="L559" s="1717"/>
      <c r="M559" s="1717"/>
      <c r="N559" s="1717"/>
      <c r="O559" s="1717"/>
      <c r="P559" s="1718"/>
      <c r="Q559" s="1716"/>
      <c r="R559" s="1717"/>
      <c r="S559" s="1718"/>
      <c r="T559" s="1716"/>
      <c r="U559" s="1717"/>
      <c r="V559" s="1718"/>
      <c r="W559" s="1716"/>
      <c r="X559" s="1717"/>
      <c r="Y559" s="1718"/>
      <c r="Z559" s="1716"/>
      <c r="AA559" s="1717"/>
      <c r="AB559" s="1717"/>
      <c r="AC559" s="1717"/>
      <c r="AD559" s="1718"/>
      <c r="AE559" s="1716"/>
      <c r="AF559" s="1717"/>
      <c r="AG559" s="1717"/>
      <c r="AH559" s="1718"/>
      <c r="AI559" s="1716"/>
      <c r="AJ559" s="1717"/>
      <c r="AK559" s="1717"/>
      <c r="AL559" s="1718"/>
      <c r="AM559" s="1716"/>
      <c r="AN559" s="1717"/>
      <c r="AO559" s="1717"/>
      <c r="AP559" s="1717"/>
      <c r="AQ559" s="1717"/>
      <c r="AR559" s="1717"/>
      <c r="AS559" s="171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701" t="s">
        <v>2453</v>
      </c>
      <c r="D560" s="1701"/>
      <c r="E560" s="1701"/>
      <c r="F560" s="1701"/>
      <c r="G560" s="1701"/>
      <c r="H560" s="1701"/>
      <c r="I560" s="1701"/>
      <c r="J560" s="1701"/>
      <c r="K560" s="1701"/>
      <c r="L560" s="1701"/>
      <c r="M560" s="1701"/>
      <c r="N560" s="1701"/>
      <c r="O560" s="1701"/>
      <c r="P560" s="1962"/>
      <c r="Q560" s="1667">
        <v>24</v>
      </c>
      <c r="R560" s="1667"/>
      <c r="S560" s="1668"/>
      <c r="T560" s="1666">
        <v>24</v>
      </c>
      <c r="U560" s="1667"/>
      <c r="V560" s="1668"/>
      <c r="W560" s="2032">
        <v>0.04</v>
      </c>
      <c r="X560" s="2033"/>
      <c r="Y560" s="2034"/>
      <c r="Z560" s="2040" t="s">
        <v>2190</v>
      </c>
      <c r="AA560" s="2040"/>
      <c r="AB560" s="2040"/>
      <c r="AC560" s="2040"/>
      <c r="AD560" s="2040"/>
      <c r="AE560" s="2041">
        <v>1</v>
      </c>
      <c r="AF560" s="2042"/>
      <c r="AG560" s="2042"/>
      <c r="AH560" s="2043"/>
      <c r="AI560" s="2044"/>
      <c r="AJ560" s="2045"/>
      <c r="AK560" s="2045"/>
      <c r="AL560" s="2046"/>
      <c r="AM560" s="1725">
        <v>20293693</v>
      </c>
      <c r="AN560" s="1726"/>
      <c r="AO560" s="1726"/>
      <c r="AP560" s="1726"/>
      <c r="AQ560" s="1726"/>
      <c r="AR560" s="1726"/>
      <c r="AS560" s="172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701" t="s">
        <v>2473</v>
      </c>
      <c r="D561" s="1701"/>
      <c r="E561" s="1701"/>
      <c r="F561" s="1701"/>
      <c r="G561" s="1701"/>
      <c r="H561" s="1701"/>
      <c r="I561" s="1701"/>
      <c r="J561" s="1701"/>
      <c r="K561" s="1701"/>
      <c r="L561" s="1701"/>
      <c r="M561" s="1701"/>
      <c r="N561" s="1701"/>
      <c r="O561" s="1701"/>
      <c r="P561" s="1962"/>
      <c r="Q561" s="1666"/>
      <c r="R561" s="1667"/>
      <c r="S561" s="1668"/>
      <c r="T561" s="1666"/>
      <c r="U561" s="1667"/>
      <c r="V561" s="1668"/>
      <c r="W561" s="2032"/>
      <c r="X561" s="2033"/>
      <c r="Y561" s="2034"/>
      <c r="Z561" s="2040" t="s">
        <v>2190</v>
      </c>
      <c r="AA561" s="2040"/>
      <c r="AB561" s="2040"/>
      <c r="AC561" s="2040"/>
      <c r="AD561" s="2040"/>
      <c r="AE561" s="2041"/>
      <c r="AF561" s="2042"/>
      <c r="AG561" s="2042"/>
      <c r="AH561" s="2043"/>
      <c r="AI561" s="2044"/>
      <c r="AJ561" s="2045"/>
      <c r="AK561" s="2045"/>
      <c r="AL561" s="2046"/>
      <c r="AM561" s="1725">
        <v>2000000</v>
      </c>
      <c r="AN561" s="1726"/>
      <c r="AO561" s="1726"/>
      <c r="AP561" s="1726"/>
      <c r="AQ561" s="1726"/>
      <c r="AR561" s="1726"/>
      <c r="AS561" s="172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701" t="s">
        <v>2474</v>
      </c>
      <c r="D562" s="1701"/>
      <c r="E562" s="1701"/>
      <c r="F562" s="1701"/>
      <c r="G562" s="1701"/>
      <c r="H562" s="1701"/>
      <c r="I562" s="1701"/>
      <c r="J562" s="1701"/>
      <c r="K562" s="1701"/>
      <c r="L562" s="1701"/>
      <c r="M562" s="1701"/>
      <c r="N562" s="1701"/>
      <c r="O562" s="1701"/>
      <c r="P562" s="1962"/>
      <c r="Q562" s="1666"/>
      <c r="R562" s="1667"/>
      <c r="S562" s="1668"/>
      <c r="T562" s="1666"/>
      <c r="U562" s="1667"/>
      <c r="V562" s="1668"/>
      <c r="W562" s="2032"/>
      <c r="X562" s="2033"/>
      <c r="Y562" s="2034"/>
      <c r="Z562" s="2040" t="s">
        <v>2190</v>
      </c>
      <c r="AA562" s="2040"/>
      <c r="AB562" s="2040"/>
      <c r="AC562" s="2040"/>
      <c r="AD562" s="2040"/>
      <c r="AE562" s="2041"/>
      <c r="AF562" s="2042"/>
      <c r="AG562" s="2042"/>
      <c r="AH562" s="2043"/>
      <c r="AI562" s="2044"/>
      <c r="AJ562" s="2045"/>
      <c r="AK562" s="2045"/>
      <c r="AL562" s="2046"/>
      <c r="AM562" s="1725">
        <f>+AO646-AM560-AM561</f>
        <v>13457408</v>
      </c>
      <c r="AN562" s="1726"/>
      <c r="AO562" s="1726"/>
      <c r="AP562" s="1726"/>
      <c r="AQ562" s="1726"/>
      <c r="AR562" s="1726"/>
      <c r="AS562" s="172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701"/>
      <c r="D563" s="1701"/>
      <c r="E563" s="1701"/>
      <c r="F563" s="1701"/>
      <c r="G563" s="1701"/>
      <c r="H563" s="1701"/>
      <c r="I563" s="1701"/>
      <c r="J563" s="1701"/>
      <c r="K563" s="1701"/>
      <c r="L563" s="1701"/>
      <c r="M563" s="1701"/>
      <c r="N563" s="1701"/>
      <c r="O563" s="1701"/>
      <c r="P563" s="1962"/>
      <c r="Q563" s="1666"/>
      <c r="R563" s="1667"/>
      <c r="S563" s="1668"/>
      <c r="T563" s="1666"/>
      <c r="U563" s="1667"/>
      <c r="V563" s="1668"/>
      <c r="W563" s="2032"/>
      <c r="X563" s="2033"/>
      <c r="Y563" s="2034"/>
      <c r="Z563" s="2040" t="s">
        <v>2190</v>
      </c>
      <c r="AA563" s="2040"/>
      <c r="AB563" s="2040"/>
      <c r="AC563" s="2040"/>
      <c r="AD563" s="2040"/>
      <c r="AE563" s="2041"/>
      <c r="AF563" s="2042"/>
      <c r="AG563" s="2042"/>
      <c r="AH563" s="2043"/>
      <c r="AI563" s="2044"/>
      <c r="AJ563" s="2045"/>
      <c r="AK563" s="2045"/>
      <c r="AL563" s="2046"/>
      <c r="AM563" s="1725"/>
      <c r="AN563" s="1726"/>
      <c r="AO563" s="1726"/>
      <c r="AP563" s="1726"/>
      <c r="AQ563" s="1726"/>
      <c r="AR563" s="1726"/>
      <c r="AS563" s="172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701"/>
      <c r="D564" s="1701"/>
      <c r="E564" s="1701"/>
      <c r="F564" s="1701"/>
      <c r="G564" s="1701"/>
      <c r="H564" s="1701"/>
      <c r="I564" s="1701"/>
      <c r="J564" s="1701"/>
      <c r="K564" s="1701"/>
      <c r="L564" s="1701"/>
      <c r="M564" s="1701"/>
      <c r="N564" s="1701"/>
      <c r="O564" s="1701"/>
      <c r="P564" s="1962"/>
      <c r="Q564" s="1666"/>
      <c r="R564" s="1667"/>
      <c r="S564" s="1668"/>
      <c r="T564" s="1666"/>
      <c r="U564" s="1667"/>
      <c r="V564" s="1668"/>
      <c r="W564" s="2032"/>
      <c r="X564" s="2033"/>
      <c r="Y564" s="2034"/>
      <c r="Z564" s="2040" t="s">
        <v>2190</v>
      </c>
      <c r="AA564" s="2040"/>
      <c r="AB564" s="2040"/>
      <c r="AC564" s="2040"/>
      <c r="AD564" s="2040"/>
      <c r="AE564" s="2041"/>
      <c r="AF564" s="2042"/>
      <c r="AG564" s="2042"/>
      <c r="AH564" s="2043"/>
      <c r="AI564" s="2044"/>
      <c r="AJ564" s="2045"/>
      <c r="AK564" s="2045"/>
      <c r="AL564" s="2046"/>
      <c r="AM564" s="1725"/>
      <c r="AN564" s="1726"/>
      <c r="AO564" s="1726"/>
      <c r="AP564" s="1726"/>
      <c r="AQ564" s="1726"/>
      <c r="AR564" s="1726"/>
      <c r="AS564" s="172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701"/>
      <c r="D565" s="1701"/>
      <c r="E565" s="1701"/>
      <c r="F565" s="1701"/>
      <c r="G565" s="1701"/>
      <c r="H565" s="1701"/>
      <c r="I565" s="1701"/>
      <c r="J565" s="1701"/>
      <c r="K565" s="1701"/>
      <c r="L565" s="1701"/>
      <c r="M565" s="1701"/>
      <c r="N565" s="1701"/>
      <c r="O565" s="1701"/>
      <c r="P565" s="1962"/>
      <c r="Q565" s="1666"/>
      <c r="R565" s="1667"/>
      <c r="S565" s="1668"/>
      <c r="T565" s="1666"/>
      <c r="U565" s="1667"/>
      <c r="V565" s="1668"/>
      <c r="W565" s="2032"/>
      <c r="X565" s="2033"/>
      <c r="Y565" s="2034"/>
      <c r="Z565" s="2040" t="s">
        <v>2190</v>
      </c>
      <c r="AA565" s="2040"/>
      <c r="AB565" s="2040"/>
      <c r="AC565" s="2040"/>
      <c r="AD565" s="2040"/>
      <c r="AE565" s="2041"/>
      <c r="AF565" s="2042"/>
      <c r="AG565" s="2042"/>
      <c r="AH565" s="2043"/>
      <c r="AI565" s="2044"/>
      <c r="AJ565" s="2045"/>
      <c r="AK565" s="2045"/>
      <c r="AL565" s="2046"/>
      <c r="AM565" s="1725"/>
      <c r="AN565" s="1726"/>
      <c r="AO565" s="1726"/>
      <c r="AP565" s="1726"/>
      <c r="AQ565" s="1726"/>
      <c r="AR565" s="1726"/>
      <c r="AS565" s="172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701"/>
      <c r="D566" s="1701"/>
      <c r="E566" s="1701"/>
      <c r="F566" s="1701"/>
      <c r="G566" s="1701"/>
      <c r="H566" s="1701"/>
      <c r="I566" s="1701"/>
      <c r="J566" s="1701"/>
      <c r="K566" s="1701"/>
      <c r="L566" s="1701"/>
      <c r="M566" s="1701"/>
      <c r="N566" s="1701"/>
      <c r="O566" s="1701"/>
      <c r="P566" s="1962"/>
      <c r="Q566" s="1666"/>
      <c r="R566" s="1667"/>
      <c r="S566" s="1668"/>
      <c r="T566" s="1666"/>
      <c r="U566" s="1667"/>
      <c r="V566" s="1668"/>
      <c r="W566" s="2032"/>
      <c r="X566" s="2033"/>
      <c r="Y566" s="2034"/>
      <c r="Z566" s="2040" t="s">
        <v>2190</v>
      </c>
      <c r="AA566" s="2040"/>
      <c r="AB566" s="2040"/>
      <c r="AC566" s="2040"/>
      <c r="AD566" s="2040"/>
      <c r="AE566" s="2041"/>
      <c r="AF566" s="2042"/>
      <c r="AG566" s="2042"/>
      <c r="AH566" s="2043"/>
      <c r="AI566" s="2044"/>
      <c r="AJ566" s="2045"/>
      <c r="AK566" s="2045"/>
      <c r="AL566" s="2046"/>
      <c r="AM566" s="1725"/>
      <c r="AN566" s="1726"/>
      <c r="AO566" s="1726"/>
      <c r="AP566" s="1726"/>
      <c r="AQ566" s="1726"/>
      <c r="AR566" s="1726"/>
      <c r="AS566" s="172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701"/>
      <c r="D567" s="1701"/>
      <c r="E567" s="1701"/>
      <c r="F567" s="1701"/>
      <c r="G567" s="1701"/>
      <c r="H567" s="1701"/>
      <c r="I567" s="1701"/>
      <c r="J567" s="1701"/>
      <c r="K567" s="1701"/>
      <c r="L567" s="1701"/>
      <c r="M567" s="1701"/>
      <c r="N567" s="1701"/>
      <c r="O567" s="1701"/>
      <c r="P567" s="1962"/>
      <c r="Q567" s="1666"/>
      <c r="R567" s="1667"/>
      <c r="S567" s="1668"/>
      <c r="T567" s="1666"/>
      <c r="U567" s="1667"/>
      <c r="V567" s="1668"/>
      <c r="W567" s="2032"/>
      <c r="X567" s="2033"/>
      <c r="Y567" s="2034"/>
      <c r="Z567" s="2040" t="s">
        <v>2190</v>
      </c>
      <c r="AA567" s="2040"/>
      <c r="AB567" s="2040"/>
      <c r="AC567" s="2040"/>
      <c r="AD567" s="2040"/>
      <c r="AE567" s="2041"/>
      <c r="AF567" s="2042"/>
      <c r="AG567" s="2042"/>
      <c r="AH567" s="2043"/>
      <c r="AI567" s="2044"/>
      <c r="AJ567" s="2045"/>
      <c r="AK567" s="2045"/>
      <c r="AL567" s="2046"/>
      <c r="AM567" s="1725"/>
      <c r="AN567" s="1726"/>
      <c r="AO567" s="1726"/>
      <c r="AP567" s="1726"/>
      <c r="AQ567" s="1726"/>
      <c r="AR567" s="1726"/>
      <c r="AS567" s="172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701"/>
      <c r="D568" s="1701"/>
      <c r="E568" s="1701"/>
      <c r="F568" s="1701"/>
      <c r="G568" s="1701"/>
      <c r="H568" s="1701"/>
      <c r="I568" s="1701"/>
      <c r="J568" s="1701"/>
      <c r="K568" s="1701"/>
      <c r="L568" s="1701"/>
      <c r="M568" s="1701"/>
      <c r="N568" s="1701"/>
      <c r="O568" s="1701"/>
      <c r="P568" s="1962"/>
      <c r="Q568" s="1666"/>
      <c r="R568" s="1667"/>
      <c r="S568" s="1668"/>
      <c r="T568" s="1666"/>
      <c r="U568" s="1667"/>
      <c r="V568" s="1668"/>
      <c r="W568" s="2032"/>
      <c r="X568" s="2033"/>
      <c r="Y568" s="2034"/>
      <c r="Z568" s="2040" t="s">
        <v>2190</v>
      </c>
      <c r="AA568" s="2040"/>
      <c r="AB568" s="2040"/>
      <c r="AC568" s="2040"/>
      <c r="AD568" s="2040"/>
      <c r="AE568" s="2041"/>
      <c r="AF568" s="2042"/>
      <c r="AG568" s="2042"/>
      <c r="AH568" s="2043"/>
      <c r="AI568" s="2044"/>
      <c r="AJ568" s="2045"/>
      <c r="AK568" s="2045"/>
      <c r="AL568" s="2046"/>
      <c r="AM568" s="1725"/>
      <c r="AN568" s="1726"/>
      <c r="AO568" s="1726"/>
      <c r="AP568" s="1726"/>
      <c r="AQ568" s="1726"/>
      <c r="AR568" s="1726"/>
      <c r="AS568" s="172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701"/>
      <c r="D569" s="1701"/>
      <c r="E569" s="1701"/>
      <c r="F569" s="1701"/>
      <c r="G569" s="1701"/>
      <c r="H569" s="1701"/>
      <c r="I569" s="1701"/>
      <c r="J569" s="1701"/>
      <c r="K569" s="1701"/>
      <c r="L569" s="1701"/>
      <c r="M569" s="1701"/>
      <c r="N569" s="1701"/>
      <c r="O569" s="1701"/>
      <c r="P569" s="1962"/>
      <c r="Q569" s="1666"/>
      <c r="R569" s="1667"/>
      <c r="S569" s="1668"/>
      <c r="T569" s="1666"/>
      <c r="U569" s="1667"/>
      <c r="V569" s="1668"/>
      <c r="W569" s="2032"/>
      <c r="X569" s="2033"/>
      <c r="Y569" s="2034"/>
      <c r="Z569" s="2040" t="s">
        <v>2190</v>
      </c>
      <c r="AA569" s="2040"/>
      <c r="AB569" s="2040"/>
      <c r="AC569" s="2040"/>
      <c r="AD569" s="2040"/>
      <c r="AE569" s="2041"/>
      <c r="AF569" s="2042"/>
      <c r="AG569" s="2042"/>
      <c r="AH569" s="2043"/>
      <c r="AI569" s="2044"/>
      <c r="AJ569" s="2045"/>
      <c r="AK569" s="2045"/>
      <c r="AL569" s="2046"/>
      <c r="AM569" s="1725"/>
      <c r="AN569" s="1726"/>
      <c r="AO569" s="1726"/>
      <c r="AP569" s="1726"/>
      <c r="AQ569" s="1726"/>
      <c r="AR569" s="1726"/>
      <c r="AS569" s="172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701"/>
      <c r="D570" s="1701"/>
      <c r="E570" s="1701"/>
      <c r="F570" s="1701"/>
      <c r="G570" s="1701"/>
      <c r="H570" s="1701"/>
      <c r="I570" s="1701"/>
      <c r="J570" s="1701"/>
      <c r="K570" s="1701"/>
      <c r="L570" s="1701"/>
      <c r="M570" s="1701"/>
      <c r="N570" s="1701"/>
      <c r="O570" s="1701"/>
      <c r="P570" s="1962"/>
      <c r="Q570" s="1666"/>
      <c r="R570" s="1667"/>
      <c r="S570" s="1668"/>
      <c r="T570" s="1666"/>
      <c r="U570" s="1667"/>
      <c r="V570" s="1668"/>
      <c r="W570" s="2032"/>
      <c r="X570" s="2033"/>
      <c r="Y570" s="2034"/>
      <c r="Z570" s="2040" t="s">
        <v>2190</v>
      </c>
      <c r="AA570" s="2040"/>
      <c r="AB570" s="2040"/>
      <c r="AC570" s="2040"/>
      <c r="AD570" s="2040"/>
      <c r="AE570" s="2041"/>
      <c r="AF570" s="2042"/>
      <c r="AG570" s="2042"/>
      <c r="AH570" s="2043"/>
      <c r="AI570" s="2044"/>
      <c r="AJ570" s="2045"/>
      <c r="AK570" s="2045"/>
      <c r="AL570" s="2046"/>
      <c r="AM570" s="1725"/>
      <c r="AN570" s="1726"/>
      <c r="AO570" s="1726"/>
      <c r="AP570" s="1726"/>
      <c r="AQ570" s="1726"/>
      <c r="AR570" s="1726"/>
      <c r="AS570" s="172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701"/>
      <c r="D571" s="1701"/>
      <c r="E571" s="1701"/>
      <c r="F571" s="1701"/>
      <c r="G571" s="1701"/>
      <c r="H571" s="1701"/>
      <c r="I571" s="1701"/>
      <c r="J571" s="1701"/>
      <c r="K571" s="1701"/>
      <c r="L571" s="1701"/>
      <c r="M571" s="1701"/>
      <c r="N571" s="1701"/>
      <c r="O571" s="1701"/>
      <c r="P571" s="1962"/>
      <c r="Q571" s="1666"/>
      <c r="R571" s="1667"/>
      <c r="S571" s="1668"/>
      <c r="T571" s="1666"/>
      <c r="U571" s="1667"/>
      <c r="V571" s="1668"/>
      <c r="W571" s="2032"/>
      <c r="X571" s="2033"/>
      <c r="Y571" s="2034"/>
      <c r="Z571" s="2040" t="s">
        <v>2190</v>
      </c>
      <c r="AA571" s="2040"/>
      <c r="AB571" s="2040"/>
      <c r="AC571" s="2040"/>
      <c r="AD571" s="2040"/>
      <c r="AE571" s="2041"/>
      <c r="AF571" s="2042"/>
      <c r="AG571" s="2042"/>
      <c r="AH571" s="2043"/>
      <c r="AI571" s="2044"/>
      <c r="AJ571" s="2045"/>
      <c r="AK571" s="2045"/>
      <c r="AL571" s="2046"/>
      <c r="AM571" s="1725"/>
      <c r="AN571" s="1726"/>
      <c r="AO571" s="1726"/>
      <c r="AP571" s="1726"/>
      <c r="AQ571" s="1726"/>
      <c r="AR571" s="1726"/>
      <c r="AS571" s="172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878" t="s">
        <v>398</v>
      </c>
      <c r="C572" s="1879"/>
      <c r="D572" s="1879"/>
      <c r="E572" s="1879"/>
      <c r="F572" s="1879"/>
      <c r="G572" s="1879"/>
      <c r="H572" s="1879"/>
      <c r="I572" s="1879"/>
      <c r="J572" s="1879"/>
      <c r="K572" s="1879"/>
      <c r="L572" s="1879"/>
      <c r="M572" s="1879"/>
      <c r="N572" s="1879"/>
      <c r="O572" s="1879"/>
      <c r="P572" s="1879"/>
      <c r="Q572" s="1879"/>
      <c r="R572" s="1879"/>
      <c r="S572" s="1879"/>
      <c r="T572" s="1879"/>
      <c r="U572" s="2065"/>
      <c r="V572" s="1879"/>
      <c r="W572" s="1879"/>
      <c r="X572" s="1879"/>
      <c r="Y572" s="1879"/>
      <c r="Z572" s="1879"/>
      <c r="AA572" s="1879"/>
      <c r="AB572" s="1879"/>
      <c r="AC572" s="1879"/>
      <c r="AD572" s="1879"/>
      <c r="AE572" s="1879"/>
      <c r="AF572" s="1879"/>
      <c r="AG572" s="1879"/>
      <c r="AH572" s="1879"/>
      <c r="AI572" s="1879"/>
      <c r="AJ572" s="1879"/>
      <c r="AK572" s="1879"/>
      <c r="AL572" s="1880"/>
      <c r="AM572" s="1732">
        <f>SUM(AM560:AS571)</f>
        <v>35751101</v>
      </c>
      <c r="AN572" s="1733"/>
      <c r="AO572" s="1733"/>
      <c r="AP572" s="1733"/>
      <c r="AQ572" s="1733"/>
      <c r="AR572" s="1733"/>
      <c r="AS572" s="173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663" t="str">
        <f>C560</f>
        <v>Pacific Western Bank Construction Loan</v>
      </c>
      <c r="H574" s="1663"/>
      <c r="I574" s="1663"/>
      <c r="J574" s="1663"/>
      <c r="K574" s="1663"/>
      <c r="L574" s="1663"/>
      <c r="M574" s="1663"/>
      <c r="N574" s="1663"/>
      <c r="O574" s="1663"/>
      <c r="P574" s="1663"/>
      <c r="Q574" s="1663"/>
      <c r="R574" s="1663"/>
      <c r="S574" s="18"/>
      <c r="T574" s="101" t="s">
        <v>984</v>
      </c>
      <c r="U574" s="16" t="s">
        <v>93</v>
      </c>
      <c r="Z574" s="1663" t="str">
        <f>C561</f>
        <v xml:space="preserve">City of Petaluma </v>
      </c>
      <c r="AA574" s="1663"/>
      <c r="AB574" s="1663"/>
      <c r="AC574" s="1663"/>
      <c r="AD574" s="1663"/>
      <c r="AE574" s="1663"/>
      <c r="AF574" s="1663"/>
      <c r="AG574" s="1663"/>
      <c r="AH574" s="1663"/>
      <c r="AI574" s="1663"/>
      <c r="AJ574" s="1663"/>
      <c r="AK574" s="166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57" t="s">
        <v>2454</v>
      </c>
      <c r="H575" s="1658"/>
      <c r="I575" s="1658"/>
      <c r="J575" s="1658"/>
      <c r="K575" s="1658"/>
      <c r="L575" s="1658"/>
      <c r="M575" s="1658"/>
      <c r="N575" s="1658"/>
      <c r="O575" s="1658"/>
      <c r="P575" s="1658"/>
      <c r="Q575" s="1658"/>
      <c r="R575" s="1658"/>
      <c r="S575" s="18"/>
      <c r="T575" s="46"/>
      <c r="U575" s="16" t="s">
        <v>413</v>
      </c>
      <c r="Z575" s="1658" t="s">
        <v>2467</v>
      </c>
      <c r="AA575" s="1658"/>
      <c r="AB575" s="1658"/>
      <c r="AC575" s="1658"/>
      <c r="AD575" s="1658"/>
      <c r="AE575" s="1658"/>
      <c r="AF575" s="1658"/>
      <c r="AG575" s="1658"/>
      <c r="AH575" s="1658"/>
      <c r="AI575" s="1658"/>
      <c r="AJ575" s="1658"/>
      <c r="AK575" s="165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57" t="s">
        <v>2455</v>
      </c>
      <c r="H576" s="1658"/>
      <c r="I576" s="1658"/>
      <c r="J576" s="1658"/>
      <c r="K576" s="1658"/>
      <c r="L576" s="1658"/>
      <c r="M576" s="1658"/>
      <c r="N576" s="1658"/>
      <c r="O576" s="1658"/>
      <c r="P576" s="1658"/>
      <c r="Q576" s="1658"/>
      <c r="R576" s="1658"/>
      <c r="S576" s="102"/>
      <c r="T576" s="46"/>
      <c r="U576" s="16" t="s">
        <v>476</v>
      </c>
      <c r="Z576" s="1957" t="s">
        <v>2422</v>
      </c>
      <c r="AA576" s="1958"/>
      <c r="AB576" s="1958"/>
      <c r="AC576" s="1958"/>
      <c r="AD576" s="1958"/>
      <c r="AE576" s="1958"/>
      <c r="AF576" s="1958"/>
      <c r="AG576" s="1958"/>
      <c r="AH576" s="1958"/>
      <c r="AI576" s="1958"/>
      <c r="AJ576" s="1958"/>
      <c r="AK576" s="195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57" t="s">
        <v>2456</v>
      </c>
      <c r="H577" s="1658"/>
      <c r="I577" s="1658"/>
      <c r="J577" s="1658"/>
      <c r="K577" s="1658"/>
      <c r="L577" s="1658"/>
      <c r="M577" s="1658"/>
      <c r="N577" s="1658"/>
      <c r="O577" s="1658"/>
      <c r="P577" s="1658"/>
      <c r="Q577" s="1658"/>
      <c r="R577" s="1658"/>
      <c r="S577" s="18"/>
      <c r="T577" s="46"/>
      <c r="U577" s="16" t="s">
        <v>907</v>
      </c>
      <c r="Z577" s="1957" t="s">
        <v>2439</v>
      </c>
      <c r="AA577" s="1958"/>
      <c r="AB577" s="1958"/>
      <c r="AC577" s="1958"/>
      <c r="AD577" s="1958"/>
      <c r="AE577" s="1958"/>
      <c r="AF577" s="1958"/>
      <c r="AG577" s="1958"/>
      <c r="AH577" s="1958"/>
      <c r="AI577" s="1958"/>
      <c r="AJ577" s="1958"/>
      <c r="AK577" s="195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9" t="s">
        <v>2457</v>
      </c>
      <c r="H578" s="1659"/>
      <c r="I578" s="1659"/>
      <c r="J578" s="1659"/>
      <c r="K578" s="1659"/>
      <c r="L578" s="1659"/>
      <c r="O578" s="149" t="s">
        <v>892</v>
      </c>
      <c r="P578" s="1675"/>
      <c r="Q578" s="1675"/>
      <c r="R578" s="1675"/>
      <c r="S578" s="20"/>
      <c r="T578" s="46"/>
      <c r="U578" s="16" t="s">
        <v>712</v>
      </c>
      <c r="Z578" s="1665"/>
      <c r="AA578" s="1665"/>
      <c r="AB578" s="1665"/>
      <c r="AC578" s="1665"/>
      <c r="AD578" s="1665"/>
      <c r="AE578" s="1665"/>
      <c r="AH578" s="149" t="s">
        <v>892</v>
      </c>
      <c r="AI578" s="1675"/>
      <c r="AJ578" s="1675"/>
      <c r="AK578" s="167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57" t="s">
        <v>2458</v>
      </c>
      <c r="I579" s="1658"/>
      <c r="J579" s="1658"/>
      <c r="K579" s="1658"/>
      <c r="L579" s="1658"/>
      <c r="M579" s="1658"/>
      <c r="N579" s="1658"/>
      <c r="O579" s="1658"/>
      <c r="P579" s="1658"/>
      <c r="Q579" s="1658"/>
      <c r="R579" s="1658"/>
      <c r="S579" s="18"/>
      <c r="T579" s="46"/>
      <c r="U579" s="16" t="s">
        <v>908</v>
      </c>
      <c r="AA579" s="1680" t="s">
        <v>2468</v>
      </c>
      <c r="AB579" s="1664"/>
      <c r="AC579" s="1664"/>
      <c r="AD579" s="1664"/>
      <c r="AE579" s="1664"/>
      <c r="AF579" s="1664"/>
      <c r="AG579" s="1664"/>
      <c r="AH579" s="1664"/>
      <c r="AI579" s="1664"/>
      <c r="AJ579" s="1664"/>
      <c r="AK579" s="166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77" t="s">
        <v>119</v>
      </c>
      <c r="O580" s="1677"/>
      <c r="T580" s="46"/>
      <c r="U580" s="16" t="s">
        <v>910</v>
      </c>
      <c r="AG580" s="1677" t="s">
        <v>119</v>
      </c>
      <c r="AH580" s="16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663" t="str">
        <f>C562</f>
        <v>Tax Credit Equity</v>
      </c>
      <c r="H582" s="1663"/>
      <c r="I582" s="1663"/>
      <c r="J582" s="1663"/>
      <c r="K582" s="1663"/>
      <c r="L582" s="1663"/>
      <c r="M582" s="1663"/>
      <c r="N582" s="1663"/>
      <c r="O582" s="1663"/>
      <c r="P582" s="1663"/>
      <c r="Q582" s="1663"/>
      <c r="R582" s="1663"/>
      <c r="T582" s="101" t="s">
        <v>477</v>
      </c>
      <c r="U582" s="16" t="s">
        <v>93</v>
      </c>
      <c r="Z582" s="1663">
        <f>C563</f>
        <v>0</v>
      </c>
      <c r="AA582" s="1663"/>
      <c r="AB582" s="1663"/>
      <c r="AC582" s="1663"/>
      <c r="AD582" s="1663"/>
      <c r="AE582" s="1663"/>
      <c r="AF582" s="1663"/>
      <c r="AG582" s="1663"/>
      <c r="AH582" s="1663"/>
      <c r="AI582" s="1663"/>
      <c r="AJ582" s="1663"/>
      <c r="AK582" s="166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57" t="s">
        <v>2399</v>
      </c>
      <c r="H583" s="1658"/>
      <c r="I583" s="1658"/>
      <c r="J583" s="1658"/>
      <c r="K583" s="1658"/>
      <c r="L583" s="1658"/>
      <c r="M583" s="1658"/>
      <c r="N583" s="1658"/>
      <c r="O583" s="1658"/>
      <c r="P583" s="1658"/>
      <c r="Q583" s="1658"/>
      <c r="R583" s="1658"/>
      <c r="T583" s="46"/>
      <c r="U583" s="16" t="s">
        <v>413</v>
      </c>
      <c r="Z583" s="1664"/>
      <c r="AA583" s="1664"/>
      <c r="AB583" s="1664"/>
      <c r="AC583" s="1664"/>
      <c r="AD583" s="1664"/>
      <c r="AE583" s="1664"/>
      <c r="AF583" s="1664"/>
      <c r="AG583" s="1664"/>
      <c r="AH583" s="1664"/>
      <c r="AI583" s="1664"/>
      <c r="AJ583" s="1664"/>
      <c r="AK583" s="166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957" t="s">
        <v>2463</v>
      </c>
      <c r="H584" s="1958"/>
      <c r="I584" s="1958"/>
      <c r="J584" s="1958"/>
      <c r="K584" s="1958"/>
      <c r="L584" s="1958"/>
      <c r="M584" s="1958"/>
      <c r="N584" s="1958"/>
      <c r="O584" s="1958"/>
      <c r="P584" s="1958"/>
      <c r="Q584" s="1958"/>
      <c r="R584" s="1958"/>
      <c r="T584" s="46"/>
      <c r="U584" s="16" t="s">
        <v>476</v>
      </c>
      <c r="Z584" s="1676"/>
      <c r="AA584" s="1676"/>
      <c r="AB584" s="1676"/>
      <c r="AC584" s="1676"/>
      <c r="AD584" s="1676"/>
      <c r="AE584" s="1676"/>
      <c r="AF584" s="1676"/>
      <c r="AG584" s="1676"/>
      <c r="AH584" s="1676"/>
      <c r="AI584" s="1676"/>
      <c r="AJ584" s="1676"/>
      <c r="AK584" s="16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957" t="s">
        <v>2401</v>
      </c>
      <c r="H585" s="1958"/>
      <c r="I585" s="1958"/>
      <c r="J585" s="1958"/>
      <c r="K585" s="1958"/>
      <c r="L585" s="1958"/>
      <c r="M585" s="1958"/>
      <c r="N585" s="1958"/>
      <c r="O585" s="1958"/>
      <c r="P585" s="1958"/>
      <c r="Q585" s="1958"/>
      <c r="R585" s="1958"/>
      <c r="T585" s="46"/>
      <c r="U585" s="16" t="s">
        <v>907</v>
      </c>
      <c r="Z585" s="1676"/>
      <c r="AA585" s="1676"/>
      <c r="AB585" s="1676"/>
      <c r="AC585" s="1676"/>
      <c r="AD585" s="1676"/>
      <c r="AE585" s="1676"/>
      <c r="AF585" s="1676"/>
      <c r="AG585" s="1676"/>
      <c r="AH585" s="1676"/>
      <c r="AI585" s="1676"/>
      <c r="AJ585" s="1676"/>
      <c r="AK585" s="16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9" t="s">
        <v>2464</v>
      </c>
      <c r="H586" s="1659"/>
      <c r="I586" s="1659"/>
      <c r="J586" s="1659"/>
      <c r="K586" s="1659"/>
      <c r="L586" s="1659"/>
      <c r="O586" s="149" t="s">
        <v>892</v>
      </c>
      <c r="P586" s="1675"/>
      <c r="Q586" s="1675"/>
      <c r="R586" s="1675"/>
      <c r="T586" s="46"/>
      <c r="U586" s="16" t="s">
        <v>712</v>
      </c>
      <c r="Z586" s="1665"/>
      <c r="AA586" s="1665"/>
      <c r="AB586" s="1665"/>
      <c r="AC586" s="1665"/>
      <c r="AD586" s="1665"/>
      <c r="AE586" s="1665"/>
      <c r="AH586" s="149" t="s">
        <v>892</v>
      </c>
      <c r="AI586" s="1675"/>
      <c r="AJ586" s="1675"/>
      <c r="AK586" s="167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80" t="s">
        <v>2475</v>
      </c>
      <c r="I587" s="1664"/>
      <c r="J587" s="1664"/>
      <c r="K587" s="1664"/>
      <c r="L587" s="1664"/>
      <c r="M587" s="1664"/>
      <c r="N587" s="1664"/>
      <c r="O587" s="1664"/>
      <c r="P587" s="1664"/>
      <c r="Q587" s="1664"/>
      <c r="R587" s="1664"/>
      <c r="T587" s="46"/>
      <c r="U587" s="16" t="s">
        <v>908</v>
      </c>
      <c r="AA587" s="1664"/>
      <c r="AB587" s="1664"/>
      <c r="AC587" s="1664"/>
      <c r="AD587" s="1664"/>
      <c r="AE587" s="1664"/>
      <c r="AF587" s="1664"/>
      <c r="AG587" s="1664"/>
      <c r="AH587" s="1664"/>
      <c r="AI587" s="1664"/>
      <c r="AJ587" s="1664"/>
      <c r="AK587" s="166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52" t="s">
        <v>119</v>
      </c>
      <c r="O588" s="1752"/>
      <c r="T588" s="46"/>
      <c r="U588" s="16" t="s">
        <v>910</v>
      </c>
      <c r="AG588" s="1752" t="s">
        <v>528</v>
      </c>
      <c r="AH588" s="175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663">
        <f>C564</f>
        <v>0</v>
      </c>
      <c r="H590" s="1663"/>
      <c r="I590" s="1663"/>
      <c r="J590" s="1663"/>
      <c r="K590" s="1663"/>
      <c r="L590" s="1663"/>
      <c r="M590" s="1663"/>
      <c r="N590" s="1663"/>
      <c r="O590" s="1663"/>
      <c r="P590" s="1663"/>
      <c r="Q590" s="1663"/>
      <c r="R590" s="1663"/>
      <c r="T590" s="101" t="s">
        <v>480</v>
      </c>
      <c r="U590" s="16" t="s">
        <v>93</v>
      </c>
      <c r="Z590" s="1663">
        <f>C565</f>
        <v>0</v>
      </c>
      <c r="AA590" s="1663"/>
      <c r="AB590" s="1663"/>
      <c r="AC590" s="1663"/>
      <c r="AD590" s="1663"/>
      <c r="AE590" s="1663"/>
      <c r="AF590" s="1663"/>
      <c r="AG590" s="1663"/>
      <c r="AH590" s="1663"/>
      <c r="AI590" s="1663"/>
      <c r="AJ590" s="1663"/>
      <c r="AK590" s="166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4"/>
      <c r="H591" s="1664"/>
      <c r="I591" s="1664"/>
      <c r="J591" s="1664"/>
      <c r="K591" s="1664"/>
      <c r="L591" s="1664"/>
      <c r="M591" s="1664"/>
      <c r="N591" s="1664"/>
      <c r="O591" s="1664"/>
      <c r="P591" s="1664"/>
      <c r="Q591" s="1664"/>
      <c r="R591" s="1664"/>
      <c r="T591" s="46"/>
      <c r="U591" s="16" t="s">
        <v>413</v>
      </c>
      <c r="Z591" s="1664"/>
      <c r="AA591" s="1664"/>
      <c r="AB591" s="1664"/>
      <c r="AC591" s="1664"/>
      <c r="AD591" s="1664"/>
      <c r="AE591" s="1664"/>
      <c r="AF591" s="1664"/>
      <c r="AG591" s="1664"/>
      <c r="AH591" s="1664"/>
      <c r="AI591" s="1664"/>
      <c r="AJ591" s="1664"/>
      <c r="AK591" s="166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4"/>
      <c r="H592" s="1664"/>
      <c r="I592" s="1664"/>
      <c r="J592" s="1664"/>
      <c r="K592" s="1664"/>
      <c r="L592" s="1664"/>
      <c r="M592" s="1664"/>
      <c r="N592" s="1664"/>
      <c r="O592" s="1664"/>
      <c r="P592" s="1664"/>
      <c r="Q592" s="1664"/>
      <c r="R592" s="1664"/>
      <c r="T592" s="46"/>
      <c r="U592" s="16" t="s">
        <v>476</v>
      </c>
      <c r="Z592" s="1676"/>
      <c r="AA592" s="1676"/>
      <c r="AB592" s="1676"/>
      <c r="AC592" s="1676"/>
      <c r="AD592" s="1676"/>
      <c r="AE592" s="1676"/>
      <c r="AF592" s="1676"/>
      <c r="AG592" s="1676"/>
      <c r="AH592" s="1676"/>
      <c r="AI592" s="1676"/>
      <c r="AJ592" s="1676"/>
      <c r="AK592" s="16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4"/>
      <c r="H593" s="1664"/>
      <c r="I593" s="1664"/>
      <c r="J593" s="1664"/>
      <c r="K593" s="1664"/>
      <c r="L593" s="1664"/>
      <c r="M593" s="1664"/>
      <c r="N593" s="1664"/>
      <c r="O593" s="1664"/>
      <c r="P593" s="1664"/>
      <c r="Q593" s="1664"/>
      <c r="R593" s="1664"/>
      <c r="T593" s="46"/>
      <c r="U593" s="16" t="s">
        <v>907</v>
      </c>
      <c r="Z593" s="1676"/>
      <c r="AA593" s="1676"/>
      <c r="AB593" s="1676"/>
      <c r="AC593" s="1676"/>
      <c r="AD593" s="1676"/>
      <c r="AE593" s="1676"/>
      <c r="AF593" s="1676"/>
      <c r="AG593" s="1676"/>
      <c r="AH593" s="1676"/>
      <c r="AI593" s="1676"/>
      <c r="AJ593" s="1676"/>
      <c r="AK593" s="16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65"/>
      <c r="H594" s="1665"/>
      <c r="I594" s="1665"/>
      <c r="J594" s="1665"/>
      <c r="K594" s="1665"/>
      <c r="L594" s="1665"/>
      <c r="O594" s="149" t="s">
        <v>892</v>
      </c>
      <c r="P594" s="1675"/>
      <c r="Q594" s="1675"/>
      <c r="R594" s="1675"/>
      <c r="T594" s="46"/>
      <c r="U594" s="16" t="s">
        <v>712</v>
      </c>
      <c r="Z594" s="1665"/>
      <c r="AA594" s="1665"/>
      <c r="AB594" s="1665"/>
      <c r="AC594" s="1665"/>
      <c r="AD594" s="1665"/>
      <c r="AE594" s="1665"/>
      <c r="AH594" s="149" t="s">
        <v>892</v>
      </c>
      <c r="AI594" s="1675"/>
      <c r="AJ594" s="1675"/>
      <c r="AK594" s="167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4"/>
      <c r="I595" s="1664"/>
      <c r="J595" s="1664"/>
      <c r="K595" s="1664"/>
      <c r="L595" s="1664"/>
      <c r="M595" s="1664"/>
      <c r="N595" s="1664"/>
      <c r="O595" s="1664"/>
      <c r="P595" s="1664"/>
      <c r="Q595" s="1664"/>
      <c r="R595" s="1664"/>
      <c r="T595" s="46"/>
      <c r="U595" s="16" t="s">
        <v>908</v>
      </c>
      <c r="AA595" s="1664"/>
      <c r="AB595" s="1664"/>
      <c r="AC595" s="1664"/>
      <c r="AD595" s="1664"/>
      <c r="AE595" s="1664"/>
      <c r="AF595" s="1664"/>
      <c r="AG595" s="1664"/>
      <c r="AH595" s="1664"/>
      <c r="AI595" s="1664"/>
      <c r="AJ595" s="1664"/>
      <c r="AK595" s="166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52" t="s">
        <v>528</v>
      </c>
      <c r="O596" s="1752"/>
      <c r="T596" s="46"/>
      <c r="U596" s="16" t="s">
        <v>910</v>
      </c>
      <c r="AG596" s="1752" t="s">
        <v>528</v>
      </c>
      <c r="AH596" s="175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663">
        <f>C566</f>
        <v>0</v>
      </c>
      <c r="H598" s="1663"/>
      <c r="I598" s="1663"/>
      <c r="J598" s="1663"/>
      <c r="K598" s="1663"/>
      <c r="L598" s="1663"/>
      <c r="M598" s="1663"/>
      <c r="N598" s="1663"/>
      <c r="O598" s="1663"/>
      <c r="P598" s="1663"/>
      <c r="Q598" s="1663"/>
      <c r="R598" s="1663"/>
      <c r="T598" s="101" t="s">
        <v>806</v>
      </c>
      <c r="U598" s="16" t="s">
        <v>93</v>
      </c>
      <c r="Z598" s="1663">
        <f>C567</f>
        <v>0</v>
      </c>
      <c r="AA598" s="1663"/>
      <c r="AB598" s="1663"/>
      <c r="AC598" s="1663"/>
      <c r="AD598" s="1663"/>
      <c r="AE598" s="1663"/>
      <c r="AF598" s="1663"/>
      <c r="AG598" s="1663"/>
      <c r="AH598" s="1663"/>
      <c r="AI598" s="1663"/>
      <c r="AJ598" s="1663"/>
      <c r="AK598" s="166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4"/>
      <c r="H599" s="1664"/>
      <c r="I599" s="1664"/>
      <c r="J599" s="1664"/>
      <c r="K599" s="1664"/>
      <c r="L599" s="1664"/>
      <c r="M599" s="1664"/>
      <c r="N599" s="1664"/>
      <c r="O599" s="1664"/>
      <c r="P599" s="1664"/>
      <c r="Q599" s="1664"/>
      <c r="R599" s="1664"/>
      <c r="T599" s="46"/>
      <c r="U599" s="16" t="s">
        <v>413</v>
      </c>
      <c r="Z599" s="1664"/>
      <c r="AA599" s="1664"/>
      <c r="AB599" s="1664"/>
      <c r="AC599" s="1664"/>
      <c r="AD599" s="1664"/>
      <c r="AE599" s="1664"/>
      <c r="AF599" s="1664"/>
      <c r="AG599" s="1664"/>
      <c r="AH599" s="1664"/>
      <c r="AI599" s="1664"/>
      <c r="AJ599" s="1664"/>
      <c r="AK599" s="166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4"/>
      <c r="H600" s="1664"/>
      <c r="I600" s="1664"/>
      <c r="J600" s="1664"/>
      <c r="K600" s="1664"/>
      <c r="L600" s="1664"/>
      <c r="M600" s="1664"/>
      <c r="N600" s="1664"/>
      <c r="O600" s="1664"/>
      <c r="P600" s="1664"/>
      <c r="Q600" s="1664"/>
      <c r="R600" s="1664"/>
      <c r="S600" s="16"/>
      <c r="T600" s="46"/>
      <c r="U600" s="16" t="s">
        <v>476</v>
      </c>
      <c r="V600" s="16"/>
      <c r="W600" s="16"/>
      <c r="X600" s="16"/>
      <c r="Y600" s="16"/>
      <c r="Z600" s="1676"/>
      <c r="AA600" s="1676"/>
      <c r="AB600" s="1676"/>
      <c r="AC600" s="1676"/>
      <c r="AD600" s="1676"/>
      <c r="AE600" s="1676"/>
      <c r="AF600" s="1676"/>
      <c r="AG600" s="1676"/>
      <c r="AH600" s="1676"/>
      <c r="AI600" s="1676"/>
      <c r="AJ600" s="1676"/>
      <c r="AK600" s="16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4"/>
      <c r="H601" s="1664"/>
      <c r="I601" s="1664"/>
      <c r="J601" s="1664"/>
      <c r="K601" s="1664"/>
      <c r="L601" s="1664"/>
      <c r="M601" s="1664"/>
      <c r="N601" s="1664"/>
      <c r="O601" s="1664"/>
      <c r="P601" s="1664"/>
      <c r="Q601" s="1664"/>
      <c r="R601" s="1664"/>
      <c r="S601" s="16"/>
      <c r="T601" s="46"/>
      <c r="U601" s="16" t="s">
        <v>907</v>
      </c>
      <c r="V601" s="16"/>
      <c r="W601" s="16"/>
      <c r="X601" s="16"/>
      <c r="Y601" s="16"/>
      <c r="Z601" s="1676"/>
      <c r="AA601" s="1676"/>
      <c r="AB601" s="1676"/>
      <c r="AC601" s="1676"/>
      <c r="AD601" s="1676"/>
      <c r="AE601" s="1676"/>
      <c r="AF601" s="1676"/>
      <c r="AG601" s="1676"/>
      <c r="AH601" s="1676"/>
      <c r="AI601" s="1676"/>
      <c r="AJ601" s="1676"/>
      <c r="AK601" s="1676"/>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65"/>
      <c r="H602" s="1665"/>
      <c r="I602" s="1665"/>
      <c r="J602" s="1665"/>
      <c r="K602" s="1665"/>
      <c r="L602" s="1665"/>
      <c r="M602" s="16"/>
      <c r="N602" s="16"/>
      <c r="O602" s="149" t="s">
        <v>892</v>
      </c>
      <c r="P602" s="1675"/>
      <c r="Q602" s="1675"/>
      <c r="R602" s="1675"/>
      <c r="S602" s="16"/>
      <c r="T602" s="46"/>
      <c r="U602" s="16" t="s">
        <v>712</v>
      </c>
      <c r="V602" s="16"/>
      <c r="W602" s="16"/>
      <c r="X602" s="16"/>
      <c r="Y602" s="16"/>
      <c r="Z602" s="1665"/>
      <c r="AA602" s="1665"/>
      <c r="AB602" s="1665"/>
      <c r="AC602" s="1665"/>
      <c r="AD602" s="1665"/>
      <c r="AE602" s="1665"/>
      <c r="AF602" s="16"/>
      <c r="AG602" s="16"/>
      <c r="AH602" s="149" t="s">
        <v>892</v>
      </c>
      <c r="AI602" s="1675"/>
      <c r="AJ602" s="1675"/>
      <c r="AK602" s="1675"/>
      <c r="AL602" s="16"/>
      <c r="AZ602" s="8" t="s">
        <v>487</v>
      </c>
      <c r="BA602" s="72"/>
      <c r="BB602" s="72"/>
      <c r="BC602" s="72"/>
      <c r="BD602" s="72"/>
      <c r="BE602" s="334" t="s">
        <v>389</v>
      </c>
      <c r="BF602" s="335"/>
      <c r="BG602" s="1818"/>
      <c r="BH602" s="1821"/>
      <c r="BI602" s="334" t="s">
        <v>390</v>
      </c>
      <c r="BJ602" s="335"/>
      <c r="BK602" s="1818"/>
      <c r="BL602" s="1821"/>
      <c r="BN602" s="1818">
        <f t="shared" ref="BN602:BN626" si="2">IF(B706="SRO/Studio",G706,0)</f>
        <v>12</v>
      </c>
      <c r="BO602" s="1819"/>
      <c r="BP602" s="1819"/>
      <c r="BQ602" s="1819"/>
      <c r="BR602" s="1820"/>
      <c r="BS602" s="1818">
        <f t="shared" ref="BS602:BS626" si="3">IF(B706="1 Bedroom",G706,0)</f>
        <v>0</v>
      </c>
      <c r="BT602" s="1819"/>
      <c r="BU602" s="1819"/>
      <c r="BV602" s="1819"/>
      <c r="BW602" s="1821"/>
      <c r="BX602" s="1818">
        <f t="shared" ref="BX602:BX626" si="4">IF(B706="2 Bedrooms",G706,0)</f>
        <v>0</v>
      </c>
      <c r="BY602" s="1819"/>
      <c r="BZ602" s="1819"/>
      <c r="CA602" s="1819"/>
      <c r="CB602" s="1821"/>
      <c r="CC602" s="1818">
        <f t="shared" ref="CC602:CC626" si="5">IF(B706="3 Bedrooms",G706,0)</f>
        <v>0</v>
      </c>
      <c r="CD602" s="1819"/>
      <c r="CE602" s="1819"/>
      <c r="CF602" s="1819"/>
      <c r="CG602" s="1821"/>
      <c r="CH602" s="1818">
        <f t="shared" ref="CH602:CH626" si="6">IF(B706="4 Bedrooms",G706,0)</f>
        <v>0</v>
      </c>
      <c r="CI602" s="1819"/>
      <c r="CJ602" s="1819"/>
      <c r="CK602" s="1819"/>
      <c r="CL602" s="1821"/>
      <c r="CM602" s="2135">
        <f t="shared" ref="CM602:CM626" si="7">IF(B706="5 Bedrooms",G706,0)</f>
        <v>0</v>
      </c>
      <c r="CN602" s="2136"/>
      <c r="CO602" s="2136"/>
      <c r="CP602" s="2136"/>
      <c r="CQ602" s="1820"/>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64"/>
      <c r="I603" s="1664"/>
      <c r="J603" s="1664"/>
      <c r="K603" s="1664"/>
      <c r="L603" s="1664"/>
      <c r="M603" s="1664"/>
      <c r="N603" s="1664"/>
      <c r="O603" s="1664"/>
      <c r="P603" s="1664"/>
      <c r="Q603" s="1664"/>
      <c r="R603" s="1664"/>
      <c r="S603" s="16"/>
      <c r="T603" s="46"/>
      <c r="U603" s="16" t="s">
        <v>908</v>
      </c>
      <c r="V603" s="16"/>
      <c r="W603" s="16"/>
      <c r="X603" s="16"/>
      <c r="Y603" s="16"/>
      <c r="Z603" s="16"/>
      <c r="AA603" s="1664"/>
      <c r="AB603" s="1664"/>
      <c r="AC603" s="1664"/>
      <c r="AD603" s="1664"/>
      <c r="AE603" s="1664"/>
      <c r="AF603" s="1664"/>
      <c r="AG603" s="1664"/>
      <c r="AH603" s="1664"/>
      <c r="AI603" s="1664"/>
      <c r="AJ603" s="1664"/>
      <c r="AK603" s="1664"/>
      <c r="AL603" s="16"/>
      <c r="AZ603" s="8" t="s">
        <v>488</v>
      </c>
      <c r="BA603" s="72"/>
      <c r="BB603" s="72"/>
      <c r="BC603" s="72"/>
      <c r="BD603" s="72"/>
      <c r="BE603" s="1822">
        <f>IF(AND(AH706&lt;=0.5,AH706&gt;=0.36),1,0)</f>
        <v>0</v>
      </c>
      <c r="BF603" s="1823"/>
      <c r="BG603" s="1818">
        <f t="shared" ref="BG603:BG627" si="8">IF(BE603=1,G706,0)</f>
        <v>0</v>
      </c>
      <c r="BH603" s="1821"/>
      <c r="BI603" s="1822">
        <f>IF(AND(AH706&lt;=0.35,AH706&gt;0),1,0)</f>
        <v>1</v>
      </c>
      <c r="BJ603" s="1823"/>
      <c r="BK603" s="1818">
        <f t="shared" ref="BK603:BK627" si="9">IF(BI603=1,G706,0)</f>
        <v>12</v>
      </c>
      <c r="BL603" s="1821"/>
      <c r="BN603" s="1818">
        <f t="shared" si="2"/>
        <v>0</v>
      </c>
      <c r="BO603" s="1819"/>
      <c r="BP603" s="1819"/>
      <c r="BQ603" s="1819"/>
      <c r="BR603" s="1820"/>
      <c r="BS603" s="1818">
        <f t="shared" si="3"/>
        <v>4</v>
      </c>
      <c r="BT603" s="1819"/>
      <c r="BU603" s="1819"/>
      <c r="BV603" s="1819"/>
      <c r="BW603" s="1821"/>
      <c r="BX603" s="1818">
        <f t="shared" si="4"/>
        <v>0</v>
      </c>
      <c r="BY603" s="1819"/>
      <c r="BZ603" s="1819"/>
      <c r="CA603" s="1819"/>
      <c r="CB603" s="1821"/>
      <c r="CC603" s="1818">
        <f t="shared" si="5"/>
        <v>0</v>
      </c>
      <c r="CD603" s="1819"/>
      <c r="CE603" s="1819"/>
      <c r="CF603" s="1819"/>
      <c r="CG603" s="1821"/>
      <c r="CH603" s="1818">
        <f t="shared" si="6"/>
        <v>0</v>
      </c>
      <c r="CI603" s="1819"/>
      <c r="CJ603" s="1819"/>
      <c r="CK603" s="1819"/>
      <c r="CL603" s="1821"/>
      <c r="CM603" s="1818">
        <f t="shared" si="7"/>
        <v>0</v>
      </c>
      <c r="CN603" s="1819"/>
      <c r="CO603" s="1819"/>
      <c r="CP603" s="1819"/>
      <c r="CQ603" s="1821"/>
      <c r="CS603" s="2132">
        <f>IF(AND(B706="SRO/Studio",AH706&lt;=0.3),G706,0)</f>
        <v>12</v>
      </c>
      <c r="CT603" s="2133"/>
      <c r="CU603" s="2133"/>
      <c r="CV603" s="2133"/>
      <c r="CW603" s="2134"/>
      <c r="CX603" s="2132">
        <f>IF(AND(B706="1 Bedroom",AH706&lt;=0.3),G706,0)</f>
        <v>0</v>
      </c>
      <c r="CY603" s="2133"/>
      <c r="CZ603" s="2133"/>
      <c r="DA603" s="2133"/>
      <c r="DB603" s="2134"/>
      <c r="DC603" s="2132">
        <f>IF(AND(B706="2 Bedrooms",AH706&lt;=0.3),G706,0)</f>
        <v>0</v>
      </c>
      <c r="DD603" s="2133"/>
      <c r="DE603" s="2133"/>
      <c r="DF603" s="2133"/>
      <c r="DG603" s="2134"/>
      <c r="DH603" s="2132">
        <f>IF(AND(B706="3 Bedrooms",AH706&lt;=0.3),G706,0)</f>
        <v>0</v>
      </c>
      <c r="DI603" s="2133"/>
      <c r="DJ603" s="2133"/>
      <c r="DK603" s="2133"/>
      <c r="DL603" s="2134"/>
      <c r="DM603" s="2132">
        <f>IF(AND(B706="4 Bedrooms",AH706&lt;=0.3),G706,0)</f>
        <v>0</v>
      </c>
      <c r="DN603" s="2133"/>
      <c r="DO603" s="2133"/>
      <c r="DP603" s="2133"/>
      <c r="DQ603" s="2134"/>
      <c r="DR603" s="2132">
        <f>IF(AND(B706="5 Bedrooms",AH706&lt;=0.3),G706,0)</f>
        <v>0</v>
      </c>
      <c r="DS603" s="2133"/>
      <c r="DT603" s="2133"/>
      <c r="DU603" s="2133"/>
      <c r="DV603" s="2134"/>
    </row>
    <row r="604" spans="1:126" s="8" customFormat="1" ht="12.75">
      <c r="A604" s="46"/>
      <c r="B604" s="16" t="s">
        <v>910</v>
      </c>
      <c r="C604" s="16"/>
      <c r="D604" s="16"/>
      <c r="E604" s="16"/>
      <c r="F604" s="16"/>
      <c r="G604" s="16"/>
      <c r="H604" s="16"/>
      <c r="I604" s="16"/>
      <c r="J604" s="16"/>
      <c r="K604" s="16"/>
      <c r="L604" s="16"/>
      <c r="M604" s="16"/>
      <c r="N604" s="1752" t="s">
        <v>528</v>
      </c>
      <c r="O604" s="1752"/>
      <c r="P604" s="16"/>
      <c r="Q604" s="16"/>
      <c r="R604" s="16"/>
      <c r="S604" s="16"/>
      <c r="T604" s="46"/>
      <c r="U604" s="16" t="s">
        <v>910</v>
      </c>
      <c r="V604" s="16"/>
      <c r="W604" s="16"/>
      <c r="X604" s="16"/>
      <c r="Y604" s="16"/>
      <c r="Z604" s="16"/>
      <c r="AA604" s="16"/>
      <c r="AB604" s="16"/>
      <c r="AC604" s="16"/>
      <c r="AD604" s="16"/>
      <c r="AE604" s="16"/>
      <c r="AF604" s="16"/>
      <c r="AG604" s="1752" t="s">
        <v>528</v>
      </c>
      <c r="AH604" s="1752"/>
      <c r="AI604" s="16"/>
      <c r="AJ604" s="16"/>
      <c r="AK604" s="16"/>
      <c r="AL604" s="16"/>
      <c r="AZ604" s="8" t="s">
        <v>845</v>
      </c>
      <c r="BA604" s="72"/>
      <c r="BB604" s="72"/>
      <c r="BC604" s="72"/>
      <c r="BD604" s="72"/>
      <c r="BE604" s="1822">
        <f t="shared" ref="BE604:BE627" si="10">IF(AND(AH707&lt;=0.5,AH707&gt;=0.36),1,0)</f>
        <v>1</v>
      </c>
      <c r="BF604" s="1823"/>
      <c r="BG604" s="1818">
        <f t="shared" si="8"/>
        <v>4</v>
      </c>
      <c r="BH604" s="1821"/>
      <c r="BI604" s="1822">
        <f t="shared" ref="BI604:BI627" si="11">IF(AND(AH707&lt;=0.35,AH707&gt;0),1,0)</f>
        <v>0</v>
      </c>
      <c r="BJ604" s="1823"/>
      <c r="BK604" s="1818">
        <f t="shared" si="9"/>
        <v>0</v>
      </c>
      <c r="BL604" s="1821"/>
      <c r="BN604" s="1818">
        <f t="shared" si="2"/>
        <v>0</v>
      </c>
      <c r="BO604" s="1819"/>
      <c r="BP604" s="1819"/>
      <c r="BQ604" s="1819"/>
      <c r="BR604" s="1820"/>
      <c r="BS604" s="1818">
        <f t="shared" si="3"/>
        <v>8</v>
      </c>
      <c r="BT604" s="1819"/>
      <c r="BU604" s="1819"/>
      <c r="BV604" s="1819"/>
      <c r="BW604" s="1821"/>
      <c r="BX604" s="1818">
        <f t="shared" si="4"/>
        <v>0</v>
      </c>
      <c r="BY604" s="1819"/>
      <c r="BZ604" s="1819"/>
      <c r="CA604" s="1819"/>
      <c r="CB604" s="1821"/>
      <c r="CC604" s="1818">
        <f t="shared" si="5"/>
        <v>0</v>
      </c>
      <c r="CD604" s="1819"/>
      <c r="CE604" s="1819"/>
      <c r="CF604" s="1819"/>
      <c r="CG604" s="1821"/>
      <c r="CH604" s="1818">
        <f t="shared" si="6"/>
        <v>0</v>
      </c>
      <c r="CI604" s="1819"/>
      <c r="CJ604" s="1819"/>
      <c r="CK604" s="1819"/>
      <c r="CL604" s="1821"/>
      <c r="CM604" s="1818">
        <f t="shared" si="7"/>
        <v>0</v>
      </c>
      <c r="CN604" s="1819"/>
      <c r="CO604" s="1819"/>
      <c r="CP604" s="1819"/>
      <c r="CQ604" s="1821"/>
      <c r="CS604" s="2132">
        <f t="shared" ref="CS604:CS627" si="12">IF(AND(B707="SRO/Studio",AH707&lt;=0.3),G707,0)</f>
        <v>0</v>
      </c>
      <c r="CT604" s="2133"/>
      <c r="CU604" s="2133"/>
      <c r="CV604" s="2133"/>
      <c r="CW604" s="2134"/>
      <c r="CX604" s="2132">
        <f t="shared" ref="CX604:CX627" si="13">IF(AND(B707="1 Bedroom",AH707&lt;=0.3),G707,0)</f>
        <v>0</v>
      </c>
      <c r="CY604" s="2133"/>
      <c r="CZ604" s="2133"/>
      <c r="DA604" s="2133"/>
      <c r="DB604" s="2134"/>
      <c r="DC604" s="2132">
        <f t="shared" ref="DC604:DC627" si="14">IF(AND(B707="2 Bedrooms",AH707&lt;=0.3),G707,0)</f>
        <v>0</v>
      </c>
      <c r="DD604" s="2133"/>
      <c r="DE604" s="2133"/>
      <c r="DF604" s="2133"/>
      <c r="DG604" s="2134"/>
      <c r="DH604" s="2132">
        <f t="shared" ref="DH604:DH627" si="15">IF(AND(B707="3 Bedrooms",AH707&lt;=0.3),G707,0)</f>
        <v>0</v>
      </c>
      <c r="DI604" s="2133"/>
      <c r="DJ604" s="2133"/>
      <c r="DK604" s="2133"/>
      <c r="DL604" s="2134"/>
      <c r="DM604" s="2132">
        <f t="shared" ref="DM604:DM627" si="16">IF(AND(B707="4 Bedrooms",AH707&lt;=0.3),G707,0)</f>
        <v>0</v>
      </c>
      <c r="DN604" s="2133"/>
      <c r="DO604" s="2133"/>
      <c r="DP604" s="2133"/>
      <c r="DQ604" s="2134"/>
      <c r="DR604" s="2132">
        <f t="shared" ref="DR604:DR627" si="17">IF(AND(B707="5 Bedrooms",AH707&lt;=0.3),G707,0)</f>
        <v>0</v>
      </c>
      <c r="DS604" s="2133"/>
      <c r="DT604" s="2133"/>
      <c r="DU604" s="2133"/>
      <c r="DV604" s="2134"/>
    </row>
    <row r="605" spans="1:126" ht="12.75">
      <c r="AZ605" s="8" t="s">
        <v>846</v>
      </c>
      <c r="BA605" s="72"/>
      <c r="BB605" s="72"/>
      <c r="BC605" s="72"/>
      <c r="BD605" s="72"/>
      <c r="BE605" s="1822">
        <f t="shared" si="10"/>
        <v>0</v>
      </c>
      <c r="BF605" s="1823"/>
      <c r="BG605" s="1818">
        <f t="shared" si="8"/>
        <v>0</v>
      </c>
      <c r="BH605" s="1821"/>
      <c r="BI605" s="1822">
        <f t="shared" si="11"/>
        <v>0</v>
      </c>
      <c r="BJ605" s="1823"/>
      <c r="BK605" s="1818">
        <f t="shared" si="9"/>
        <v>0</v>
      </c>
      <c r="BL605" s="1821"/>
      <c r="BN605" s="1818">
        <f t="shared" si="2"/>
        <v>0</v>
      </c>
      <c r="BO605" s="1819"/>
      <c r="BP605" s="1819"/>
      <c r="BQ605" s="1819"/>
      <c r="BR605" s="1820"/>
      <c r="BS605" s="1818">
        <f t="shared" si="3"/>
        <v>0</v>
      </c>
      <c r="BT605" s="1819"/>
      <c r="BU605" s="1819"/>
      <c r="BV605" s="1819"/>
      <c r="BW605" s="1821"/>
      <c r="BX605" s="1818">
        <f t="shared" si="4"/>
        <v>4</v>
      </c>
      <c r="BY605" s="1819"/>
      <c r="BZ605" s="1819"/>
      <c r="CA605" s="1819"/>
      <c r="CB605" s="1821"/>
      <c r="CC605" s="1818">
        <f t="shared" si="5"/>
        <v>0</v>
      </c>
      <c r="CD605" s="1819"/>
      <c r="CE605" s="1819"/>
      <c r="CF605" s="1819"/>
      <c r="CG605" s="1821"/>
      <c r="CH605" s="1818">
        <f t="shared" si="6"/>
        <v>0</v>
      </c>
      <c r="CI605" s="1819"/>
      <c r="CJ605" s="1819"/>
      <c r="CK605" s="1819"/>
      <c r="CL605" s="1821"/>
      <c r="CM605" s="1818">
        <f t="shared" si="7"/>
        <v>0</v>
      </c>
      <c r="CN605" s="1819"/>
      <c r="CO605" s="1819"/>
      <c r="CP605" s="1819"/>
      <c r="CQ605" s="1821"/>
      <c r="CS605" s="2132">
        <f t="shared" si="12"/>
        <v>0</v>
      </c>
      <c r="CT605" s="2133"/>
      <c r="CU605" s="2133"/>
      <c r="CV605" s="2133"/>
      <c r="CW605" s="2134"/>
      <c r="CX605" s="2132">
        <f t="shared" si="13"/>
        <v>0</v>
      </c>
      <c r="CY605" s="2133"/>
      <c r="CZ605" s="2133"/>
      <c r="DA605" s="2133"/>
      <c r="DB605" s="2134"/>
      <c r="DC605" s="2132">
        <f t="shared" si="14"/>
        <v>0</v>
      </c>
      <c r="DD605" s="2133"/>
      <c r="DE605" s="2133"/>
      <c r="DF605" s="2133"/>
      <c r="DG605" s="2134"/>
      <c r="DH605" s="2132">
        <f t="shared" si="15"/>
        <v>0</v>
      </c>
      <c r="DI605" s="2133"/>
      <c r="DJ605" s="2133"/>
      <c r="DK605" s="2133"/>
      <c r="DL605" s="2134"/>
      <c r="DM605" s="2132">
        <f t="shared" si="16"/>
        <v>0</v>
      </c>
      <c r="DN605" s="2133"/>
      <c r="DO605" s="2133"/>
      <c r="DP605" s="2133"/>
      <c r="DQ605" s="2134"/>
      <c r="DR605" s="2132">
        <f t="shared" si="17"/>
        <v>0</v>
      </c>
      <c r="DS605" s="2133"/>
      <c r="DT605" s="2133"/>
      <c r="DU605" s="2133"/>
      <c r="DV605" s="2134"/>
    </row>
    <row r="606" spans="1:126" ht="12.75">
      <c r="A606" s="101" t="s">
        <v>603</v>
      </c>
      <c r="B606" s="16" t="s">
        <v>93</v>
      </c>
      <c r="G606" s="1663">
        <f>C568</f>
        <v>0</v>
      </c>
      <c r="H606" s="1663"/>
      <c r="I606" s="1663"/>
      <c r="J606" s="1663"/>
      <c r="K606" s="1663"/>
      <c r="L606" s="1663"/>
      <c r="M606" s="1663"/>
      <c r="N606" s="1663"/>
      <c r="O606" s="1663"/>
      <c r="P606" s="1663"/>
      <c r="Q606" s="1663"/>
      <c r="R606" s="1663"/>
      <c r="T606" s="101" t="s">
        <v>190</v>
      </c>
      <c r="U606" s="16" t="s">
        <v>93</v>
      </c>
      <c r="Z606" s="1663">
        <f>C569</f>
        <v>0</v>
      </c>
      <c r="AA606" s="1663"/>
      <c r="AB606" s="1663"/>
      <c r="AC606" s="1663"/>
      <c r="AD606" s="1663"/>
      <c r="AE606" s="1663"/>
      <c r="AF606" s="1663"/>
      <c r="AG606" s="1663"/>
      <c r="AH606" s="1663"/>
      <c r="AI606" s="1663"/>
      <c r="AJ606" s="1663"/>
      <c r="AK606" s="1663"/>
      <c r="AZ606" s="8" t="s">
        <v>847</v>
      </c>
      <c r="BA606" s="72"/>
      <c r="BB606" s="72"/>
      <c r="BC606" s="72"/>
      <c r="BD606" s="72"/>
      <c r="BE606" s="1822">
        <f t="shared" si="10"/>
        <v>1</v>
      </c>
      <c r="BF606" s="1823"/>
      <c r="BG606" s="1818">
        <f t="shared" si="8"/>
        <v>4</v>
      </c>
      <c r="BH606" s="1821"/>
      <c r="BI606" s="1822">
        <f t="shared" si="11"/>
        <v>0</v>
      </c>
      <c r="BJ606" s="1823"/>
      <c r="BK606" s="1818">
        <f t="shared" si="9"/>
        <v>0</v>
      </c>
      <c r="BL606" s="1821"/>
      <c r="BN606" s="1818">
        <f t="shared" si="2"/>
        <v>0</v>
      </c>
      <c r="BO606" s="1819"/>
      <c r="BP606" s="1819"/>
      <c r="BQ606" s="1819"/>
      <c r="BR606" s="1820"/>
      <c r="BS606" s="1818">
        <f t="shared" si="3"/>
        <v>0</v>
      </c>
      <c r="BT606" s="1819"/>
      <c r="BU606" s="1819"/>
      <c r="BV606" s="1819"/>
      <c r="BW606" s="1821"/>
      <c r="BX606" s="1818">
        <f t="shared" si="4"/>
        <v>8</v>
      </c>
      <c r="BY606" s="1819"/>
      <c r="BZ606" s="1819"/>
      <c r="CA606" s="1819"/>
      <c r="CB606" s="1821"/>
      <c r="CC606" s="1818">
        <f t="shared" si="5"/>
        <v>0</v>
      </c>
      <c r="CD606" s="1819"/>
      <c r="CE606" s="1819"/>
      <c r="CF606" s="1819"/>
      <c r="CG606" s="1821"/>
      <c r="CH606" s="1818">
        <f t="shared" si="6"/>
        <v>0</v>
      </c>
      <c r="CI606" s="1819"/>
      <c r="CJ606" s="1819"/>
      <c r="CK606" s="1819"/>
      <c r="CL606" s="1821"/>
      <c r="CM606" s="1818">
        <f t="shared" si="7"/>
        <v>0</v>
      </c>
      <c r="CN606" s="1819"/>
      <c r="CO606" s="1819"/>
      <c r="CP606" s="1819"/>
      <c r="CQ606" s="1821"/>
      <c r="CS606" s="2132">
        <f t="shared" si="12"/>
        <v>0</v>
      </c>
      <c r="CT606" s="2133"/>
      <c r="CU606" s="2133"/>
      <c r="CV606" s="2133"/>
      <c r="CW606" s="2134"/>
      <c r="CX606" s="2132">
        <f t="shared" si="13"/>
        <v>0</v>
      </c>
      <c r="CY606" s="2133"/>
      <c r="CZ606" s="2133"/>
      <c r="DA606" s="2133"/>
      <c r="DB606" s="2134"/>
      <c r="DC606" s="2132">
        <f t="shared" si="14"/>
        <v>0</v>
      </c>
      <c r="DD606" s="2133"/>
      <c r="DE606" s="2133"/>
      <c r="DF606" s="2133"/>
      <c r="DG606" s="2134"/>
      <c r="DH606" s="2132">
        <f t="shared" si="15"/>
        <v>0</v>
      </c>
      <c r="DI606" s="2133"/>
      <c r="DJ606" s="2133"/>
      <c r="DK606" s="2133"/>
      <c r="DL606" s="2134"/>
      <c r="DM606" s="2132">
        <f t="shared" si="16"/>
        <v>0</v>
      </c>
      <c r="DN606" s="2133"/>
      <c r="DO606" s="2133"/>
      <c r="DP606" s="2133"/>
      <c r="DQ606" s="2134"/>
      <c r="DR606" s="2132">
        <f t="shared" si="17"/>
        <v>0</v>
      </c>
      <c r="DS606" s="2133"/>
      <c r="DT606" s="2133"/>
      <c r="DU606" s="2133"/>
      <c r="DV606" s="2134"/>
    </row>
    <row r="607" spans="1:126" ht="12.75">
      <c r="A607" s="46"/>
      <c r="B607" s="16" t="s">
        <v>413</v>
      </c>
      <c r="G607" s="1664"/>
      <c r="H607" s="1664"/>
      <c r="I607" s="1664"/>
      <c r="J607" s="1664"/>
      <c r="K607" s="1664"/>
      <c r="L607" s="1664"/>
      <c r="M607" s="1664"/>
      <c r="N607" s="1664"/>
      <c r="O607" s="1664"/>
      <c r="P607" s="1664"/>
      <c r="Q607" s="1664"/>
      <c r="R607" s="1664"/>
      <c r="T607" s="46"/>
      <c r="U607" s="16" t="s">
        <v>413</v>
      </c>
      <c r="Z607" s="1664"/>
      <c r="AA607" s="1664"/>
      <c r="AB607" s="1664"/>
      <c r="AC607" s="1664"/>
      <c r="AD607" s="1664"/>
      <c r="AE607" s="1664"/>
      <c r="AF607" s="1664"/>
      <c r="AG607" s="1664"/>
      <c r="AH607" s="1664"/>
      <c r="AI607" s="1664"/>
      <c r="AJ607" s="1664"/>
      <c r="AK607" s="1664"/>
      <c r="AZ607" s="8" t="s">
        <v>382</v>
      </c>
      <c r="BA607" s="72"/>
      <c r="BB607" s="72"/>
      <c r="BC607" s="72"/>
      <c r="BD607" s="72"/>
      <c r="BE607" s="1822">
        <f t="shared" si="10"/>
        <v>0</v>
      </c>
      <c r="BF607" s="1823"/>
      <c r="BG607" s="1818">
        <f t="shared" si="8"/>
        <v>0</v>
      </c>
      <c r="BH607" s="1821"/>
      <c r="BI607" s="1822">
        <f t="shared" si="11"/>
        <v>0</v>
      </c>
      <c r="BJ607" s="1823"/>
      <c r="BK607" s="1818">
        <f t="shared" si="9"/>
        <v>0</v>
      </c>
      <c r="BL607" s="1821"/>
      <c r="BN607" s="1818">
        <f t="shared" si="2"/>
        <v>0</v>
      </c>
      <c r="BO607" s="1819"/>
      <c r="BP607" s="1819"/>
      <c r="BQ607" s="1819"/>
      <c r="BR607" s="1820"/>
      <c r="BS607" s="1818">
        <f t="shared" si="3"/>
        <v>0</v>
      </c>
      <c r="BT607" s="1819"/>
      <c r="BU607" s="1819"/>
      <c r="BV607" s="1819"/>
      <c r="BW607" s="1821"/>
      <c r="BX607" s="1818">
        <f t="shared" si="4"/>
        <v>0</v>
      </c>
      <c r="BY607" s="1819"/>
      <c r="BZ607" s="1819"/>
      <c r="CA607" s="1819"/>
      <c r="CB607" s="1821"/>
      <c r="CC607" s="1818">
        <f t="shared" si="5"/>
        <v>5</v>
      </c>
      <c r="CD607" s="1819"/>
      <c r="CE607" s="1819"/>
      <c r="CF607" s="1819"/>
      <c r="CG607" s="1821"/>
      <c r="CH607" s="1818">
        <f t="shared" si="6"/>
        <v>0</v>
      </c>
      <c r="CI607" s="1819"/>
      <c r="CJ607" s="1819"/>
      <c r="CK607" s="1819"/>
      <c r="CL607" s="1821"/>
      <c r="CM607" s="1818">
        <f t="shared" si="7"/>
        <v>0</v>
      </c>
      <c r="CN607" s="1819"/>
      <c r="CO607" s="1819"/>
      <c r="CP607" s="1819"/>
      <c r="CQ607" s="1821"/>
      <c r="CS607" s="2132">
        <f t="shared" si="12"/>
        <v>0</v>
      </c>
      <c r="CT607" s="2133"/>
      <c r="CU607" s="2133"/>
      <c r="CV607" s="2133"/>
      <c r="CW607" s="2134"/>
      <c r="CX607" s="2132">
        <f t="shared" si="13"/>
        <v>0</v>
      </c>
      <c r="CY607" s="2133"/>
      <c r="CZ607" s="2133"/>
      <c r="DA607" s="2133"/>
      <c r="DB607" s="2134"/>
      <c r="DC607" s="2132">
        <f t="shared" si="14"/>
        <v>0</v>
      </c>
      <c r="DD607" s="2133"/>
      <c r="DE607" s="2133"/>
      <c r="DF607" s="2133"/>
      <c r="DG607" s="2134"/>
      <c r="DH607" s="2132">
        <f t="shared" si="15"/>
        <v>0</v>
      </c>
      <c r="DI607" s="2133"/>
      <c r="DJ607" s="2133"/>
      <c r="DK607" s="2133"/>
      <c r="DL607" s="2134"/>
      <c r="DM607" s="2132">
        <f t="shared" si="16"/>
        <v>0</v>
      </c>
      <c r="DN607" s="2133"/>
      <c r="DO607" s="2133"/>
      <c r="DP607" s="2133"/>
      <c r="DQ607" s="2134"/>
      <c r="DR607" s="2132">
        <f t="shared" si="17"/>
        <v>0</v>
      </c>
      <c r="DS607" s="2133"/>
      <c r="DT607" s="2133"/>
      <c r="DU607" s="2133"/>
      <c r="DV607" s="2134"/>
    </row>
    <row r="608" spans="1:126" ht="12.75">
      <c r="A608" s="46"/>
      <c r="B608" s="16" t="s">
        <v>476</v>
      </c>
      <c r="G608" s="1664"/>
      <c r="H608" s="1664"/>
      <c r="I608" s="1664"/>
      <c r="J608" s="1664"/>
      <c r="K608" s="1664"/>
      <c r="L608" s="1664"/>
      <c r="M608" s="1664"/>
      <c r="N608" s="1664"/>
      <c r="O608" s="1664"/>
      <c r="P608" s="1664"/>
      <c r="Q608" s="1664"/>
      <c r="R608" s="1664"/>
      <c r="T608" s="46"/>
      <c r="U608" s="16" t="s">
        <v>476</v>
      </c>
      <c r="Z608" s="1676"/>
      <c r="AA608" s="1676"/>
      <c r="AB608" s="1676"/>
      <c r="AC608" s="1676"/>
      <c r="AD608" s="1676"/>
      <c r="AE608" s="1676"/>
      <c r="AF608" s="1676"/>
      <c r="AG608" s="1676"/>
      <c r="AH608" s="1676"/>
      <c r="AI608" s="1676"/>
      <c r="AJ608" s="1676"/>
      <c r="AK608" s="1676"/>
      <c r="AZ608" s="72"/>
      <c r="BA608" s="72"/>
      <c r="BB608" s="72"/>
      <c r="BC608" s="72"/>
      <c r="BD608" s="72"/>
      <c r="BE608" s="1822">
        <f t="shared" si="10"/>
        <v>1</v>
      </c>
      <c r="BF608" s="1823"/>
      <c r="BG608" s="1818">
        <f t="shared" si="8"/>
        <v>5</v>
      </c>
      <c r="BH608" s="1821"/>
      <c r="BI608" s="1822">
        <f t="shared" si="11"/>
        <v>0</v>
      </c>
      <c r="BJ608" s="1823"/>
      <c r="BK608" s="1818">
        <f t="shared" si="9"/>
        <v>0</v>
      </c>
      <c r="BL608" s="1821"/>
      <c r="BN608" s="1818">
        <f t="shared" si="2"/>
        <v>0</v>
      </c>
      <c r="BO608" s="1819"/>
      <c r="BP608" s="1819"/>
      <c r="BQ608" s="1819"/>
      <c r="BR608" s="1820"/>
      <c r="BS608" s="1818">
        <f t="shared" si="3"/>
        <v>0</v>
      </c>
      <c r="BT608" s="1819"/>
      <c r="BU608" s="1819"/>
      <c r="BV608" s="1819"/>
      <c r="BW608" s="1821"/>
      <c r="BX608" s="1818">
        <f t="shared" si="4"/>
        <v>0</v>
      </c>
      <c r="BY608" s="1819"/>
      <c r="BZ608" s="1819"/>
      <c r="CA608" s="1819"/>
      <c r="CB608" s="1821"/>
      <c r="CC608" s="1818">
        <f t="shared" si="5"/>
        <v>7</v>
      </c>
      <c r="CD608" s="1819"/>
      <c r="CE608" s="1819"/>
      <c r="CF608" s="1819"/>
      <c r="CG608" s="1821"/>
      <c r="CH608" s="1818">
        <f t="shared" si="6"/>
        <v>0</v>
      </c>
      <c r="CI608" s="1819"/>
      <c r="CJ608" s="1819"/>
      <c r="CK608" s="1819"/>
      <c r="CL608" s="1821"/>
      <c r="CM608" s="1818">
        <f t="shared" si="7"/>
        <v>0</v>
      </c>
      <c r="CN608" s="1819"/>
      <c r="CO608" s="1819"/>
      <c r="CP608" s="1819"/>
      <c r="CQ608" s="1821"/>
      <c r="CS608" s="2132">
        <f t="shared" si="12"/>
        <v>0</v>
      </c>
      <c r="CT608" s="2133"/>
      <c r="CU608" s="2133"/>
      <c r="CV608" s="2133"/>
      <c r="CW608" s="2134"/>
      <c r="CX608" s="2132">
        <f t="shared" si="13"/>
        <v>0</v>
      </c>
      <c r="CY608" s="2133"/>
      <c r="CZ608" s="2133"/>
      <c r="DA608" s="2133"/>
      <c r="DB608" s="2134"/>
      <c r="DC608" s="2132">
        <f t="shared" si="14"/>
        <v>0</v>
      </c>
      <c r="DD608" s="2133"/>
      <c r="DE608" s="2133"/>
      <c r="DF608" s="2133"/>
      <c r="DG608" s="2134"/>
      <c r="DH608" s="2132">
        <f t="shared" si="15"/>
        <v>0</v>
      </c>
      <c r="DI608" s="2133"/>
      <c r="DJ608" s="2133"/>
      <c r="DK608" s="2133"/>
      <c r="DL608" s="2134"/>
      <c r="DM608" s="2132">
        <f t="shared" si="16"/>
        <v>0</v>
      </c>
      <c r="DN608" s="2133"/>
      <c r="DO608" s="2133"/>
      <c r="DP608" s="2133"/>
      <c r="DQ608" s="2134"/>
      <c r="DR608" s="2132">
        <f t="shared" si="17"/>
        <v>0</v>
      </c>
      <c r="DS608" s="2133"/>
      <c r="DT608" s="2133"/>
      <c r="DU608" s="2133"/>
      <c r="DV608" s="2134"/>
    </row>
    <row r="609" spans="1:126" ht="12.75">
      <c r="A609" s="46"/>
      <c r="B609" s="16" t="s">
        <v>907</v>
      </c>
      <c r="G609" s="1664"/>
      <c r="H609" s="1664"/>
      <c r="I609" s="1664"/>
      <c r="J609" s="1664"/>
      <c r="K609" s="1664"/>
      <c r="L609" s="1664"/>
      <c r="M609" s="1664"/>
      <c r="N609" s="1664"/>
      <c r="O609" s="1664"/>
      <c r="P609" s="1664"/>
      <c r="Q609" s="1664"/>
      <c r="R609" s="1664"/>
      <c r="T609" s="46"/>
      <c r="U609" s="16" t="s">
        <v>907</v>
      </c>
      <c r="Z609" s="1676"/>
      <c r="AA609" s="1676"/>
      <c r="AB609" s="1676"/>
      <c r="AC609" s="1676"/>
      <c r="AD609" s="1676"/>
      <c r="AE609" s="1676"/>
      <c r="AF609" s="1676"/>
      <c r="AG609" s="1676"/>
      <c r="AH609" s="1676"/>
      <c r="AI609" s="1676"/>
      <c r="AJ609" s="1676"/>
      <c r="AK609" s="1676"/>
      <c r="AZ609" s="72"/>
      <c r="BA609" s="72"/>
      <c r="BB609" s="72"/>
      <c r="BC609" s="72"/>
      <c r="BD609" s="72"/>
      <c r="BE609" s="1822">
        <f t="shared" si="10"/>
        <v>0</v>
      </c>
      <c r="BF609" s="1823"/>
      <c r="BG609" s="1818">
        <f t="shared" si="8"/>
        <v>0</v>
      </c>
      <c r="BH609" s="1821"/>
      <c r="BI609" s="1822">
        <f t="shared" si="11"/>
        <v>0</v>
      </c>
      <c r="BJ609" s="1823"/>
      <c r="BK609" s="1818">
        <f t="shared" si="9"/>
        <v>0</v>
      </c>
      <c r="BL609" s="1821"/>
      <c r="BN609" s="1818">
        <f t="shared" si="2"/>
        <v>0</v>
      </c>
      <c r="BO609" s="1819"/>
      <c r="BP609" s="1819"/>
      <c r="BQ609" s="1819"/>
      <c r="BR609" s="1820"/>
      <c r="BS609" s="1818">
        <f t="shared" si="3"/>
        <v>0</v>
      </c>
      <c r="BT609" s="1819"/>
      <c r="BU609" s="1819"/>
      <c r="BV609" s="1819"/>
      <c r="BW609" s="1821"/>
      <c r="BX609" s="1818">
        <f t="shared" si="4"/>
        <v>0</v>
      </c>
      <c r="BY609" s="1819"/>
      <c r="BZ609" s="1819"/>
      <c r="CA609" s="1819"/>
      <c r="CB609" s="1821"/>
      <c r="CC609" s="1818">
        <f t="shared" si="5"/>
        <v>0</v>
      </c>
      <c r="CD609" s="1819"/>
      <c r="CE609" s="1819"/>
      <c r="CF609" s="1819"/>
      <c r="CG609" s="1821"/>
      <c r="CH609" s="1818">
        <f t="shared" si="6"/>
        <v>0</v>
      </c>
      <c r="CI609" s="1819"/>
      <c r="CJ609" s="1819"/>
      <c r="CK609" s="1819"/>
      <c r="CL609" s="1821"/>
      <c r="CM609" s="1818">
        <f t="shared" si="7"/>
        <v>0</v>
      </c>
      <c r="CN609" s="1819"/>
      <c r="CO609" s="1819"/>
      <c r="CP609" s="1819"/>
      <c r="CQ609" s="1821"/>
      <c r="CS609" s="2132">
        <f t="shared" si="12"/>
        <v>0</v>
      </c>
      <c r="CT609" s="2133"/>
      <c r="CU609" s="2133"/>
      <c r="CV609" s="2133"/>
      <c r="CW609" s="2134"/>
      <c r="CX609" s="2132">
        <f t="shared" si="13"/>
        <v>0</v>
      </c>
      <c r="CY609" s="2133"/>
      <c r="CZ609" s="2133"/>
      <c r="DA609" s="2133"/>
      <c r="DB609" s="2134"/>
      <c r="DC609" s="2132">
        <f t="shared" si="14"/>
        <v>0</v>
      </c>
      <c r="DD609" s="2133"/>
      <c r="DE609" s="2133"/>
      <c r="DF609" s="2133"/>
      <c r="DG609" s="2134"/>
      <c r="DH609" s="2132">
        <f t="shared" si="15"/>
        <v>0</v>
      </c>
      <c r="DI609" s="2133"/>
      <c r="DJ609" s="2133"/>
      <c r="DK609" s="2133"/>
      <c r="DL609" s="2134"/>
      <c r="DM609" s="2132">
        <f t="shared" si="16"/>
        <v>0</v>
      </c>
      <c r="DN609" s="2133"/>
      <c r="DO609" s="2133"/>
      <c r="DP609" s="2133"/>
      <c r="DQ609" s="2134"/>
      <c r="DR609" s="2132">
        <f t="shared" si="17"/>
        <v>0</v>
      </c>
      <c r="DS609" s="2133"/>
      <c r="DT609" s="2133"/>
      <c r="DU609" s="2133"/>
      <c r="DV609" s="2134"/>
    </row>
    <row r="610" spans="1:126" ht="12.75">
      <c r="A610" s="46"/>
      <c r="B610" s="16" t="s">
        <v>712</v>
      </c>
      <c r="G610" s="1665"/>
      <c r="H610" s="1665"/>
      <c r="I610" s="1665"/>
      <c r="J610" s="1665"/>
      <c r="K610" s="1665"/>
      <c r="L610" s="1665"/>
      <c r="O610" s="149" t="s">
        <v>892</v>
      </c>
      <c r="P610" s="1675"/>
      <c r="Q610" s="1675"/>
      <c r="R610" s="1675"/>
      <c r="T610" s="46"/>
      <c r="U610" s="16" t="s">
        <v>712</v>
      </c>
      <c r="Z610" s="1665"/>
      <c r="AA610" s="1665"/>
      <c r="AB610" s="1665"/>
      <c r="AC610" s="1665"/>
      <c r="AD610" s="1665"/>
      <c r="AE610" s="1665"/>
      <c r="AH610" s="149" t="s">
        <v>892</v>
      </c>
      <c r="AI610" s="1675"/>
      <c r="AJ610" s="1675"/>
      <c r="AK610" s="1675"/>
      <c r="AZ610" s="72"/>
      <c r="BA610" s="72"/>
      <c r="BB610" s="72"/>
      <c r="BC610" s="72"/>
      <c r="BD610" s="72"/>
      <c r="BE610" s="1822">
        <f t="shared" si="10"/>
        <v>0</v>
      </c>
      <c r="BF610" s="1823"/>
      <c r="BG610" s="1818">
        <f t="shared" si="8"/>
        <v>0</v>
      </c>
      <c r="BH610" s="1821"/>
      <c r="BI610" s="1822">
        <f t="shared" si="11"/>
        <v>0</v>
      </c>
      <c r="BJ610" s="1823"/>
      <c r="BK610" s="1818">
        <f t="shared" si="9"/>
        <v>0</v>
      </c>
      <c r="BL610" s="1821"/>
      <c r="BN610" s="1818">
        <f t="shared" si="2"/>
        <v>0</v>
      </c>
      <c r="BO610" s="1819"/>
      <c r="BP610" s="1819"/>
      <c r="BQ610" s="1819"/>
      <c r="BR610" s="1820"/>
      <c r="BS610" s="1818">
        <f t="shared" si="3"/>
        <v>0</v>
      </c>
      <c r="BT610" s="1819"/>
      <c r="BU610" s="1819"/>
      <c r="BV610" s="1819"/>
      <c r="BW610" s="1821"/>
      <c r="BX610" s="1818">
        <f t="shared" si="4"/>
        <v>0</v>
      </c>
      <c r="BY610" s="1819"/>
      <c r="BZ610" s="1819"/>
      <c r="CA610" s="1819"/>
      <c r="CB610" s="1821"/>
      <c r="CC610" s="1818">
        <f t="shared" si="5"/>
        <v>0</v>
      </c>
      <c r="CD610" s="1819"/>
      <c r="CE610" s="1819"/>
      <c r="CF610" s="1819"/>
      <c r="CG610" s="1821"/>
      <c r="CH610" s="1818">
        <f t="shared" si="6"/>
        <v>0</v>
      </c>
      <c r="CI610" s="1819"/>
      <c r="CJ610" s="1819"/>
      <c r="CK610" s="1819"/>
      <c r="CL610" s="1821"/>
      <c r="CM610" s="1818">
        <f t="shared" si="7"/>
        <v>0</v>
      </c>
      <c r="CN610" s="1819"/>
      <c r="CO610" s="1819"/>
      <c r="CP610" s="1819"/>
      <c r="CQ610" s="1821"/>
      <c r="CS610" s="2132">
        <f t="shared" si="12"/>
        <v>0</v>
      </c>
      <c r="CT610" s="2133"/>
      <c r="CU610" s="2133"/>
      <c r="CV610" s="2133"/>
      <c r="CW610" s="2134"/>
      <c r="CX610" s="2132">
        <f t="shared" si="13"/>
        <v>0</v>
      </c>
      <c r="CY610" s="2133"/>
      <c r="CZ610" s="2133"/>
      <c r="DA610" s="2133"/>
      <c r="DB610" s="2134"/>
      <c r="DC610" s="2132">
        <f t="shared" si="14"/>
        <v>0</v>
      </c>
      <c r="DD610" s="2133"/>
      <c r="DE610" s="2133"/>
      <c r="DF610" s="2133"/>
      <c r="DG610" s="2134"/>
      <c r="DH610" s="2132">
        <f t="shared" si="15"/>
        <v>0</v>
      </c>
      <c r="DI610" s="2133"/>
      <c r="DJ610" s="2133"/>
      <c r="DK610" s="2133"/>
      <c r="DL610" s="2134"/>
      <c r="DM610" s="2132">
        <f t="shared" si="16"/>
        <v>0</v>
      </c>
      <c r="DN610" s="2133"/>
      <c r="DO610" s="2133"/>
      <c r="DP610" s="2133"/>
      <c r="DQ610" s="2134"/>
      <c r="DR610" s="2132">
        <f t="shared" si="17"/>
        <v>0</v>
      </c>
      <c r="DS610" s="2133"/>
      <c r="DT610" s="2133"/>
      <c r="DU610" s="2133"/>
      <c r="DV610" s="2134"/>
    </row>
    <row r="611" spans="1:126" s="8" customFormat="1" ht="12.75">
      <c r="A611" s="46"/>
      <c r="B611" s="16" t="s">
        <v>908</v>
      </c>
      <c r="C611" s="16"/>
      <c r="D611" s="16"/>
      <c r="E611" s="16"/>
      <c r="F611" s="16"/>
      <c r="G611" s="16"/>
      <c r="H611" s="1664"/>
      <c r="I611" s="1664"/>
      <c r="J611" s="1664"/>
      <c r="K611" s="1664"/>
      <c r="L611" s="1664"/>
      <c r="M611" s="1664"/>
      <c r="N611" s="1664"/>
      <c r="O611" s="1664"/>
      <c r="P611" s="1664"/>
      <c r="Q611" s="1664"/>
      <c r="R611" s="1664"/>
      <c r="S611" s="16"/>
      <c r="T611" s="46"/>
      <c r="U611" s="16" t="s">
        <v>908</v>
      </c>
      <c r="V611" s="16"/>
      <c r="W611" s="16"/>
      <c r="X611" s="16"/>
      <c r="Y611" s="16"/>
      <c r="Z611" s="16"/>
      <c r="AA611" s="1664"/>
      <c r="AB611" s="1664"/>
      <c r="AC611" s="1664"/>
      <c r="AD611" s="1664"/>
      <c r="AE611" s="1664"/>
      <c r="AF611" s="1664"/>
      <c r="AG611" s="1664"/>
      <c r="AH611" s="1664"/>
      <c r="AI611" s="1664"/>
      <c r="AJ611" s="1664"/>
      <c r="AK611" s="1664"/>
      <c r="AL611" s="16"/>
      <c r="AZ611" s="72"/>
      <c r="BA611" s="72"/>
      <c r="BB611" s="72"/>
      <c r="BC611" s="72"/>
      <c r="BD611" s="72"/>
      <c r="BE611" s="1822">
        <f t="shared" si="10"/>
        <v>0</v>
      </c>
      <c r="BF611" s="1823"/>
      <c r="BG611" s="1818">
        <f t="shared" si="8"/>
        <v>0</v>
      </c>
      <c r="BH611" s="1821"/>
      <c r="BI611" s="1822">
        <f t="shared" si="11"/>
        <v>0</v>
      </c>
      <c r="BJ611" s="1823"/>
      <c r="BK611" s="1818">
        <f t="shared" si="9"/>
        <v>0</v>
      </c>
      <c r="BL611" s="1821"/>
      <c r="BN611" s="1818">
        <f t="shared" si="2"/>
        <v>0</v>
      </c>
      <c r="BO611" s="1819"/>
      <c r="BP611" s="1819"/>
      <c r="BQ611" s="1819"/>
      <c r="BR611" s="1820"/>
      <c r="BS611" s="1818">
        <f t="shared" si="3"/>
        <v>0</v>
      </c>
      <c r="BT611" s="1819"/>
      <c r="BU611" s="1819"/>
      <c r="BV611" s="1819"/>
      <c r="BW611" s="1821"/>
      <c r="BX611" s="1818">
        <f t="shared" si="4"/>
        <v>0</v>
      </c>
      <c r="BY611" s="1819"/>
      <c r="BZ611" s="1819"/>
      <c r="CA611" s="1819"/>
      <c r="CB611" s="1821"/>
      <c r="CC611" s="1818">
        <f t="shared" si="5"/>
        <v>0</v>
      </c>
      <c r="CD611" s="1819"/>
      <c r="CE611" s="1819"/>
      <c r="CF611" s="1819"/>
      <c r="CG611" s="1821"/>
      <c r="CH611" s="1818">
        <f t="shared" si="6"/>
        <v>0</v>
      </c>
      <c r="CI611" s="1819"/>
      <c r="CJ611" s="1819"/>
      <c r="CK611" s="1819"/>
      <c r="CL611" s="1821"/>
      <c r="CM611" s="1818">
        <f t="shared" si="7"/>
        <v>0</v>
      </c>
      <c r="CN611" s="1819"/>
      <c r="CO611" s="1819"/>
      <c r="CP611" s="1819"/>
      <c r="CQ611" s="1821"/>
      <c r="CS611" s="2132">
        <f t="shared" si="12"/>
        <v>0</v>
      </c>
      <c r="CT611" s="2133"/>
      <c r="CU611" s="2133"/>
      <c r="CV611" s="2133"/>
      <c r="CW611" s="2134"/>
      <c r="CX611" s="2132">
        <f t="shared" si="13"/>
        <v>0</v>
      </c>
      <c r="CY611" s="2133"/>
      <c r="CZ611" s="2133"/>
      <c r="DA611" s="2133"/>
      <c r="DB611" s="2134"/>
      <c r="DC611" s="2132">
        <f t="shared" si="14"/>
        <v>0</v>
      </c>
      <c r="DD611" s="2133"/>
      <c r="DE611" s="2133"/>
      <c r="DF611" s="2133"/>
      <c r="DG611" s="2134"/>
      <c r="DH611" s="2132">
        <f t="shared" si="15"/>
        <v>0</v>
      </c>
      <c r="DI611" s="2133"/>
      <c r="DJ611" s="2133"/>
      <c r="DK611" s="2133"/>
      <c r="DL611" s="2134"/>
      <c r="DM611" s="2132">
        <f t="shared" si="16"/>
        <v>0</v>
      </c>
      <c r="DN611" s="2133"/>
      <c r="DO611" s="2133"/>
      <c r="DP611" s="2133"/>
      <c r="DQ611" s="2134"/>
      <c r="DR611" s="2132">
        <f t="shared" si="17"/>
        <v>0</v>
      </c>
      <c r="DS611" s="2133"/>
      <c r="DT611" s="2133"/>
      <c r="DU611" s="2133"/>
      <c r="DV611" s="2134"/>
    </row>
    <row r="612" spans="1:126" s="8" customFormat="1" ht="12.75">
      <c r="A612" s="46"/>
      <c r="B612" s="16" t="s">
        <v>910</v>
      </c>
      <c r="C612" s="16"/>
      <c r="D612" s="16"/>
      <c r="E612" s="16"/>
      <c r="F612" s="16"/>
      <c r="G612" s="16"/>
      <c r="H612" s="16"/>
      <c r="I612" s="16"/>
      <c r="J612" s="16"/>
      <c r="K612" s="16"/>
      <c r="L612" s="16"/>
      <c r="M612" s="16"/>
      <c r="N612" s="1752" t="s">
        <v>528</v>
      </c>
      <c r="O612" s="1752"/>
      <c r="P612" s="16"/>
      <c r="Q612" s="16"/>
      <c r="R612" s="16"/>
      <c r="S612" s="16"/>
      <c r="T612" s="46"/>
      <c r="U612" s="16" t="s">
        <v>910</v>
      </c>
      <c r="V612" s="16"/>
      <c r="W612" s="16"/>
      <c r="X612" s="16"/>
      <c r="Y612" s="16"/>
      <c r="Z612" s="16"/>
      <c r="AA612" s="16"/>
      <c r="AB612" s="16"/>
      <c r="AC612" s="16"/>
      <c r="AD612" s="16"/>
      <c r="AE612" s="16"/>
      <c r="AF612" s="16"/>
      <c r="AG612" s="1752" t="s">
        <v>528</v>
      </c>
      <c r="AH612" s="1752"/>
      <c r="AI612" s="16"/>
      <c r="AJ612" s="16"/>
      <c r="AK612" s="16"/>
      <c r="AL612" s="16"/>
      <c r="AZ612" s="72"/>
      <c r="BA612" s="72"/>
      <c r="BB612" s="72"/>
      <c r="BC612" s="72"/>
      <c r="BD612" s="72"/>
      <c r="BE612" s="1822">
        <f t="shared" si="10"/>
        <v>0</v>
      </c>
      <c r="BF612" s="1823"/>
      <c r="BG612" s="1818">
        <f t="shared" si="8"/>
        <v>0</v>
      </c>
      <c r="BH612" s="1821"/>
      <c r="BI612" s="1822">
        <f t="shared" si="11"/>
        <v>0</v>
      </c>
      <c r="BJ612" s="1823"/>
      <c r="BK612" s="1818">
        <f t="shared" si="9"/>
        <v>0</v>
      </c>
      <c r="BL612" s="1821"/>
      <c r="BN612" s="1818">
        <f t="shared" si="2"/>
        <v>0</v>
      </c>
      <c r="BO612" s="1819"/>
      <c r="BP612" s="1819"/>
      <c r="BQ612" s="1819"/>
      <c r="BR612" s="1820"/>
      <c r="BS612" s="1818">
        <f t="shared" si="3"/>
        <v>0</v>
      </c>
      <c r="BT612" s="1819"/>
      <c r="BU612" s="1819"/>
      <c r="BV612" s="1819"/>
      <c r="BW612" s="1821"/>
      <c r="BX612" s="1818">
        <f t="shared" si="4"/>
        <v>0</v>
      </c>
      <c r="BY612" s="1819"/>
      <c r="BZ612" s="1819"/>
      <c r="CA612" s="1819"/>
      <c r="CB612" s="1821"/>
      <c r="CC612" s="1818">
        <f t="shared" si="5"/>
        <v>0</v>
      </c>
      <c r="CD612" s="1819"/>
      <c r="CE612" s="1819"/>
      <c r="CF612" s="1819"/>
      <c r="CG612" s="1821"/>
      <c r="CH612" s="1818">
        <f t="shared" si="6"/>
        <v>0</v>
      </c>
      <c r="CI612" s="1819"/>
      <c r="CJ612" s="1819"/>
      <c r="CK612" s="1819"/>
      <c r="CL612" s="1821"/>
      <c r="CM612" s="1818">
        <f t="shared" si="7"/>
        <v>0</v>
      </c>
      <c r="CN612" s="1819"/>
      <c r="CO612" s="1819"/>
      <c r="CP612" s="1819"/>
      <c r="CQ612" s="1821"/>
      <c r="CS612" s="2132">
        <f t="shared" si="12"/>
        <v>0</v>
      </c>
      <c r="CT612" s="2133"/>
      <c r="CU612" s="2133"/>
      <c r="CV612" s="2133"/>
      <c r="CW612" s="2134"/>
      <c r="CX612" s="2132">
        <f t="shared" si="13"/>
        <v>0</v>
      </c>
      <c r="CY612" s="2133"/>
      <c r="CZ612" s="2133"/>
      <c r="DA612" s="2133"/>
      <c r="DB612" s="2134"/>
      <c r="DC612" s="2132">
        <f t="shared" si="14"/>
        <v>0</v>
      </c>
      <c r="DD612" s="2133"/>
      <c r="DE612" s="2133"/>
      <c r="DF612" s="2133"/>
      <c r="DG612" s="2134"/>
      <c r="DH612" s="2132">
        <f t="shared" si="15"/>
        <v>0</v>
      </c>
      <c r="DI612" s="2133"/>
      <c r="DJ612" s="2133"/>
      <c r="DK612" s="2133"/>
      <c r="DL612" s="2134"/>
      <c r="DM612" s="2132">
        <f t="shared" si="16"/>
        <v>0</v>
      </c>
      <c r="DN612" s="2133"/>
      <c r="DO612" s="2133"/>
      <c r="DP612" s="2133"/>
      <c r="DQ612" s="2134"/>
      <c r="DR612" s="2132">
        <f t="shared" si="17"/>
        <v>0</v>
      </c>
      <c r="DS612" s="2133"/>
      <c r="DT612" s="2133"/>
      <c r="DU612" s="2133"/>
      <c r="DV612" s="213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22">
        <f t="shared" si="10"/>
        <v>0</v>
      </c>
      <c r="BF613" s="1823"/>
      <c r="BG613" s="1818">
        <f t="shared" si="8"/>
        <v>0</v>
      </c>
      <c r="BH613" s="1821"/>
      <c r="BI613" s="1822">
        <f t="shared" si="11"/>
        <v>0</v>
      </c>
      <c r="BJ613" s="1823"/>
      <c r="BK613" s="1818">
        <f t="shared" si="9"/>
        <v>0</v>
      </c>
      <c r="BL613" s="1821"/>
      <c r="BN613" s="1818">
        <f t="shared" si="2"/>
        <v>0</v>
      </c>
      <c r="BO613" s="1819"/>
      <c r="BP613" s="1819"/>
      <c r="BQ613" s="1819"/>
      <c r="BR613" s="1820"/>
      <c r="BS613" s="1818">
        <f t="shared" si="3"/>
        <v>0</v>
      </c>
      <c r="BT613" s="1819"/>
      <c r="BU613" s="1819"/>
      <c r="BV613" s="1819"/>
      <c r="BW613" s="1821"/>
      <c r="BX613" s="1818">
        <f t="shared" si="4"/>
        <v>0</v>
      </c>
      <c r="BY613" s="1819"/>
      <c r="BZ613" s="1819"/>
      <c r="CA613" s="1819"/>
      <c r="CB613" s="1821"/>
      <c r="CC613" s="1818">
        <f t="shared" si="5"/>
        <v>0</v>
      </c>
      <c r="CD613" s="1819"/>
      <c r="CE613" s="1819"/>
      <c r="CF613" s="1819"/>
      <c r="CG613" s="1821"/>
      <c r="CH613" s="1818">
        <f t="shared" si="6"/>
        <v>0</v>
      </c>
      <c r="CI613" s="1819"/>
      <c r="CJ613" s="1819"/>
      <c r="CK613" s="1819"/>
      <c r="CL613" s="1821"/>
      <c r="CM613" s="1818">
        <f t="shared" si="7"/>
        <v>0</v>
      </c>
      <c r="CN613" s="1819"/>
      <c r="CO613" s="1819"/>
      <c r="CP613" s="1819"/>
      <c r="CQ613" s="1821"/>
      <c r="CS613" s="2132">
        <f t="shared" si="12"/>
        <v>0</v>
      </c>
      <c r="CT613" s="2133"/>
      <c r="CU613" s="2133"/>
      <c r="CV613" s="2133"/>
      <c r="CW613" s="2134"/>
      <c r="CX613" s="2132">
        <f t="shared" si="13"/>
        <v>0</v>
      </c>
      <c r="CY613" s="2133"/>
      <c r="CZ613" s="2133"/>
      <c r="DA613" s="2133"/>
      <c r="DB613" s="2134"/>
      <c r="DC613" s="2132">
        <f t="shared" si="14"/>
        <v>0</v>
      </c>
      <c r="DD613" s="2133"/>
      <c r="DE613" s="2133"/>
      <c r="DF613" s="2133"/>
      <c r="DG613" s="2134"/>
      <c r="DH613" s="2132">
        <f t="shared" si="15"/>
        <v>0</v>
      </c>
      <c r="DI613" s="2133"/>
      <c r="DJ613" s="2133"/>
      <c r="DK613" s="2133"/>
      <c r="DL613" s="2134"/>
      <c r="DM613" s="2132">
        <f t="shared" si="16"/>
        <v>0</v>
      </c>
      <c r="DN613" s="2133"/>
      <c r="DO613" s="2133"/>
      <c r="DP613" s="2133"/>
      <c r="DQ613" s="2134"/>
      <c r="DR613" s="2132">
        <f t="shared" si="17"/>
        <v>0</v>
      </c>
      <c r="DS613" s="2133"/>
      <c r="DT613" s="2133"/>
      <c r="DU613" s="2133"/>
      <c r="DV613" s="2134"/>
    </row>
    <row r="614" spans="1:126" ht="12.75">
      <c r="A614" s="101" t="s">
        <v>37</v>
      </c>
      <c r="B614" s="16" t="s">
        <v>93</v>
      </c>
      <c r="G614" s="1663">
        <f>C570</f>
        <v>0</v>
      </c>
      <c r="H614" s="1663"/>
      <c r="I614" s="1663"/>
      <c r="J614" s="1663"/>
      <c r="K614" s="1663"/>
      <c r="L614" s="1663"/>
      <c r="M614" s="1663"/>
      <c r="N614" s="1663"/>
      <c r="O614" s="1663"/>
      <c r="P614" s="1663"/>
      <c r="Q614" s="1663"/>
      <c r="R614" s="1663"/>
      <c r="T614" s="101" t="s">
        <v>38</v>
      </c>
      <c r="U614" s="16" t="s">
        <v>93</v>
      </c>
      <c r="Z614" s="1663">
        <f>C571</f>
        <v>0</v>
      </c>
      <c r="AA614" s="1663"/>
      <c r="AB614" s="1663"/>
      <c r="AC614" s="1663"/>
      <c r="AD614" s="1663"/>
      <c r="AE614" s="1663"/>
      <c r="AF614" s="1663"/>
      <c r="AG614" s="1663"/>
      <c r="AH614" s="1663"/>
      <c r="AI614" s="1663"/>
      <c r="AJ614" s="1663"/>
      <c r="AK614" s="1663"/>
      <c r="AZ614" s="72"/>
      <c r="BA614" s="72"/>
      <c r="BB614" s="72"/>
      <c r="BC614" s="72"/>
      <c r="BD614" s="72"/>
      <c r="BE614" s="1822">
        <f t="shared" si="10"/>
        <v>0</v>
      </c>
      <c r="BF614" s="1823"/>
      <c r="BG614" s="1818">
        <f t="shared" si="8"/>
        <v>0</v>
      </c>
      <c r="BH614" s="1821"/>
      <c r="BI614" s="1822">
        <f t="shared" si="11"/>
        <v>0</v>
      </c>
      <c r="BJ614" s="1823"/>
      <c r="BK614" s="1818">
        <f t="shared" si="9"/>
        <v>0</v>
      </c>
      <c r="BL614" s="1821"/>
      <c r="BN614" s="1818">
        <f t="shared" si="2"/>
        <v>0</v>
      </c>
      <c r="BO614" s="1819"/>
      <c r="BP614" s="1819"/>
      <c r="BQ614" s="1819"/>
      <c r="BR614" s="1820"/>
      <c r="BS614" s="1818">
        <f t="shared" si="3"/>
        <v>0</v>
      </c>
      <c r="BT614" s="1819"/>
      <c r="BU614" s="1819"/>
      <c r="BV614" s="1819"/>
      <c r="BW614" s="1821"/>
      <c r="BX614" s="1818">
        <f t="shared" si="4"/>
        <v>0</v>
      </c>
      <c r="BY614" s="1819"/>
      <c r="BZ614" s="1819"/>
      <c r="CA614" s="1819"/>
      <c r="CB614" s="1821"/>
      <c r="CC614" s="1818">
        <f t="shared" si="5"/>
        <v>0</v>
      </c>
      <c r="CD614" s="1819"/>
      <c r="CE614" s="1819"/>
      <c r="CF614" s="1819"/>
      <c r="CG614" s="1821"/>
      <c r="CH614" s="1818">
        <f t="shared" si="6"/>
        <v>0</v>
      </c>
      <c r="CI614" s="1819"/>
      <c r="CJ614" s="1819"/>
      <c r="CK614" s="1819"/>
      <c r="CL614" s="1821"/>
      <c r="CM614" s="1818">
        <f t="shared" si="7"/>
        <v>0</v>
      </c>
      <c r="CN614" s="1819"/>
      <c r="CO614" s="1819"/>
      <c r="CP614" s="1819"/>
      <c r="CQ614" s="1821"/>
      <c r="CS614" s="2132">
        <f t="shared" si="12"/>
        <v>0</v>
      </c>
      <c r="CT614" s="2133"/>
      <c r="CU614" s="2133"/>
      <c r="CV614" s="2133"/>
      <c r="CW614" s="2134"/>
      <c r="CX614" s="2132">
        <f t="shared" si="13"/>
        <v>0</v>
      </c>
      <c r="CY614" s="2133"/>
      <c r="CZ614" s="2133"/>
      <c r="DA614" s="2133"/>
      <c r="DB614" s="2134"/>
      <c r="DC614" s="2132">
        <f t="shared" si="14"/>
        <v>0</v>
      </c>
      <c r="DD614" s="2133"/>
      <c r="DE614" s="2133"/>
      <c r="DF614" s="2133"/>
      <c r="DG614" s="2134"/>
      <c r="DH614" s="2132">
        <f t="shared" si="15"/>
        <v>0</v>
      </c>
      <c r="DI614" s="2133"/>
      <c r="DJ614" s="2133"/>
      <c r="DK614" s="2133"/>
      <c r="DL614" s="2134"/>
      <c r="DM614" s="2132">
        <f t="shared" si="16"/>
        <v>0</v>
      </c>
      <c r="DN614" s="2133"/>
      <c r="DO614" s="2133"/>
      <c r="DP614" s="2133"/>
      <c r="DQ614" s="2134"/>
      <c r="DR614" s="2132">
        <f t="shared" si="17"/>
        <v>0</v>
      </c>
      <c r="DS614" s="2133"/>
      <c r="DT614" s="2133"/>
      <c r="DU614" s="2133"/>
      <c r="DV614" s="2134"/>
    </row>
    <row r="615" spans="1:126" ht="12.75">
      <c r="B615" s="16" t="s">
        <v>413</v>
      </c>
      <c r="G615" s="1664"/>
      <c r="H615" s="1664"/>
      <c r="I615" s="1664"/>
      <c r="J615" s="1664"/>
      <c r="K615" s="1664"/>
      <c r="L615" s="1664"/>
      <c r="M615" s="1664"/>
      <c r="N615" s="1664"/>
      <c r="O615" s="1664"/>
      <c r="P615" s="1664"/>
      <c r="Q615" s="1664"/>
      <c r="R615" s="1664"/>
      <c r="U615" s="16" t="s">
        <v>413</v>
      </c>
      <c r="Z615" s="1664"/>
      <c r="AA615" s="1664"/>
      <c r="AB615" s="1664"/>
      <c r="AC615" s="1664"/>
      <c r="AD615" s="1664"/>
      <c r="AE615" s="1664"/>
      <c r="AF615" s="1664"/>
      <c r="AG615" s="1664"/>
      <c r="AH615" s="1664"/>
      <c r="AI615" s="1664"/>
      <c r="AJ615" s="1664"/>
      <c r="AK615" s="1664"/>
      <c r="AL615" s="35"/>
      <c r="AZ615" s="72"/>
      <c r="BA615" s="72"/>
      <c r="BB615" s="72"/>
      <c r="BC615" s="72"/>
      <c r="BD615" s="72"/>
      <c r="BE615" s="1822">
        <f t="shared" si="10"/>
        <v>0</v>
      </c>
      <c r="BF615" s="1823"/>
      <c r="BG615" s="1818">
        <f t="shared" si="8"/>
        <v>0</v>
      </c>
      <c r="BH615" s="1821"/>
      <c r="BI615" s="1822">
        <f t="shared" si="11"/>
        <v>0</v>
      </c>
      <c r="BJ615" s="1823"/>
      <c r="BK615" s="1818">
        <f t="shared" si="9"/>
        <v>0</v>
      </c>
      <c r="BL615" s="1821"/>
      <c r="BN615" s="1818">
        <f t="shared" si="2"/>
        <v>0</v>
      </c>
      <c r="BO615" s="1819"/>
      <c r="BP615" s="1819"/>
      <c r="BQ615" s="1819"/>
      <c r="BR615" s="1820"/>
      <c r="BS615" s="1818">
        <f t="shared" si="3"/>
        <v>0</v>
      </c>
      <c r="BT615" s="1819"/>
      <c r="BU615" s="1819"/>
      <c r="BV615" s="1819"/>
      <c r="BW615" s="1821"/>
      <c r="BX615" s="1818">
        <f t="shared" si="4"/>
        <v>0</v>
      </c>
      <c r="BY615" s="1819"/>
      <c r="BZ615" s="1819"/>
      <c r="CA615" s="1819"/>
      <c r="CB615" s="1821"/>
      <c r="CC615" s="1818">
        <f t="shared" si="5"/>
        <v>0</v>
      </c>
      <c r="CD615" s="1819"/>
      <c r="CE615" s="1819"/>
      <c r="CF615" s="1819"/>
      <c r="CG615" s="1821"/>
      <c r="CH615" s="1818">
        <f t="shared" si="6"/>
        <v>0</v>
      </c>
      <c r="CI615" s="1819"/>
      <c r="CJ615" s="1819"/>
      <c r="CK615" s="1819"/>
      <c r="CL615" s="1821"/>
      <c r="CM615" s="1818">
        <f t="shared" si="7"/>
        <v>0</v>
      </c>
      <c r="CN615" s="1819"/>
      <c r="CO615" s="1819"/>
      <c r="CP615" s="1819"/>
      <c r="CQ615" s="1821"/>
      <c r="CS615" s="2132">
        <f t="shared" si="12"/>
        <v>0</v>
      </c>
      <c r="CT615" s="2133"/>
      <c r="CU615" s="2133"/>
      <c r="CV615" s="2133"/>
      <c r="CW615" s="2134"/>
      <c r="CX615" s="2132">
        <f t="shared" si="13"/>
        <v>0</v>
      </c>
      <c r="CY615" s="2133"/>
      <c r="CZ615" s="2133"/>
      <c r="DA615" s="2133"/>
      <c r="DB615" s="2134"/>
      <c r="DC615" s="2132">
        <f t="shared" si="14"/>
        <v>0</v>
      </c>
      <c r="DD615" s="2133"/>
      <c r="DE615" s="2133"/>
      <c r="DF615" s="2133"/>
      <c r="DG615" s="2134"/>
      <c r="DH615" s="2132">
        <f t="shared" si="15"/>
        <v>0</v>
      </c>
      <c r="DI615" s="2133"/>
      <c r="DJ615" s="2133"/>
      <c r="DK615" s="2133"/>
      <c r="DL615" s="2134"/>
      <c r="DM615" s="2132">
        <f t="shared" si="16"/>
        <v>0</v>
      </c>
      <c r="DN615" s="2133"/>
      <c r="DO615" s="2133"/>
      <c r="DP615" s="2133"/>
      <c r="DQ615" s="2134"/>
      <c r="DR615" s="2132">
        <f t="shared" si="17"/>
        <v>0</v>
      </c>
      <c r="DS615" s="2133"/>
      <c r="DT615" s="2133"/>
      <c r="DU615" s="2133"/>
      <c r="DV615" s="2134"/>
    </row>
    <row r="616" spans="1:126" ht="12.75">
      <c r="B616" s="16" t="s">
        <v>476</v>
      </c>
      <c r="G616" s="1664"/>
      <c r="H616" s="1664"/>
      <c r="I616" s="1664"/>
      <c r="J616" s="1664"/>
      <c r="K616" s="1664"/>
      <c r="L616" s="1664"/>
      <c r="M616" s="1664"/>
      <c r="N616" s="1664"/>
      <c r="O616" s="1664"/>
      <c r="P616" s="1664"/>
      <c r="Q616" s="1664"/>
      <c r="R616" s="1664"/>
      <c r="U616" s="16" t="s">
        <v>476</v>
      </c>
      <c r="Z616" s="1676"/>
      <c r="AA616" s="1676"/>
      <c r="AB616" s="1676"/>
      <c r="AC616" s="1676"/>
      <c r="AD616" s="1676"/>
      <c r="AE616" s="1676"/>
      <c r="AF616" s="1676"/>
      <c r="AG616" s="1676"/>
      <c r="AH616" s="1676"/>
      <c r="AI616" s="1676"/>
      <c r="AJ616" s="1676"/>
      <c r="AK616" s="1676"/>
      <c r="AL616" s="471"/>
      <c r="BA616" s="72"/>
      <c r="BB616" s="72"/>
      <c r="BC616" s="72"/>
      <c r="BD616" s="72"/>
      <c r="BE616" s="1822">
        <f t="shared" si="10"/>
        <v>0</v>
      </c>
      <c r="BF616" s="1823"/>
      <c r="BG616" s="1818">
        <f t="shared" si="8"/>
        <v>0</v>
      </c>
      <c r="BH616" s="1821"/>
      <c r="BI616" s="1822">
        <f t="shared" si="11"/>
        <v>0</v>
      </c>
      <c r="BJ616" s="1823"/>
      <c r="BK616" s="1818">
        <f t="shared" si="9"/>
        <v>0</v>
      </c>
      <c r="BL616" s="1821"/>
      <c r="BN616" s="1818">
        <f t="shared" si="2"/>
        <v>0</v>
      </c>
      <c r="BO616" s="1819"/>
      <c r="BP616" s="1819"/>
      <c r="BQ616" s="1819"/>
      <c r="BR616" s="1820"/>
      <c r="BS616" s="1818">
        <f t="shared" si="3"/>
        <v>0</v>
      </c>
      <c r="BT616" s="1819"/>
      <c r="BU616" s="1819"/>
      <c r="BV616" s="1819"/>
      <c r="BW616" s="1821"/>
      <c r="BX616" s="1818">
        <f t="shared" si="4"/>
        <v>0</v>
      </c>
      <c r="BY616" s="1819"/>
      <c r="BZ616" s="1819"/>
      <c r="CA616" s="1819"/>
      <c r="CB616" s="1821"/>
      <c r="CC616" s="1818">
        <f t="shared" si="5"/>
        <v>0</v>
      </c>
      <c r="CD616" s="1819"/>
      <c r="CE616" s="1819"/>
      <c r="CF616" s="1819"/>
      <c r="CG616" s="1821"/>
      <c r="CH616" s="1818">
        <f t="shared" si="6"/>
        <v>0</v>
      </c>
      <c r="CI616" s="1819"/>
      <c r="CJ616" s="1819"/>
      <c r="CK616" s="1819"/>
      <c r="CL616" s="1821"/>
      <c r="CM616" s="1818">
        <f t="shared" si="7"/>
        <v>0</v>
      </c>
      <c r="CN616" s="1819"/>
      <c r="CO616" s="1819"/>
      <c r="CP616" s="1819"/>
      <c r="CQ616" s="1821"/>
      <c r="CS616" s="2132">
        <f t="shared" si="12"/>
        <v>0</v>
      </c>
      <c r="CT616" s="2133"/>
      <c r="CU616" s="2133"/>
      <c r="CV616" s="2133"/>
      <c r="CW616" s="2134"/>
      <c r="CX616" s="2132">
        <f t="shared" si="13"/>
        <v>0</v>
      </c>
      <c r="CY616" s="2133"/>
      <c r="CZ616" s="2133"/>
      <c r="DA616" s="2133"/>
      <c r="DB616" s="2134"/>
      <c r="DC616" s="2132">
        <f t="shared" si="14"/>
        <v>0</v>
      </c>
      <c r="DD616" s="2133"/>
      <c r="DE616" s="2133"/>
      <c r="DF616" s="2133"/>
      <c r="DG616" s="2134"/>
      <c r="DH616" s="2132">
        <f t="shared" si="15"/>
        <v>0</v>
      </c>
      <c r="DI616" s="2133"/>
      <c r="DJ616" s="2133"/>
      <c r="DK616" s="2133"/>
      <c r="DL616" s="2134"/>
      <c r="DM616" s="2132">
        <f t="shared" si="16"/>
        <v>0</v>
      </c>
      <c r="DN616" s="2133"/>
      <c r="DO616" s="2133"/>
      <c r="DP616" s="2133"/>
      <c r="DQ616" s="2134"/>
      <c r="DR616" s="2132">
        <f t="shared" si="17"/>
        <v>0</v>
      </c>
      <c r="DS616" s="2133"/>
      <c r="DT616" s="2133"/>
      <c r="DU616" s="2133"/>
      <c r="DV616" s="2134"/>
    </row>
    <row r="617" spans="1:126" ht="12.75">
      <c r="B617" s="16" t="s">
        <v>907</v>
      </c>
      <c r="G617" s="1664"/>
      <c r="H617" s="1664"/>
      <c r="I617" s="1664"/>
      <c r="J617" s="1664"/>
      <c r="K617" s="1664"/>
      <c r="L617" s="1664"/>
      <c r="M617" s="1664"/>
      <c r="N617" s="1664"/>
      <c r="O617" s="1664"/>
      <c r="P617" s="1664"/>
      <c r="Q617" s="1664"/>
      <c r="R617" s="1664"/>
      <c r="U617" s="16" t="s">
        <v>907</v>
      </c>
      <c r="Z617" s="1676"/>
      <c r="AA617" s="1676"/>
      <c r="AB617" s="1676"/>
      <c r="AC617" s="1676"/>
      <c r="AD617" s="1676"/>
      <c r="AE617" s="1676"/>
      <c r="AF617" s="1676"/>
      <c r="AG617" s="1676"/>
      <c r="AH617" s="1676"/>
      <c r="AI617" s="1676"/>
      <c r="AJ617" s="1676"/>
      <c r="AK617" s="1676"/>
      <c r="AL617" s="471"/>
      <c r="BA617" s="72"/>
      <c r="BB617" s="72"/>
      <c r="BC617" s="72"/>
      <c r="BD617" s="72"/>
      <c r="BE617" s="1822">
        <f t="shared" si="10"/>
        <v>0</v>
      </c>
      <c r="BF617" s="1823"/>
      <c r="BG617" s="1818">
        <f t="shared" si="8"/>
        <v>0</v>
      </c>
      <c r="BH617" s="1821"/>
      <c r="BI617" s="1822">
        <f t="shared" si="11"/>
        <v>0</v>
      </c>
      <c r="BJ617" s="1823"/>
      <c r="BK617" s="1818">
        <f t="shared" si="9"/>
        <v>0</v>
      </c>
      <c r="BL617" s="1821"/>
      <c r="BN617" s="1818">
        <f t="shared" si="2"/>
        <v>0</v>
      </c>
      <c r="BO617" s="1819"/>
      <c r="BP617" s="1819"/>
      <c r="BQ617" s="1819"/>
      <c r="BR617" s="1820"/>
      <c r="BS617" s="1818">
        <f t="shared" si="3"/>
        <v>0</v>
      </c>
      <c r="BT617" s="1819"/>
      <c r="BU617" s="1819"/>
      <c r="BV617" s="1819"/>
      <c r="BW617" s="1821"/>
      <c r="BX617" s="1818">
        <f t="shared" si="4"/>
        <v>0</v>
      </c>
      <c r="BY617" s="1819"/>
      <c r="BZ617" s="1819"/>
      <c r="CA617" s="1819"/>
      <c r="CB617" s="1821"/>
      <c r="CC617" s="1818">
        <f t="shared" si="5"/>
        <v>0</v>
      </c>
      <c r="CD617" s="1819"/>
      <c r="CE617" s="1819"/>
      <c r="CF617" s="1819"/>
      <c r="CG617" s="1821"/>
      <c r="CH617" s="1818">
        <f t="shared" si="6"/>
        <v>0</v>
      </c>
      <c r="CI617" s="1819"/>
      <c r="CJ617" s="1819"/>
      <c r="CK617" s="1819"/>
      <c r="CL617" s="1821"/>
      <c r="CM617" s="1818">
        <f t="shared" si="7"/>
        <v>0</v>
      </c>
      <c r="CN617" s="1819"/>
      <c r="CO617" s="1819"/>
      <c r="CP617" s="1819"/>
      <c r="CQ617" s="1821"/>
      <c r="CS617" s="2132">
        <f t="shared" si="12"/>
        <v>0</v>
      </c>
      <c r="CT617" s="2133"/>
      <c r="CU617" s="2133"/>
      <c r="CV617" s="2133"/>
      <c r="CW617" s="2134"/>
      <c r="CX617" s="2132">
        <f t="shared" si="13"/>
        <v>0</v>
      </c>
      <c r="CY617" s="2133"/>
      <c r="CZ617" s="2133"/>
      <c r="DA617" s="2133"/>
      <c r="DB617" s="2134"/>
      <c r="DC617" s="2132">
        <f t="shared" si="14"/>
        <v>0</v>
      </c>
      <c r="DD617" s="2133"/>
      <c r="DE617" s="2133"/>
      <c r="DF617" s="2133"/>
      <c r="DG617" s="2134"/>
      <c r="DH617" s="2132">
        <f t="shared" si="15"/>
        <v>0</v>
      </c>
      <c r="DI617" s="2133"/>
      <c r="DJ617" s="2133"/>
      <c r="DK617" s="2133"/>
      <c r="DL617" s="2134"/>
      <c r="DM617" s="2132">
        <f t="shared" si="16"/>
        <v>0</v>
      </c>
      <c r="DN617" s="2133"/>
      <c r="DO617" s="2133"/>
      <c r="DP617" s="2133"/>
      <c r="DQ617" s="2134"/>
      <c r="DR617" s="2132">
        <f t="shared" si="17"/>
        <v>0</v>
      </c>
      <c r="DS617" s="2133"/>
      <c r="DT617" s="2133"/>
      <c r="DU617" s="2133"/>
      <c r="DV617" s="2134"/>
    </row>
    <row r="618" spans="1:126" ht="12.75">
      <c r="B618" s="16" t="s">
        <v>712</v>
      </c>
      <c r="G618" s="1665"/>
      <c r="H618" s="1665"/>
      <c r="I618" s="1665"/>
      <c r="J618" s="1665"/>
      <c r="K618" s="1665"/>
      <c r="L618" s="1665"/>
      <c r="O618" s="149" t="s">
        <v>892</v>
      </c>
      <c r="P618" s="1675"/>
      <c r="Q618" s="1675"/>
      <c r="R618" s="1675"/>
      <c r="U618" s="16" t="s">
        <v>712</v>
      </c>
      <c r="Z618" s="1665"/>
      <c r="AA618" s="1665"/>
      <c r="AB618" s="1665"/>
      <c r="AC618" s="1665"/>
      <c r="AD618" s="1665"/>
      <c r="AE618" s="1665"/>
      <c r="AH618" s="149" t="s">
        <v>892</v>
      </c>
      <c r="AI618" s="1675"/>
      <c r="AJ618" s="1675"/>
      <c r="AK618" s="1675"/>
      <c r="AL618" s="3"/>
      <c r="AZ618" s="72"/>
      <c r="BA618" s="72"/>
      <c r="BB618" s="72"/>
      <c r="BC618" s="72"/>
      <c r="BD618" s="72"/>
      <c r="BE618" s="1822">
        <f t="shared" si="10"/>
        <v>0</v>
      </c>
      <c r="BF618" s="1823"/>
      <c r="BG618" s="1818">
        <f t="shared" si="8"/>
        <v>0</v>
      </c>
      <c r="BH618" s="1821"/>
      <c r="BI618" s="1822">
        <f t="shared" si="11"/>
        <v>0</v>
      </c>
      <c r="BJ618" s="1823"/>
      <c r="BK618" s="1818">
        <f t="shared" si="9"/>
        <v>0</v>
      </c>
      <c r="BL618" s="1821"/>
      <c r="BN618" s="1818">
        <f t="shared" si="2"/>
        <v>0</v>
      </c>
      <c r="BO618" s="1819"/>
      <c r="BP618" s="1819"/>
      <c r="BQ618" s="1819"/>
      <c r="BR618" s="1820"/>
      <c r="BS618" s="1818">
        <f t="shared" si="3"/>
        <v>0</v>
      </c>
      <c r="BT618" s="1819"/>
      <c r="BU618" s="1819"/>
      <c r="BV618" s="1819"/>
      <c r="BW618" s="1821"/>
      <c r="BX618" s="1818">
        <f t="shared" si="4"/>
        <v>0</v>
      </c>
      <c r="BY618" s="1819"/>
      <c r="BZ618" s="1819"/>
      <c r="CA618" s="1819"/>
      <c r="CB618" s="1821"/>
      <c r="CC618" s="1818">
        <f t="shared" si="5"/>
        <v>0</v>
      </c>
      <c r="CD618" s="1819"/>
      <c r="CE618" s="1819"/>
      <c r="CF618" s="1819"/>
      <c r="CG618" s="1821"/>
      <c r="CH618" s="1818">
        <f t="shared" si="6"/>
        <v>0</v>
      </c>
      <c r="CI618" s="1819"/>
      <c r="CJ618" s="1819"/>
      <c r="CK618" s="1819"/>
      <c r="CL618" s="1821"/>
      <c r="CM618" s="1818">
        <f t="shared" si="7"/>
        <v>0</v>
      </c>
      <c r="CN618" s="1819"/>
      <c r="CO618" s="1819"/>
      <c r="CP618" s="1819"/>
      <c r="CQ618" s="1821"/>
      <c r="CS618" s="2132">
        <f t="shared" si="12"/>
        <v>0</v>
      </c>
      <c r="CT618" s="2133"/>
      <c r="CU618" s="2133"/>
      <c r="CV618" s="2133"/>
      <c r="CW618" s="2134"/>
      <c r="CX618" s="2132">
        <f t="shared" si="13"/>
        <v>0</v>
      </c>
      <c r="CY618" s="2133"/>
      <c r="CZ618" s="2133"/>
      <c r="DA618" s="2133"/>
      <c r="DB618" s="2134"/>
      <c r="DC618" s="2132">
        <f t="shared" si="14"/>
        <v>0</v>
      </c>
      <c r="DD618" s="2133"/>
      <c r="DE618" s="2133"/>
      <c r="DF618" s="2133"/>
      <c r="DG618" s="2134"/>
      <c r="DH618" s="2132">
        <f t="shared" si="15"/>
        <v>0</v>
      </c>
      <c r="DI618" s="2133"/>
      <c r="DJ618" s="2133"/>
      <c r="DK618" s="2133"/>
      <c r="DL618" s="2134"/>
      <c r="DM618" s="2132">
        <f t="shared" si="16"/>
        <v>0</v>
      </c>
      <c r="DN618" s="2133"/>
      <c r="DO618" s="2133"/>
      <c r="DP618" s="2133"/>
      <c r="DQ618" s="2134"/>
      <c r="DR618" s="2132">
        <f t="shared" si="17"/>
        <v>0</v>
      </c>
      <c r="DS618" s="2133"/>
      <c r="DT618" s="2133"/>
      <c r="DU618" s="2133"/>
      <c r="DV618" s="2134"/>
    </row>
    <row r="619" spans="1:126" ht="12.75">
      <c r="B619" s="16" t="s">
        <v>908</v>
      </c>
      <c r="H619" s="1664"/>
      <c r="I619" s="1664"/>
      <c r="J619" s="1664"/>
      <c r="K619" s="1664"/>
      <c r="L619" s="1664"/>
      <c r="M619" s="1664"/>
      <c r="N619" s="1664"/>
      <c r="O619" s="1664"/>
      <c r="P619" s="1664"/>
      <c r="Q619" s="1664"/>
      <c r="R619" s="1664"/>
      <c r="U619" s="16" t="s">
        <v>908</v>
      </c>
      <c r="AA619" s="1664"/>
      <c r="AB619" s="1664"/>
      <c r="AC619" s="1664"/>
      <c r="AD619" s="1664"/>
      <c r="AE619" s="1664"/>
      <c r="AF619" s="1664"/>
      <c r="AG619" s="1664"/>
      <c r="AH619" s="1664"/>
      <c r="AI619" s="1664"/>
      <c r="AJ619" s="1664"/>
      <c r="AK619" s="1664"/>
      <c r="AL619" s="3"/>
      <c r="AZ619" s="72"/>
      <c r="BA619" s="72"/>
      <c r="BB619" s="72"/>
      <c r="BC619" s="72"/>
      <c r="BD619" s="72"/>
      <c r="BE619" s="1822">
        <f t="shared" si="10"/>
        <v>0</v>
      </c>
      <c r="BF619" s="1823"/>
      <c r="BG619" s="1818">
        <f t="shared" si="8"/>
        <v>0</v>
      </c>
      <c r="BH619" s="1821"/>
      <c r="BI619" s="1822">
        <f t="shared" si="11"/>
        <v>0</v>
      </c>
      <c r="BJ619" s="1823"/>
      <c r="BK619" s="1818">
        <f t="shared" si="9"/>
        <v>0</v>
      </c>
      <c r="BL619" s="1821"/>
      <c r="BN619" s="1818">
        <f t="shared" si="2"/>
        <v>0</v>
      </c>
      <c r="BO619" s="1819"/>
      <c r="BP619" s="1819"/>
      <c r="BQ619" s="1819"/>
      <c r="BR619" s="1820"/>
      <c r="BS619" s="1818">
        <f t="shared" si="3"/>
        <v>0</v>
      </c>
      <c r="BT619" s="1819"/>
      <c r="BU619" s="1819"/>
      <c r="BV619" s="1819"/>
      <c r="BW619" s="1821"/>
      <c r="BX619" s="1818">
        <f t="shared" si="4"/>
        <v>0</v>
      </c>
      <c r="BY619" s="1819"/>
      <c r="BZ619" s="1819"/>
      <c r="CA619" s="1819"/>
      <c r="CB619" s="1821"/>
      <c r="CC619" s="1818">
        <f t="shared" si="5"/>
        <v>0</v>
      </c>
      <c r="CD619" s="1819"/>
      <c r="CE619" s="1819"/>
      <c r="CF619" s="1819"/>
      <c r="CG619" s="1821"/>
      <c r="CH619" s="1818">
        <f t="shared" si="6"/>
        <v>0</v>
      </c>
      <c r="CI619" s="1819"/>
      <c r="CJ619" s="1819"/>
      <c r="CK619" s="1819"/>
      <c r="CL619" s="1821"/>
      <c r="CM619" s="1818">
        <f t="shared" si="7"/>
        <v>0</v>
      </c>
      <c r="CN619" s="1819"/>
      <c r="CO619" s="1819"/>
      <c r="CP619" s="1819"/>
      <c r="CQ619" s="1821"/>
      <c r="CS619" s="2132">
        <f t="shared" si="12"/>
        <v>0</v>
      </c>
      <c r="CT619" s="2133"/>
      <c r="CU619" s="2133"/>
      <c r="CV619" s="2133"/>
      <c r="CW619" s="2134"/>
      <c r="CX619" s="2132">
        <f t="shared" si="13"/>
        <v>0</v>
      </c>
      <c r="CY619" s="2133"/>
      <c r="CZ619" s="2133"/>
      <c r="DA619" s="2133"/>
      <c r="DB619" s="2134"/>
      <c r="DC619" s="2132">
        <f t="shared" si="14"/>
        <v>0</v>
      </c>
      <c r="DD619" s="2133"/>
      <c r="DE619" s="2133"/>
      <c r="DF619" s="2133"/>
      <c r="DG619" s="2134"/>
      <c r="DH619" s="2132">
        <f t="shared" si="15"/>
        <v>0</v>
      </c>
      <c r="DI619" s="2133"/>
      <c r="DJ619" s="2133"/>
      <c r="DK619" s="2133"/>
      <c r="DL619" s="2134"/>
      <c r="DM619" s="2132">
        <f t="shared" si="16"/>
        <v>0</v>
      </c>
      <c r="DN619" s="2133"/>
      <c r="DO619" s="2133"/>
      <c r="DP619" s="2133"/>
      <c r="DQ619" s="2134"/>
      <c r="DR619" s="2132">
        <f t="shared" si="17"/>
        <v>0</v>
      </c>
      <c r="DS619" s="2133"/>
      <c r="DT619" s="2133"/>
      <c r="DU619" s="2133"/>
      <c r="DV619" s="2134"/>
    </row>
    <row r="620" spans="1:126" ht="12.75" customHeight="1">
      <c r="B620" s="16" t="s">
        <v>910</v>
      </c>
      <c r="N620" s="1677" t="s">
        <v>528</v>
      </c>
      <c r="O620" s="1677"/>
      <c r="U620" s="16" t="s">
        <v>910</v>
      </c>
      <c r="AG620" s="1677" t="s">
        <v>528</v>
      </c>
      <c r="AH620" s="1677"/>
      <c r="AL620" s="3"/>
      <c r="AZ620" s="72"/>
      <c r="BA620" s="72"/>
      <c r="BB620" s="72"/>
      <c r="BC620" s="72"/>
      <c r="BD620" s="72"/>
      <c r="BE620" s="1822">
        <f t="shared" si="10"/>
        <v>0</v>
      </c>
      <c r="BF620" s="1823"/>
      <c r="BG620" s="1818">
        <f t="shared" si="8"/>
        <v>0</v>
      </c>
      <c r="BH620" s="1821"/>
      <c r="BI620" s="1822">
        <f t="shared" si="11"/>
        <v>0</v>
      </c>
      <c r="BJ620" s="1823"/>
      <c r="BK620" s="1818">
        <f t="shared" si="9"/>
        <v>0</v>
      </c>
      <c r="BL620" s="1821"/>
      <c r="BN620" s="1818">
        <f t="shared" si="2"/>
        <v>0</v>
      </c>
      <c r="BO620" s="1819"/>
      <c r="BP620" s="1819"/>
      <c r="BQ620" s="1819"/>
      <c r="BR620" s="1820"/>
      <c r="BS620" s="1818">
        <f t="shared" si="3"/>
        <v>0</v>
      </c>
      <c r="BT620" s="1819"/>
      <c r="BU620" s="1819"/>
      <c r="BV620" s="1819"/>
      <c r="BW620" s="1821"/>
      <c r="BX620" s="1818">
        <f t="shared" si="4"/>
        <v>0</v>
      </c>
      <c r="BY620" s="1819"/>
      <c r="BZ620" s="1819"/>
      <c r="CA620" s="1819"/>
      <c r="CB620" s="1821"/>
      <c r="CC620" s="1818">
        <f t="shared" si="5"/>
        <v>0</v>
      </c>
      <c r="CD620" s="1819"/>
      <c r="CE620" s="1819"/>
      <c r="CF620" s="1819"/>
      <c r="CG620" s="1821"/>
      <c r="CH620" s="1818">
        <f t="shared" si="6"/>
        <v>0</v>
      </c>
      <c r="CI620" s="1819"/>
      <c r="CJ620" s="1819"/>
      <c r="CK620" s="1819"/>
      <c r="CL620" s="1821"/>
      <c r="CM620" s="1818">
        <f t="shared" si="7"/>
        <v>0</v>
      </c>
      <c r="CN620" s="1819"/>
      <c r="CO620" s="1819"/>
      <c r="CP620" s="1819"/>
      <c r="CQ620" s="1821"/>
      <c r="CS620" s="2132">
        <f t="shared" si="12"/>
        <v>0</v>
      </c>
      <c r="CT620" s="2133"/>
      <c r="CU620" s="2133"/>
      <c r="CV620" s="2133"/>
      <c r="CW620" s="2134"/>
      <c r="CX620" s="2132">
        <f t="shared" si="13"/>
        <v>0</v>
      </c>
      <c r="CY620" s="2133"/>
      <c r="CZ620" s="2133"/>
      <c r="DA620" s="2133"/>
      <c r="DB620" s="2134"/>
      <c r="DC620" s="2132">
        <f t="shared" si="14"/>
        <v>0</v>
      </c>
      <c r="DD620" s="2133"/>
      <c r="DE620" s="2133"/>
      <c r="DF620" s="2133"/>
      <c r="DG620" s="2134"/>
      <c r="DH620" s="2132">
        <f t="shared" si="15"/>
        <v>0</v>
      </c>
      <c r="DI620" s="2133"/>
      <c r="DJ620" s="2133"/>
      <c r="DK620" s="2133"/>
      <c r="DL620" s="2134"/>
      <c r="DM620" s="2132">
        <f t="shared" si="16"/>
        <v>0</v>
      </c>
      <c r="DN620" s="2133"/>
      <c r="DO620" s="2133"/>
      <c r="DP620" s="2133"/>
      <c r="DQ620" s="2134"/>
      <c r="DR620" s="2132">
        <f t="shared" si="17"/>
        <v>0</v>
      </c>
      <c r="DS620" s="2133"/>
      <c r="DT620" s="2133"/>
      <c r="DU620" s="2133"/>
      <c r="DV620" s="2134"/>
    </row>
    <row r="621" spans="1:126" ht="12.75">
      <c r="AZ621" s="72"/>
      <c r="BA621" s="72"/>
      <c r="BB621" s="72"/>
      <c r="BC621" s="72"/>
      <c r="BD621" s="72"/>
      <c r="BE621" s="1822">
        <f t="shared" si="10"/>
        <v>0</v>
      </c>
      <c r="BF621" s="1823"/>
      <c r="BG621" s="1818">
        <f t="shared" si="8"/>
        <v>0</v>
      </c>
      <c r="BH621" s="1821"/>
      <c r="BI621" s="1822">
        <f t="shared" si="11"/>
        <v>0</v>
      </c>
      <c r="BJ621" s="1823"/>
      <c r="BK621" s="1818">
        <f t="shared" si="9"/>
        <v>0</v>
      </c>
      <c r="BL621" s="1821"/>
      <c r="BN621" s="1818">
        <f t="shared" si="2"/>
        <v>0</v>
      </c>
      <c r="BO621" s="1819"/>
      <c r="BP621" s="1819"/>
      <c r="BQ621" s="1819"/>
      <c r="BR621" s="1820"/>
      <c r="BS621" s="1818">
        <f t="shared" si="3"/>
        <v>0</v>
      </c>
      <c r="BT621" s="1819"/>
      <c r="BU621" s="1819"/>
      <c r="BV621" s="1819"/>
      <c r="BW621" s="1821"/>
      <c r="BX621" s="1818">
        <f t="shared" si="4"/>
        <v>0</v>
      </c>
      <c r="BY621" s="1819"/>
      <c r="BZ621" s="1819"/>
      <c r="CA621" s="1819"/>
      <c r="CB621" s="1821"/>
      <c r="CC621" s="1818">
        <f t="shared" si="5"/>
        <v>0</v>
      </c>
      <c r="CD621" s="1819"/>
      <c r="CE621" s="1819"/>
      <c r="CF621" s="1819"/>
      <c r="CG621" s="1821"/>
      <c r="CH621" s="1818">
        <f t="shared" si="6"/>
        <v>0</v>
      </c>
      <c r="CI621" s="1819"/>
      <c r="CJ621" s="1819"/>
      <c r="CK621" s="1819"/>
      <c r="CL621" s="1821"/>
      <c r="CM621" s="1818">
        <f t="shared" si="7"/>
        <v>0</v>
      </c>
      <c r="CN621" s="1819"/>
      <c r="CO621" s="1819"/>
      <c r="CP621" s="1819"/>
      <c r="CQ621" s="1821"/>
      <c r="CS621" s="2132">
        <f t="shared" si="12"/>
        <v>0</v>
      </c>
      <c r="CT621" s="2133"/>
      <c r="CU621" s="2133"/>
      <c r="CV621" s="2133"/>
      <c r="CW621" s="2134"/>
      <c r="CX621" s="2132">
        <f t="shared" si="13"/>
        <v>0</v>
      </c>
      <c r="CY621" s="2133"/>
      <c r="CZ621" s="2133"/>
      <c r="DA621" s="2133"/>
      <c r="DB621" s="2134"/>
      <c r="DC621" s="2132">
        <f t="shared" si="14"/>
        <v>0</v>
      </c>
      <c r="DD621" s="2133"/>
      <c r="DE621" s="2133"/>
      <c r="DF621" s="2133"/>
      <c r="DG621" s="2134"/>
      <c r="DH621" s="2132">
        <f t="shared" si="15"/>
        <v>0</v>
      </c>
      <c r="DI621" s="2133"/>
      <c r="DJ621" s="2133"/>
      <c r="DK621" s="2133"/>
      <c r="DL621" s="2134"/>
      <c r="DM621" s="2132">
        <f t="shared" si="16"/>
        <v>0</v>
      </c>
      <c r="DN621" s="2133"/>
      <c r="DO621" s="2133"/>
      <c r="DP621" s="2133"/>
      <c r="DQ621" s="2134"/>
      <c r="DR621" s="2132">
        <f t="shared" si="17"/>
        <v>0</v>
      </c>
      <c r="DS621" s="2133"/>
      <c r="DT621" s="2133"/>
      <c r="DU621" s="2133"/>
      <c r="DV621" s="2134"/>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22">
        <f t="shared" si="10"/>
        <v>0</v>
      </c>
      <c r="BF622" s="1823"/>
      <c r="BG622" s="1818">
        <f t="shared" si="8"/>
        <v>0</v>
      </c>
      <c r="BH622" s="1821"/>
      <c r="BI622" s="1822">
        <f t="shared" si="11"/>
        <v>0</v>
      </c>
      <c r="BJ622" s="1823"/>
      <c r="BK622" s="1818">
        <f t="shared" si="9"/>
        <v>0</v>
      </c>
      <c r="BL622" s="1821"/>
      <c r="BN622" s="1818">
        <f t="shared" si="2"/>
        <v>0</v>
      </c>
      <c r="BO622" s="1819"/>
      <c r="BP622" s="1819"/>
      <c r="BQ622" s="1819"/>
      <c r="BR622" s="1820"/>
      <c r="BS622" s="1818">
        <f t="shared" si="3"/>
        <v>0</v>
      </c>
      <c r="BT622" s="1819"/>
      <c r="BU622" s="1819"/>
      <c r="BV622" s="1819"/>
      <c r="BW622" s="1821"/>
      <c r="BX622" s="1818">
        <f t="shared" si="4"/>
        <v>0</v>
      </c>
      <c r="BY622" s="1819"/>
      <c r="BZ622" s="1819"/>
      <c r="CA622" s="1819"/>
      <c r="CB622" s="1821"/>
      <c r="CC622" s="1818">
        <f t="shared" si="5"/>
        <v>0</v>
      </c>
      <c r="CD622" s="1819"/>
      <c r="CE622" s="1819"/>
      <c r="CF622" s="1819"/>
      <c r="CG622" s="1821"/>
      <c r="CH622" s="1818">
        <f t="shared" si="6"/>
        <v>0</v>
      </c>
      <c r="CI622" s="1819"/>
      <c r="CJ622" s="1819"/>
      <c r="CK622" s="1819"/>
      <c r="CL622" s="1821"/>
      <c r="CM622" s="1818">
        <f t="shared" si="7"/>
        <v>0</v>
      </c>
      <c r="CN622" s="1819"/>
      <c r="CO622" s="1819"/>
      <c r="CP622" s="1819"/>
      <c r="CQ622" s="1821"/>
      <c r="CS622" s="2132">
        <f t="shared" si="12"/>
        <v>0</v>
      </c>
      <c r="CT622" s="2133"/>
      <c r="CU622" s="2133"/>
      <c r="CV622" s="2133"/>
      <c r="CW622" s="2134"/>
      <c r="CX622" s="2132">
        <f t="shared" si="13"/>
        <v>0</v>
      </c>
      <c r="CY622" s="2133"/>
      <c r="CZ622" s="2133"/>
      <c r="DA622" s="2133"/>
      <c r="DB622" s="2134"/>
      <c r="DC622" s="2132">
        <f t="shared" si="14"/>
        <v>0</v>
      </c>
      <c r="DD622" s="2133"/>
      <c r="DE622" s="2133"/>
      <c r="DF622" s="2133"/>
      <c r="DG622" s="2134"/>
      <c r="DH622" s="2132">
        <f t="shared" si="15"/>
        <v>0</v>
      </c>
      <c r="DI622" s="2133"/>
      <c r="DJ622" s="2133"/>
      <c r="DK622" s="2133"/>
      <c r="DL622" s="2134"/>
      <c r="DM622" s="2132">
        <f t="shared" si="16"/>
        <v>0</v>
      </c>
      <c r="DN622" s="2133"/>
      <c r="DO622" s="2133"/>
      <c r="DP622" s="2133"/>
      <c r="DQ622" s="2134"/>
      <c r="DR622" s="2132">
        <f t="shared" si="17"/>
        <v>0</v>
      </c>
      <c r="DS622" s="2133"/>
      <c r="DT622" s="2133"/>
      <c r="DU622" s="2133"/>
      <c r="DV622" s="2134"/>
    </row>
    <row r="623" spans="1:126" ht="12.7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22">
        <f t="shared" si="10"/>
        <v>0</v>
      </c>
      <c r="BF623" s="1823"/>
      <c r="BG623" s="1818">
        <f t="shared" si="8"/>
        <v>0</v>
      </c>
      <c r="BH623" s="1821"/>
      <c r="BI623" s="1822">
        <f t="shared" si="11"/>
        <v>0</v>
      </c>
      <c r="BJ623" s="1823"/>
      <c r="BK623" s="1818">
        <f t="shared" si="9"/>
        <v>0</v>
      </c>
      <c r="BL623" s="1821"/>
      <c r="BN623" s="1818">
        <f t="shared" si="2"/>
        <v>0</v>
      </c>
      <c r="BO623" s="1819"/>
      <c r="BP623" s="1819"/>
      <c r="BQ623" s="1819"/>
      <c r="BR623" s="1820"/>
      <c r="BS623" s="1818">
        <f t="shared" si="3"/>
        <v>0</v>
      </c>
      <c r="BT623" s="1819"/>
      <c r="BU623" s="1819"/>
      <c r="BV623" s="1819"/>
      <c r="BW623" s="1821"/>
      <c r="BX623" s="1818">
        <f t="shared" si="4"/>
        <v>0</v>
      </c>
      <c r="BY623" s="1819"/>
      <c r="BZ623" s="1819"/>
      <c r="CA623" s="1819"/>
      <c r="CB623" s="1821"/>
      <c r="CC623" s="1818">
        <f t="shared" si="5"/>
        <v>0</v>
      </c>
      <c r="CD623" s="1819"/>
      <c r="CE623" s="1819"/>
      <c r="CF623" s="1819"/>
      <c r="CG623" s="1821"/>
      <c r="CH623" s="1818">
        <f t="shared" si="6"/>
        <v>0</v>
      </c>
      <c r="CI623" s="1819"/>
      <c r="CJ623" s="1819"/>
      <c r="CK623" s="1819"/>
      <c r="CL623" s="1821"/>
      <c r="CM623" s="1818">
        <f t="shared" si="7"/>
        <v>0</v>
      </c>
      <c r="CN623" s="1819"/>
      <c r="CO623" s="1819"/>
      <c r="CP623" s="1819"/>
      <c r="CQ623" s="1821"/>
      <c r="CS623" s="2132">
        <f t="shared" si="12"/>
        <v>0</v>
      </c>
      <c r="CT623" s="2133"/>
      <c r="CU623" s="2133"/>
      <c r="CV623" s="2133"/>
      <c r="CW623" s="2134"/>
      <c r="CX623" s="2132">
        <f t="shared" si="13"/>
        <v>0</v>
      </c>
      <c r="CY623" s="2133"/>
      <c r="CZ623" s="2133"/>
      <c r="DA623" s="2133"/>
      <c r="DB623" s="2134"/>
      <c r="DC623" s="2132">
        <f t="shared" si="14"/>
        <v>0</v>
      </c>
      <c r="DD623" s="2133"/>
      <c r="DE623" s="2133"/>
      <c r="DF623" s="2133"/>
      <c r="DG623" s="2134"/>
      <c r="DH623" s="2132">
        <f t="shared" si="15"/>
        <v>0</v>
      </c>
      <c r="DI623" s="2133"/>
      <c r="DJ623" s="2133"/>
      <c r="DK623" s="2133"/>
      <c r="DL623" s="2134"/>
      <c r="DM623" s="2132">
        <f t="shared" si="16"/>
        <v>0</v>
      </c>
      <c r="DN623" s="2133"/>
      <c r="DO623" s="2133"/>
      <c r="DP623" s="2133"/>
      <c r="DQ623" s="2134"/>
      <c r="DR623" s="2132">
        <f t="shared" si="17"/>
        <v>0</v>
      </c>
      <c r="DS623" s="2133"/>
      <c r="DT623" s="2133"/>
      <c r="DU623" s="2133"/>
      <c r="DV623" s="213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22">
        <f t="shared" si="10"/>
        <v>0</v>
      </c>
      <c r="BF624" s="1823"/>
      <c r="BG624" s="1818">
        <f t="shared" si="8"/>
        <v>0</v>
      </c>
      <c r="BH624" s="1821"/>
      <c r="BI624" s="1822">
        <f t="shared" si="11"/>
        <v>0</v>
      </c>
      <c r="BJ624" s="1823"/>
      <c r="BK624" s="1818">
        <f t="shared" si="9"/>
        <v>0</v>
      </c>
      <c r="BL624" s="1821"/>
      <c r="BN624" s="1818">
        <f t="shared" si="2"/>
        <v>0</v>
      </c>
      <c r="BO624" s="1819"/>
      <c r="BP624" s="1819"/>
      <c r="BQ624" s="1819"/>
      <c r="BR624" s="1820"/>
      <c r="BS624" s="1818">
        <f t="shared" si="3"/>
        <v>0</v>
      </c>
      <c r="BT624" s="1819"/>
      <c r="BU624" s="1819"/>
      <c r="BV624" s="1819"/>
      <c r="BW624" s="1821"/>
      <c r="BX624" s="1818">
        <f t="shared" si="4"/>
        <v>0</v>
      </c>
      <c r="BY624" s="1819"/>
      <c r="BZ624" s="1819"/>
      <c r="CA624" s="1819"/>
      <c r="CB624" s="1821"/>
      <c r="CC624" s="1818">
        <f t="shared" si="5"/>
        <v>0</v>
      </c>
      <c r="CD624" s="1819"/>
      <c r="CE624" s="1819"/>
      <c r="CF624" s="1819"/>
      <c r="CG624" s="1821"/>
      <c r="CH624" s="1818">
        <f t="shared" si="6"/>
        <v>0</v>
      </c>
      <c r="CI624" s="1819"/>
      <c r="CJ624" s="1819"/>
      <c r="CK624" s="1819"/>
      <c r="CL624" s="1821"/>
      <c r="CM624" s="1818">
        <f t="shared" si="7"/>
        <v>0</v>
      </c>
      <c r="CN624" s="1819"/>
      <c r="CO624" s="1819"/>
      <c r="CP624" s="1819"/>
      <c r="CQ624" s="1821"/>
      <c r="CS624" s="2132">
        <f t="shared" si="12"/>
        <v>0</v>
      </c>
      <c r="CT624" s="2133"/>
      <c r="CU624" s="2133"/>
      <c r="CV624" s="2133"/>
      <c r="CW624" s="2134"/>
      <c r="CX624" s="2132">
        <f t="shared" si="13"/>
        <v>0</v>
      </c>
      <c r="CY624" s="2133"/>
      <c r="CZ624" s="2133"/>
      <c r="DA624" s="2133"/>
      <c r="DB624" s="2134"/>
      <c r="DC624" s="2132">
        <f t="shared" si="14"/>
        <v>0</v>
      </c>
      <c r="DD624" s="2133"/>
      <c r="DE624" s="2133"/>
      <c r="DF624" s="2133"/>
      <c r="DG624" s="2134"/>
      <c r="DH624" s="2132">
        <f t="shared" si="15"/>
        <v>0</v>
      </c>
      <c r="DI624" s="2133"/>
      <c r="DJ624" s="2133"/>
      <c r="DK624" s="2133"/>
      <c r="DL624" s="2134"/>
      <c r="DM624" s="2132">
        <f t="shared" si="16"/>
        <v>0</v>
      </c>
      <c r="DN624" s="2133"/>
      <c r="DO624" s="2133"/>
      <c r="DP624" s="2133"/>
      <c r="DQ624" s="2134"/>
      <c r="DR624" s="2132">
        <f t="shared" si="17"/>
        <v>0</v>
      </c>
      <c r="DS624" s="2133"/>
      <c r="DT624" s="2133"/>
      <c r="DU624" s="2133"/>
      <c r="DV624" s="2134"/>
    </row>
    <row r="625" spans="1:126" ht="12.75">
      <c r="A625" s="63" t="s">
        <v>715</v>
      </c>
      <c r="B625" s="63"/>
      <c r="C625" s="63" t="s">
        <v>911</v>
      </c>
      <c r="AM625" s="50"/>
      <c r="AN625" s="50"/>
      <c r="AO625" s="50"/>
      <c r="AP625" s="50"/>
      <c r="AQ625" s="50"/>
      <c r="AR625" s="50"/>
      <c r="AS625" s="50"/>
      <c r="AZ625" s="72"/>
      <c r="BA625" s="72"/>
      <c r="BB625" s="72"/>
      <c r="BC625" s="72"/>
      <c r="BD625" s="72"/>
      <c r="BE625" s="1822">
        <f t="shared" si="10"/>
        <v>0</v>
      </c>
      <c r="BF625" s="1823"/>
      <c r="BG625" s="1818">
        <f t="shared" si="8"/>
        <v>0</v>
      </c>
      <c r="BH625" s="1821"/>
      <c r="BI625" s="1822">
        <f t="shared" si="11"/>
        <v>0</v>
      </c>
      <c r="BJ625" s="1823"/>
      <c r="BK625" s="1818">
        <f t="shared" si="9"/>
        <v>0</v>
      </c>
      <c r="BL625" s="1821"/>
      <c r="BN625" s="1818">
        <f t="shared" si="2"/>
        <v>0</v>
      </c>
      <c r="BO625" s="1819"/>
      <c r="BP625" s="1819"/>
      <c r="BQ625" s="1819"/>
      <c r="BR625" s="1820"/>
      <c r="BS625" s="1818">
        <f t="shared" si="3"/>
        <v>0</v>
      </c>
      <c r="BT625" s="1819"/>
      <c r="BU625" s="1819"/>
      <c r="BV625" s="1819"/>
      <c r="BW625" s="1821"/>
      <c r="BX625" s="1818">
        <f t="shared" si="4"/>
        <v>0</v>
      </c>
      <c r="BY625" s="1819"/>
      <c r="BZ625" s="1819"/>
      <c r="CA625" s="1819"/>
      <c r="CB625" s="1821"/>
      <c r="CC625" s="1818">
        <f t="shared" si="5"/>
        <v>0</v>
      </c>
      <c r="CD625" s="1819"/>
      <c r="CE625" s="1819"/>
      <c r="CF625" s="1819"/>
      <c r="CG625" s="1821"/>
      <c r="CH625" s="1818">
        <f t="shared" si="6"/>
        <v>0</v>
      </c>
      <c r="CI625" s="1819"/>
      <c r="CJ625" s="1819"/>
      <c r="CK625" s="1819"/>
      <c r="CL625" s="1821"/>
      <c r="CM625" s="1818">
        <f t="shared" si="7"/>
        <v>0</v>
      </c>
      <c r="CN625" s="1819"/>
      <c r="CO625" s="1819"/>
      <c r="CP625" s="1819"/>
      <c r="CQ625" s="1821"/>
      <c r="CS625" s="2132">
        <f t="shared" si="12"/>
        <v>0</v>
      </c>
      <c r="CT625" s="2133"/>
      <c r="CU625" s="2133"/>
      <c r="CV625" s="2133"/>
      <c r="CW625" s="2134"/>
      <c r="CX625" s="2132">
        <f t="shared" si="13"/>
        <v>0</v>
      </c>
      <c r="CY625" s="2133"/>
      <c r="CZ625" s="2133"/>
      <c r="DA625" s="2133"/>
      <c r="DB625" s="2134"/>
      <c r="DC625" s="2132">
        <f t="shared" si="14"/>
        <v>0</v>
      </c>
      <c r="DD625" s="2133"/>
      <c r="DE625" s="2133"/>
      <c r="DF625" s="2133"/>
      <c r="DG625" s="2134"/>
      <c r="DH625" s="2132">
        <f t="shared" si="15"/>
        <v>0</v>
      </c>
      <c r="DI625" s="2133"/>
      <c r="DJ625" s="2133"/>
      <c r="DK625" s="2133"/>
      <c r="DL625" s="2134"/>
      <c r="DM625" s="2132">
        <f t="shared" si="16"/>
        <v>0</v>
      </c>
      <c r="DN625" s="2133"/>
      <c r="DO625" s="2133"/>
      <c r="DP625" s="2133"/>
      <c r="DQ625" s="2134"/>
      <c r="DR625" s="2132">
        <f t="shared" si="17"/>
        <v>0</v>
      </c>
      <c r="DS625" s="2133"/>
      <c r="DT625" s="2133"/>
      <c r="DU625" s="2133"/>
      <c r="DV625" s="2134"/>
    </row>
    <row r="626" spans="1:126" ht="12.75">
      <c r="A626" s="63"/>
      <c r="B626" s="63"/>
      <c r="C626" s="63"/>
      <c r="AM626" s="50"/>
      <c r="AN626" s="50"/>
      <c r="AO626" s="50"/>
      <c r="AP626" s="50"/>
      <c r="AQ626" s="50"/>
      <c r="AR626" s="50"/>
      <c r="AS626" s="50"/>
      <c r="AZ626" s="72"/>
      <c r="BA626" s="72"/>
      <c r="BB626" s="72"/>
      <c r="BC626" s="72"/>
      <c r="BD626" s="72"/>
      <c r="BE626" s="1822">
        <f t="shared" si="10"/>
        <v>0</v>
      </c>
      <c r="BF626" s="1823"/>
      <c r="BG626" s="1818">
        <f t="shared" si="8"/>
        <v>0</v>
      </c>
      <c r="BH626" s="1821"/>
      <c r="BI626" s="1822">
        <f t="shared" si="11"/>
        <v>0</v>
      </c>
      <c r="BJ626" s="1823"/>
      <c r="BK626" s="1818">
        <f t="shared" si="9"/>
        <v>0</v>
      </c>
      <c r="BL626" s="1821"/>
      <c r="BN626" s="1818">
        <f t="shared" si="2"/>
        <v>0</v>
      </c>
      <c r="BO626" s="1819"/>
      <c r="BP626" s="1819"/>
      <c r="BQ626" s="1819"/>
      <c r="BR626" s="1820"/>
      <c r="BS626" s="1818">
        <f t="shared" si="3"/>
        <v>0</v>
      </c>
      <c r="BT626" s="1819"/>
      <c r="BU626" s="1819"/>
      <c r="BV626" s="1819"/>
      <c r="BW626" s="1821"/>
      <c r="BX626" s="1818">
        <f t="shared" si="4"/>
        <v>0</v>
      </c>
      <c r="BY626" s="1819"/>
      <c r="BZ626" s="1819"/>
      <c r="CA626" s="1819"/>
      <c r="CB626" s="1821"/>
      <c r="CC626" s="1818">
        <f t="shared" si="5"/>
        <v>0</v>
      </c>
      <c r="CD626" s="1819"/>
      <c r="CE626" s="1819"/>
      <c r="CF626" s="1819"/>
      <c r="CG626" s="1821"/>
      <c r="CH626" s="1818">
        <f t="shared" si="6"/>
        <v>0</v>
      </c>
      <c r="CI626" s="1819"/>
      <c r="CJ626" s="1819"/>
      <c r="CK626" s="1819"/>
      <c r="CL626" s="1821"/>
      <c r="CM626" s="1818">
        <f t="shared" si="7"/>
        <v>0</v>
      </c>
      <c r="CN626" s="1819"/>
      <c r="CO626" s="1819"/>
      <c r="CP626" s="1819"/>
      <c r="CQ626" s="1821"/>
      <c r="CS626" s="2132">
        <f t="shared" si="12"/>
        <v>0</v>
      </c>
      <c r="CT626" s="2133"/>
      <c r="CU626" s="2133"/>
      <c r="CV626" s="2133"/>
      <c r="CW626" s="2134"/>
      <c r="CX626" s="2132">
        <f t="shared" si="13"/>
        <v>0</v>
      </c>
      <c r="CY626" s="2133"/>
      <c r="CZ626" s="2133"/>
      <c r="DA626" s="2133"/>
      <c r="DB626" s="2134"/>
      <c r="DC626" s="2132">
        <f t="shared" si="14"/>
        <v>0</v>
      </c>
      <c r="DD626" s="2133"/>
      <c r="DE626" s="2133"/>
      <c r="DF626" s="2133"/>
      <c r="DG626" s="2134"/>
      <c r="DH626" s="2132">
        <f t="shared" si="15"/>
        <v>0</v>
      </c>
      <c r="DI626" s="2133"/>
      <c r="DJ626" s="2133"/>
      <c r="DK626" s="2133"/>
      <c r="DL626" s="2134"/>
      <c r="DM626" s="2132">
        <f t="shared" si="16"/>
        <v>0</v>
      </c>
      <c r="DN626" s="2133"/>
      <c r="DO626" s="2133"/>
      <c r="DP626" s="2133"/>
      <c r="DQ626" s="2134"/>
      <c r="DR626" s="2132">
        <f t="shared" si="17"/>
        <v>0</v>
      </c>
      <c r="DS626" s="2133"/>
      <c r="DT626" s="2133"/>
      <c r="DU626" s="2133"/>
      <c r="DV626" s="2134"/>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22">
        <f t="shared" si="10"/>
        <v>0</v>
      </c>
      <c r="BF627" s="1823"/>
      <c r="BG627" s="1818">
        <f t="shared" si="8"/>
        <v>0</v>
      </c>
      <c r="BH627" s="1821"/>
      <c r="BI627" s="1822">
        <f t="shared" si="11"/>
        <v>0</v>
      </c>
      <c r="BJ627" s="1823"/>
      <c r="BK627" s="1818">
        <f t="shared" si="9"/>
        <v>0</v>
      </c>
      <c r="BL627" s="1821"/>
      <c r="BN627" s="1822">
        <f>SUM(BN602:BR626)</f>
        <v>12</v>
      </c>
      <c r="BO627" s="2137"/>
      <c r="BP627" s="2137"/>
      <c r="BQ627" s="2137"/>
      <c r="BR627" s="1823"/>
      <c r="BS627" s="1822">
        <f>SUM(BS602:BW626)</f>
        <v>12</v>
      </c>
      <c r="BT627" s="2137"/>
      <c r="BU627" s="2137"/>
      <c r="BV627" s="2137"/>
      <c r="BW627" s="1823"/>
      <c r="BX627" s="1822">
        <f>SUM(BX602:CB626)</f>
        <v>12</v>
      </c>
      <c r="BY627" s="2137"/>
      <c r="BZ627" s="2137"/>
      <c r="CA627" s="2137"/>
      <c r="CB627" s="1823"/>
      <c r="CC627" s="1822">
        <f>SUM(CC602:CG626)</f>
        <v>12</v>
      </c>
      <c r="CD627" s="2137"/>
      <c r="CE627" s="2137"/>
      <c r="CF627" s="2137"/>
      <c r="CG627" s="1823"/>
      <c r="CH627" s="1822">
        <f>SUM(CH602:CL626)</f>
        <v>0</v>
      </c>
      <c r="CI627" s="2137"/>
      <c r="CJ627" s="2137"/>
      <c r="CK627" s="2137"/>
      <c r="CL627" s="1823"/>
      <c r="CM627" s="1822">
        <f>SUM(CM602:CQ626)</f>
        <v>0</v>
      </c>
      <c r="CN627" s="2137"/>
      <c r="CO627" s="2137"/>
      <c r="CP627" s="2137"/>
      <c r="CQ627" s="1823"/>
      <c r="CS627" s="2132">
        <f t="shared" si="12"/>
        <v>0</v>
      </c>
      <c r="CT627" s="2133"/>
      <c r="CU627" s="2133"/>
      <c r="CV627" s="2133"/>
      <c r="CW627" s="2134"/>
      <c r="CX627" s="2132">
        <f t="shared" si="13"/>
        <v>0</v>
      </c>
      <c r="CY627" s="2133"/>
      <c r="CZ627" s="2133"/>
      <c r="DA627" s="2133"/>
      <c r="DB627" s="2134"/>
      <c r="DC627" s="2132">
        <f t="shared" si="14"/>
        <v>0</v>
      </c>
      <c r="DD627" s="2133"/>
      <c r="DE627" s="2133"/>
      <c r="DF627" s="2133"/>
      <c r="DG627" s="2134"/>
      <c r="DH627" s="2132">
        <f t="shared" si="15"/>
        <v>0</v>
      </c>
      <c r="DI627" s="2133"/>
      <c r="DJ627" s="2133"/>
      <c r="DK627" s="2133"/>
      <c r="DL627" s="2134"/>
      <c r="DM627" s="2132">
        <f t="shared" si="16"/>
        <v>0</v>
      </c>
      <c r="DN627" s="2133"/>
      <c r="DO627" s="2133"/>
      <c r="DP627" s="2133"/>
      <c r="DQ627" s="2134"/>
      <c r="DR627" s="2132">
        <f t="shared" si="17"/>
        <v>0</v>
      </c>
      <c r="DS627" s="2133"/>
      <c r="DT627" s="2133"/>
      <c r="DU627" s="2133"/>
      <c r="DV627" s="2134"/>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22">
        <f>SUM(BG603:BH627)</f>
        <v>13</v>
      </c>
      <c r="BH628" s="1823"/>
      <c r="BI628" s="72"/>
      <c r="BJ628" s="72"/>
      <c r="BK628" s="1822">
        <f>SUM(BK603:BL627)</f>
        <v>12</v>
      </c>
      <c r="BL628" s="1823"/>
      <c r="BN628" s="72" t="s">
        <v>1888</v>
      </c>
      <c r="BO628" s="72"/>
      <c r="BP628" s="72"/>
      <c r="BQ628" s="72"/>
      <c r="BR628" s="714">
        <f>BN627*1</f>
        <v>12</v>
      </c>
      <c r="BS628" s="72"/>
      <c r="BT628" s="72"/>
      <c r="BU628" s="72"/>
      <c r="BV628" s="72"/>
      <c r="BW628" s="714">
        <f>BS627*1</f>
        <v>12</v>
      </c>
      <c r="BX628" s="72"/>
      <c r="BY628" s="72"/>
      <c r="BZ628" s="72"/>
      <c r="CA628" s="72"/>
      <c r="CB628" s="714">
        <f>BX627*2</f>
        <v>24</v>
      </c>
      <c r="CC628" s="72"/>
      <c r="CD628" s="72"/>
      <c r="CE628" s="72"/>
      <c r="CF628" s="72"/>
      <c r="CG628" s="714">
        <f>CC627*3</f>
        <v>36</v>
      </c>
      <c r="CH628" s="72"/>
      <c r="CI628" s="72"/>
      <c r="CJ628" s="72"/>
      <c r="CK628" s="72"/>
      <c r="CL628" s="714">
        <f>CH627*4</f>
        <v>0</v>
      </c>
      <c r="CM628" s="72"/>
      <c r="CN628" s="72"/>
      <c r="CO628" s="72"/>
      <c r="CP628" s="72"/>
      <c r="CQ628" s="713">
        <f>CM627*5</f>
        <v>0</v>
      </c>
      <c r="CS628" s="1822">
        <f>SUM(CS603:CW627)</f>
        <v>12</v>
      </c>
      <c r="CT628" s="2137"/>
      <c r="CU628" s="2137"/>
      <c r="CV628" s="2137"/>
      <c r="CW628" s="1823"/>
      <c r="CX628" s="1822">
        <f>SUM(CX603:DB627)</f>
        <v>0</v>
      </c>
      <c r="CY628" s="2137"/>
      <c r="CZ628" s="2137"/>
      <c r="DA628" s="2137"/>
      <c r="DB628" s="1823"/>
      <c r="DC628" s="1822">
        <f>SUM(DC603:DG627)</f>
        <v>0</v>
      </c>
      <c r="DD628" s="2137"/>
      <c r="DE628" s="2137"/>
      <c r="DF628" s="2137"/>
      <c r="DG628" s="1823"/>
      <c r="DH628" s="1822">
        <f>SUM(DH603:DL627)</f>
        <v>0</v>
      </c>
      <c r="DI628" s="2137"/>
      <c r="DJ628" s="2137"/>
      <c r="DK628" s="2137"/>
      <c r="DL628" s="1823"/>
      <c r="DM628" s="1822">
        <f>SUM(DM603:DQ627)</f>
        <v>0</v>
      </c>
      <c r="DN628" s="2137"/>
      <c r="DO628" s="2137"/>
      <c r="DP628" s="2137"/>
      <c r="DQ628" s="1823"/>
      <c r="DR628" s="1822">
        <f>SUM(DR603:DV627)</f>
        <v>0</v>
      </c>
      <c r="DS628" s="2137"/>
      <c r="DT628" s="2137"/>
      <c r="DU628" s="2137"/>
      <c r="DV628" s="1823"/>
    </row>
    <row r="629" spans="1:126" ht="13.5" customHeight="1" thickBot="1">
      <c r="A629" s="1343"/>
      <c r="B629" s="2067" t="s">
        <v>802</v>
      </c>
      <c r="C629" s="2068"/>
      <c r="D629" s="2068"/>
      <c r="E629" s="2068"/>
      <c r="F629" s="2068"/>
      <c r="G629" s="2068"/>
      <c r="H629" s="2068"/>
      <c r="I629" s="2068"/>
      <c r="J629" s="2068"/>
      <c r="K629" s="2068"/>
      <c r="L629" s="2068"/>
      <c r="M629" s="2068"/>
      <c r="N629" s="2069"/>
      <c r="O629" s="1710" t="s">
        <v>486</v>
      </c>
      <c r="P629" s="1711"/>
      <c r="Q629" s="1712"/>
      <c r="R629" s="1710" t="s">
        <v>2204</v>
      </c>
      <c r="S629" s="1711"/>
      <c r="T629" s="1712"/>
      <c r="U629" s="2049" t="s">
        <v>803</v>
      </c>
      <c r="V629" s="2049"/>
      <c r="W629" s="2050"/>
      <c r="X629" s="1710" t="s">
        <v>2205</v>
      </c>
      <c r="Y629" s="1711"/>
      <c r="Z629" s="1711"/>
      <c r="AA629" s="1711"/>
      <c r="AB629" s="1712"/>
      <c r="AC629" s="2055" t="s">
        <v>2206</v>
      </c>
      <c r="AD629" s="2056"/>
      <c r="AE629" s="2057"/>
      <c r="AF629" s="1710" t="s">
        <v>2207</v>
      </c>
      <c r="AG629" s="1711"/>
      <c r="AH629" s="1711"/>
      <c r="AI629" s="1711"/>
      <c r="AJ629" s="1712"/>
      <c r="AK629" s="1966" t="s">
        <v>2208</v>
      </c>
      <c r="AL629" s="1967"/>
      <c r="AM629" s="1967"/>
      <c r="AN629" s="1968"/>
      <c r="AO629" s="2047" t="s">
        <v>804</v>
      </c>
      <c r="AP629" s="2047"/>
      <c r="AQ629" s="2047"/>
      <c r="AR629" s="2047"/>
      <c r="AS629" s="2047"/>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84</v>
      </c>
      <c r="CR629" s="72"/>
      <c r="CS629" s="72"/>
    </row>
    <row r="630" spans="1:126" ht="12.75">
      <c r="A630" s="1343"/>
      <c r="B630" s="2070"/>
      <c r="C630" s="1870"/>
      <c r="D630" s="1870"/>
      <c r="E630" s="1870"/>
      <c r="F630" s="1870"/>
      <c r="G630" s="1870"/>
      <c r="H630" s="1870"/>
      <c r="I630" s="1870"/>
      <c r="J630" s="1870"/>
      <c r="K630" s="1870"/>
      <c r="L630" s="1870"/>
      <c r="M630" s="1870"/>
      <c r="N630" s="2071"/>
      <c r="O630" s="1713"/>
      <c r="P630" s="1714"/>
      <c r="Q630" s="1715"/>
      <c r="R630" s="1713"/>
      <c r="S630" s="1714"/>
      <c r="T630" s="1715"/>
      <c r="U630" s="2051"/>
      <c r="V630" s="2051"/>
      <c r="W630" s="2052"/>
      <c r="X630" s="1713"/>
      <c r="Y630" s="1714"/>
      <c r="Z630" s="1714"/>
      <c r="AA630" s="1714"/>
      <c r="AB630" s="1715"/>
      <c r="AC630" s="2058"/>
      <c r="AD630" s="2059"/>
      <c r="AE630" s="2060"/>
      <c r="AF630" s="1713"/>
      <c r="AG630" s="1714"/>
      <c r="AH630" s="1714"/>
      <c r="AI630" s="1714"/>
      <c r="AJ630" s="1715"/>
      <c r="AK630" s="1969"/>
      <c r="AL630" s="1970"/>
      <c r="AM630" s="1970"/>
      <c r="AN630" s="1971"/>
      <c r="AO630" s="2047"/>
      <c r="AP630" s="2047"/>
      <c r="AQ630" s="2047"/>
      <c r="AR630" s="2047"/>
      <c r="AS630" s="2047"/>
      <c r="AT630" s="72"/>
      <c r="AU630" s="72"/>
      <c r="AV630" s="72"/>
      <c r="AW630" s="72"/>
      <c r="AX630" s="72"/>
      <c r="AY630" s="72"/>
      <c r="AZ630" s="72"/>
      <c r="BN630" s="1818">
        <f>IF(J752="SRO/Studio",O752,0)</f>
        <v>0</v>
      </c>
      <c r="BO630" s="1819"/>
      <c r="BP630" s="1819"/>
      <c r="BQ630" s="1819"/>
      <c r="BR630" s="1821"/>
      <c r="BS630" s="1818">
        <f>IF(J752="1 Bedroom",O752,0)</f>
        <v>0</v>
      </c>
      <c r="BT630" s="1819"/>
      <c r="BU630" s="1819"/>
      <c r="BV630" s="1819"/>
      <c r="BW630" s="1821"/>
      <c r="BX630" s="1818">
        <f>IF(J752="2 Bedrooms",O752,0)</f>
        <v>0</v>
      </c>
      <c r="BY630" s="1819"/>
      <c r="BZ630" s="1819"/>
      <c r="CA630" s="1819"/>
      <c r="CB630" s="1821"/>
      <c r="CC630" s="1818">
        <f>IF(J752="3 Bedrooms",O752,0)</f>
        <v>1</v>
      </c>
      <c r="CD630" s="1819"/>
      <c r="CE630" s="1819"/>
      <c r="CF630" s="1819"/>
      <c r="CG630" s="1821"/>
      <c r="CH630" s="1818">
        <f>IF(J752="4 Bedrooms",O752,0)</f>
        <v>0</v>
      </c>
      <c r="CI630" s="1819"/>
      <c r="CJ630" s="1819"/>
      <c r="CK630" s="1819"/>
      <c r="CL630" s="1821"/>
      <c r="CM630" s="2135">
        <f>IF(J752="5 Bedrooms",O752,0)</f>
        <v>0</v>
      </c>
      <c r="CN630" s="2136"/>
      <c r="CO630" s="2136"/>
      <c r="CP630" s="2136"/>
      <c r="CQ630" s="1820"/>
      <c r="CR630" s="72"/>
      <c r="CS630" s="72"/>
    </row>
    <row r="631" spans="1:126" ht="12.75" customHeight="1">
      <c r="A631" s="1343"/>
      <c r="B631" s="2072"/>
      <c r="C631" s="1870"/>
      <c r="D631" s="1870"/>
      <c r="E631" s="1870"/>
      <c r="F631" s="1870"/>
      <c r="G631" s="1870"/>
      <c r="H631" s="1870"/>
      <c r="I631" s="1870"/>
      <c r="J631" s="1870"/>
      <c r="K631" s="1870"/>
      <c r="L631" s="1870"/>
      <c r="M631" s="1870"/>
      <c r="N631" s="2071"/>
      <c r="O631" s="1716"/>
      <c r="P631" s="1717"/>
      <c r="Q631" s="1718"/>
      <c r="R631" s="1716"/>
      <c r="S631" s="1717"/>
      <c r="T631" s="1718"/>
      <c r="U631" s="2053"/>
      <c r="V631" s="2053"/>
      <c r="W631" s="2054"/>
      <c r="X631" s="1716"/>
      <c r="Y631" s="1717"/>
      <c r="Z631" s="1717"/>
      <c r="AA631" s="1717"/>
      <c r="AB631" s="1718"/>
      <c r="AC631" s="2061"/>
      <c r="AD631" s="2062"/>
      <c r="AE631" s="2063"/>
      <c r="AF631" s="1716"/>
      <c r="AG631" s="1717"/>
      <c r="AH631" s="1717"/>
      <c r="AI631" s="1717"/>
      <c r="AJ631" s="1718"/>
      <c r="AK631" s="1972"/>
      <c r="AL631" s="1973"/>
      <c r="AM631" s="1973"/>
      <c r="AN631" s="1974"/>
      <c r="AO631" s="2047"/>
      <c r="AP631" s="2047"/>
      <c r="AQ631" s="2047"/>
      <c r="AR631" s="2047"/>
      <c r="AS631" s="2047"/>
      <c r="AT631" s="75"/>
      <c r="AU631" s="75"/>
      <c r="AV631" s="75"/>
      <c r="AW631" s="75"/>
      <c r="AX631" s="75"/>
      <c r="AY631" s="75"/>
      <c r="AZ631" s="75"/>
      <c r="BN631" s="1818">
        <f>IF(J753="SRO/Studio",O753,0)</f>
        <v>0</v>
      </c>
      <c r="BO631" s="1819"/>
      <c r="BP631" s="1819"/>
      <c r="BQ631" s="1819"/>
      <c r="BR631" s="1821"/>
      <c r="BS631" s="1818">
        <f>IF(J753="1 Bedroom",O753,0)</f>
        <v>0</v>
      </c>
      <c r="BT631" s="1819"/>
      <c r="BU631" s="1819"/>
      <c r="BV631" s="1819"/>
      <c r="BW631" s="1821"/>
      <c r="BX631" s="1818">
        <f>IF(J753="2 Bedrooms",O753,0)</f>
        <v>0</v>
      </c>
      <c r="BY631" s="1819"/>
      <c r="BZ631" s="1819"/>
      <c r="CA631" s="1819"/>
      <c r="CB631" s="1821"/>
      <c r="CC631" s="1818">
        <f>IF(J753="3 Bedrooms",O753,0)</f>
        <v>0</v>
      </c>
      <c r="CD631" s="1819"/>
      <c r="CE631" s="1819"/>
      <c r="CF631" s="1819"/>
      <c r="CG631" s="1821"/>
      <c r="CH631" s="1818">
        <f>IF(J753="4 Bedrooms",O753,0)</f>
        <v>0</v>
      </c>
      <c r="CI631" s="1819"/>
      <c r="CJ631" s="1819"/>
      <c r="CK631" s="1819"/>
      <c r="CL631" s="1821"/>
      <c r="CM631" s="2135">
        <f>IF(J753="5 Bedrooms",O753,0)</f>
        <v>0</v>
      </c>
      <c r="CN631" s="2136"/>
      <c r="CO631" s="2136"/>
      <c r="CP631" s="2136"/>
      <c r="CQ631" s="1820"/>
      <c r="CR631" s="72"/>
      <c r="CS631" s="72"/>
    </row>
    <row r="632" spans="1:126" ht="12.75" customHeight="1">
      <c r="B632" s="97" t="s">
        <v>983</v>
      </c>
      <c r="C632" s="1701" t="s">
        <v>2459</v>
      </c>
      <c r="D632" s="1701"/>
      <c r="E632" s="1701"/>
      <c r="F632" s="1701"/>
      <c r="G632" s="1701"/>
      <c r="H632" s="1701"/>
      <c r="I632" s="1701"/>
      <c r="J632" s="1701"/>
      <c r="K632" s="1701"/>
      <c r="L632" s="1701"/>
      <c r="M632" s="1701"/>
      <c r="N632" s="1962"/>
      <c r="O632" s="1963">
        <f>15*12</f>
        <v>180</v>
      </c>
      <c r="P632" s="1964"/>
      <c r="Q632" s="1965"/>
      <c r="R632" s="1666">
        <f>40*12</f>
        <v>480</v>
      </c>
      <c r="S632" s="1667"/>
      <c r="T632" s="1668"/>
      <c r="U632" s="1669">
        <v>0.05</v>
      </c>
      <c r="V632" s="1670"/>
      <c r="W632" s="1671"/>
      <c r="X632" s="1672" t="s">
        <v>2210</v>
      </c>
      <c r="Y632" s="1673"/>
      <c r="Z632" s="1673"/>
      <c r="AA632" s="1673"/>
      <c r="AB632" s="1674"/>
      <c r="AC632" s="1654">
        <v>1</v>
      </c>
      <c r="AD632" s="1655"/>
      <c r="AE632" s="1656"/>
      <c r="AF632" s="1660">
        <v>350115</v>
      </c>
      <c r="AG632" s="1661"/>
      <c r="AH632" s="1661"/>
      <c r="AI632" s="1661"/>
      <c r="AJ632" s="1662"/>
      <c r="AK632" s="1959"/>
      <c r="AL632" s="1960"/>
      <c r="AM632" s="1960"/>
      <c r="AN632" s="1961"/>
      <c r="AO632" s="1777">
        <v>6050701</v>
      </c>
      <c r="AP632" s="1777"/>
      <c r="AQ632" s="1777"/>
      <c r="AR632" s="1777"/>
      <c r="AS632" s="1777"/>
      <c r="AU632" s="75"/>
      <c r="AV632" s="75"/>
      <c r="AW632" s="75"/>
      <c r="AX632" s="75"/>
      <c r="AY632" s="75"/>
      <c r="BA632" s="72" t="s">
        <v>2190</v>
      </c>
      <c r="BC632" s="75"/>
      <c r="BD632" s="75"/>
      <c r="BN632" s="1818">
        <f>IF(J754="SRO/Studio",O754,0)</f>
        <v>0</v>
      </c>
      <c r="BO632" s="1819"/>
      <c r="BP632" s="1819"/>
      <c r="BQ632" s="1819"/>
      <c r="BR632" s="1821"/>
      <c r="BS632" s="1818">
        <f>IF(J754="1 Bedroom",O754,0)</f>
        <v>0</v>
      </c>
      <c r="BT632" s="1819"/>
      <c r="BU632" s="1819"/>
      <c r="BV632" s="1819"/>
      <c r="BW632" s="1821"/>
      <c r="BX632" s="1818">
        <f>IF(J754="2 Bedrooms",O754,0)</f>
        <v>0</v>
      </c>
      <c r="BY632" s="1819"/>
      <c r="BZ632" s="1819"/>
      <c r="CA632" s="1819"/>
      <c r="CB632" s="1821"/>
      <c r="CC632" s="1818">
        <f>IF(J754="3 Bedrooms",O754,0)</f>
        <v>0</v>
      </c>
      <c r="CD632" s="1819"/>
      <c r="CE632" s="1819"/>
      <c r="CF632" s="1819"/>
      <c r="CG632" s="1821"/>
      <c r="CH632" s="1818">
        <f>IF(J754="4 Bedrooms",O754,0)</f>
        <v>0</v>
      </c>
      <c r="CI632" s="1819"/>
      <c r="CJ632" s="1819"/>
      <c r="CK632" s="1819"/>
      <c r="CL632" s="1821"/>
      <c r="CM632" s="2135">
        <f>IF(J754="5 Bedrooms",O754,0)</f>
        <v>0</v>
      </c>
      <c r="CN632" s="2136"/>
      <c r="CO632" s="2136"/>
      <c r="CP632" s="2136"/>
      <c r="CQ632" s="1820"/>
      <c r="CR632" s="72"/>
      <c r="CS632" s="72"/>
    </row>
    <row r="633" spans="1:126" ht="12.75">
      <c r="B633" s="98" t="s">
        <v>984</v>
      </c>
      <c r="C633" s="1701" t="s">
        <v>2460</v>
      </c>
      <c r="D633" s="1701"/>
      <c r="E633" s="1701"/>
      <c r="F633" s="1701"/>
      <c r="G633" s="1701"/>
      <c r="H633" s="1701"/>
      <c r="I633" s="1701"/>
      <c r="J633" s="1701"/>
      <c r="K633" s="1701"/>
      <c r="L633" s="1701"/>
      <c r="M633" s="1701"/>
      <c r="N633" s="1962"/>
      <c r="O633" s="1963"/>
      <c r="P633" s="1964"/>
      <c r="Q633" s="1965"/>
      <c r="R633" s="1666"/>
      <c r="S633" s="1667"/>
      <c r="T633" s="1668"/>
      <c r="U633" s="1669"/>
      <c r="V633" s="1670"/>
      <c r="W633" s="1671"/>
      <c r="X633" s="1672" t="s">
        <v>2190</v>
      </c>
      <c r="Y633" s="1673"/>
      <c r="Z633" s="1673"/>
      <c r="AA633" s="1673"/>
      <c r="AB633" s="1674"/>
      <c r="AC633" s="1654"/>
      <c r="AD633" s="1655"/>
      <c r="AE633" s="1656"/>
      <c r="AF633" s="1660"/>
      <c r="AG633" s="1661"/>
      <c r="AH633" s="1661"/>
      <c r="AI633" s="1661"/>
      <c r="AJ633" s="1662"/>
      <c r="AK633" s="1959"/>
      <c r="AL633" s="1960"/>
      <c r="AM633" s="1960"/>
      <c r="AN633" s="1961"/>
      <c r="AO633" s="2048">
        <v>5165157</v>
      </c>
      <c r="AP633" s="1777"/>
      <c r="AQ633" s="1777"/>
      <c r="AR633" s="1777"/>
      <c r="AS633" s="1777"/>
      <c r="AU633" s="75"/>
      <c r="AV633" s="75"/>
      <c r="AW633" s="75"/>
      <c r="AX633" s="75"/>
      <c r="AY633" s="75"/>
      <c r="BA633" s="72" t="s">
        <v>857</v>
      </c>
      <c r="BC633" s="75"/>
      <c r="BD633" s="75"/>
      <c r="BN633" s="1818">
        <f>IF(J755="SRO/Studio",O755,0)</f>
        <v>0</v>
      </c>
      <c r="BO633" s="1819"/>
      <c r="BP633" s="1819"/>
      <c r="BQ633" s="1819"/>
      <c r="BR633" s="1821"/>
      <c r="BS633" s="1818">
        <f>IF(J755="1 Bedroom",O755,0)</f>
        <v>0</v>
      </c>
      <c r="BT633" s="1819"/>
      <c r="BU633" s="1819"/>
      <c r="BV633" s="1819"/>
      <c r="BW633" s="1821"/>
      <c r="BX633" s="1818">
        <f>IF(J755="2 Bedrooms",O755,0)</f>
        <v>0</v>
      </c>
      <c r="BY633" s="1819"/>
      <c r="BZ633" s="1819"/>
      <c r="CA633" s="1819"/>
      <c r="CB633" s="1821"/>
      <c r="CC633" s="1818">
        <f>IF(J755="3 Bedrooms",O755,0)</f>
        <v>0</v>
      </c>
      <c r="CD633" s="1819"/>
      <c r="CE633" s="1819"/>
      <c r="CF633" s="1819"/>
      <c r="CG633" s="1821"/>
      <c r="CH633" s="1818">
        <f>IF(J755="4 Bedrooms",O755,0)</f>
        <v>0</v>
      </c>
      <c r="CI633" s="1819"/>
      <c r="CJ633" s="1819"/>
      <c r="CK633" s="1819"/>
      <c r="CL633" s="1821"/>
      <c r="CM633" s="2135">
        <f>IF(J755="5 Bedrooms",O755,0)</f>
        <v>0</v>
      </c>
      <c r="CN633" s="2136"/>
      <c r="CO633" s="2136"/>
      <c r="CP633" s="2136"/>
      <c r="CQ633" s="1820"/>
      <c r="CR633" s="72"/>
      <c r="CS633" s="72"/>
    </row>
    <row r="634" spans="1:126" ht="12.75">
      <c r="B634" s="98" t="s">
        <v>990</v>
      </c>
      <c r="C634" s="1701" t="s">
        <v>2461</v>
      </c>
      <c r="D634" s="1701"/>
      <c r="E634" s="1701"/>
      <c r="F634" s="1701"/>
      <c r="G634" s="1701"/>
      <c r="H634" s="1701"/>
      <c r="I634" s="1701"/>
      <c r="J634" s="1701"/>
      <c r="K634" s="1701"/>
      <c r="L634" s="1701"/>
      <c r="M634" s="1701"/>
      <c r="N634" s="1962"/>
      <c r="O634" s="1963"/>
      <c r="P634" s="1964"/>
      <c r="Q634" s="1965"/>
      <c r="R634" s="1666"/>
      <c r="S634" s="1667"/>
      <c r="T634" s="1668"/>
      <c r="U634" s="1669"/>
      <c r="V634" s="1670"/>
      <c r="W634" s="1671"/>
      <c r="X634" s="1672" t="s">
        <v>2190</v>
      </c>
      <c r="Y634" s="1673"/>
      <c r="Z634" s="1673"/>
      <c r="AA634" s="1673"/>
      <c r="AB634" s="1674"/>
      <c r="AC634" s="1654"/>
      <c r="AD634" s="1655"/>
      <c r="AE634" s="1656"/>
      <c r="AF634" s="1660"/>
      <c r="AG634" s="1661"/>
      <c r="AH634" s="1661"/>
      <c r="AI634" s="1661"/>
      <c r="AJ634" s="1662"/>
      <c r="AK634" s="1959"/>
      <c r="AL634" s="1960"/>
      <c r="AM634" s="1960"/>
      <c r="AN634" s="1961"/>
      <c r="AO634" s="1777">
        <v>211589</v>
      </c>
      <c r="AP634" s="1777"/>
      <c r="AQ634" s="1777"/>
      <c r="AR634" s="1777"/>
      <c r="AS634" s="1777"/>
      <c r="AU634" s="75"/>
      <c r="AV634" s="75"/>
      <c r="AW634" s="75"/>
      <c r="AX634" s="75"/>
      <c r="AY634" s="75"/>
      <c r="AZ634" s="75"/>
      <c r="BA634" s="72" t="s">
        <v>856</v>
      </c>
      <c r="BB634" s="75"/>
      <c r="BC634" s="75"/>
      <c r="BD634" s="75"/>
      <c r="BN634" s="2138">
        <f>SUM(BN630:BR633)</f>
        <v>0</v>
      </c>
      <c r="BO634" s="2139"/>
      <c r="BP634" s="2139"/>
      <c r="BQ634" s="2139"/>
      <c r="BR634" s="2140"/>
      <c r="BS634" s="2138">
        <f>SUM(BS630:BW633)</f>
        <v>0</v>
      </c>
      <c r="BT634" s="2139"/>
      <c r="BU634" s="2139"/>
      <c r="BV634" s="2139"/>
      <c r="BW634" s="2140"/>
      <c r="BX634" s="2138">
        <f>SUM(BX630:CB633)</f>
        <v>0</v>
      </c>
      <c r="BY634" s="2139"/>
      <c r="BZ634" s="2139"/>
      <c r="CA634" s="2139"/>
      <c r="CB634" s="2140"/>
      <c r="CC634" s="2138">
        <f>SUM(CC630:CG633)</f>
        <v>1</v>
      </c>
      <c r="CD634" s="2139"/>
      <c r="CE634" s="2139"/>
      <c r="CF634" s="2139"/>
      <c r="CG634" s="2140"/>
      <c r="CH634" s="2138">
        <f>SUM(CH630:CL633)</f>
        <v>0</v>
      </c>
      <c r="CI634" s="2139"/>
      <c r="CJ634" s="2139"/>
      <c r="CK634" s="2139"/>
      <c r="CL634" s="2140"/>
      <c r="CM634" s="2138">
        <f>SUM(CM630:CQ633)</f>
        <v>0</v>
      </c>
      <c r="CN634" s="2139"/>
      <c r="CO634" s="2139"/>
      <c r="CP634" s="2139"/>
      <c r="CQ634" s="2140"/>
      <c r="CS634" s="714">
        <f>BN634+BS634+BX634+CC634+CH634+CM634</f>
        <v>1</v>
      </c>
      <c r="CT634" s="142" t="s">
        <v>2194</v>
      </c>
      <c r="CU634" s="72"/>
    </row>
    <row r="635" spans="1:126" ht="12.75">
      <c r="B635" s="98" t="s">
        <v>477</v>
      </c>
      <c r="C635" s="1701" t="s">
        <v>2450</v>
      </c>
      <c r="D635" s="1701"/>
      <c r="E635" s="1701"/>
      <c r="F635" s="1701"/>
      <c r="G635" s="1701"/>
      <c r="H635" s="1701"/>
      <c r="I635" s="1701"/>
      <c r="J635" s="1701"/>
      <c r="K635" s="1701"/>
      <c r="L635" s="1701"/>
      <c r="M635" s="1701"/>
      <c r="N635" s="1962"/>
      <c r="O635" s="1963"/>
      <c r="P635" s="1964"/>
      <c r="Q635" s="1965"/>
      <c r="R635" s="1666"/>
      <c r="S635" s="1667"/>
      <c r="T635" s="1668"/>
      <c r="U635" s="1669"/>
      <c r="V635" s="1670"/>
      <c r="W635" s="1671"/>
      <c r="X635" s="1672" t="s">
        <v>2190</v>
      </c>
      <c r="Y635" s="1673"/>
      <c r="Z635" s="1673"/>
      <c r="AA635" s="1673"/>
      <c r="AB635" s="1674"/>
      <c r="AC635" s="1654"/>
      <c r="AD635" s="1655"/>
      <c r="AE635" s="1656"/>
      <c r="AF635" s="1660"/>
      <c r="AG635" s="1661"/>
      <c r="AH635" s="1661"/>
      <c r="AI635" s="1661"/>
      <c r="AJ635" s="1662"/>
      <c r="AK635" s="1959"/>
      <c r="AL635" s="1960"/>
      <c r="AM635" s="1960"/>
      <c r="AN635" s="1961"/>
      <c r="AO635" s="1777">
        <v>2000000</v>
      </c>
      <c r="AP635" s="1777"/>
      <c r="AQ635" s="1777"/>
      <c r="AR635" s="1777"/>
      <c r="AS635" s="1777"/>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701" t="s">
        <v>2462</v>
      </c>
      <c r="D636" s="1701"/>
      <c r="E636" s="1701"/>
      <c r="F636" s="1701"/>
      <c r="G636" s="1701"/>
      <c r="H636" s="1701"/>
      <c r="I636" s="1701"/>
      <c r="J636" s="1701"/>
      <c r="K636" s="1701"/>
      <c r="L636" s="1701"/>
      <c r="M636" s="1701"/>
      <c r="N636" s="1962"/>
      <c r="O636" s="1963"/>
      <c r="P636" s="1964"/>
      <c r="Q636" s="1965"/>
      <c r="R636" s="1666"/>
      <c r="S636" s="1667"/>
      <c r="T636" s="1668"/>
      <c r="U636" s="1669"/>
      <c r="V636" s="1670"/>
      <c r="W636" s="1671"/>
      <c r="X636" s="1672" t="s">
        <v>857</v>
      </c>
      <c r="Y636" s="1673"/>
      <c r="Z636" s="1673"/>
      <c r="AA636" s="1673"/>
      <c r="AB636" s="1674"/>
      <c r="AC636" s="1654"/>
      <c r="AD636" s="1655"/>
      <c r="AE636" s="1656"/>
      <c r="AF636" s="1660"/>
      <c r="AG636" s="1661"/>
      <c r="AH636" s="1661"/>
      <c r="AI636" s="1661"/>
      <c r="AJ636" s="1662"/>
      <c r="AK636" s="1959"/>
      <c r="AL636" s="1960"/>
      <c r="AM636" s="1960"/>
      <c r="AN636" s="1961"/>
      <c r="AO636" s="1777">
        <v>2</v>
      </c>
      <c r="AP636" s="1777"/>
      <c r="AQ636" s="1777"/>
      <c r="AR636" s="1777"/>
      <c r="AS636" s="1777"/>
      <c r="AT636" s="75"/>
      <c r="AU636" s="75"/>
      <c r="AV636" s="75"/>
      <c r="AW636" s="75"/>
      <c r="AX636" s="75"/>
      <c r="AY636" s="75"/>
      <c r="AZ636" s="75"/>
      <c r="BA636" s="72" t="s">
        <v>545</v>
      </c>
      <c r="BN636" s="1818">
        <f t="shared" ref="BN636:BN645" si="18">IF(J766="SRO/Studio",O766,0)</f>
        <v>0</v>
      </c>
      <c r="BO636" s="1819"/>
      <c r="BP636" s="1819"/>
      <c r="BQ636" s="1819"/>
      <c r="BR636" s="1821"/>
      <c r="BS636" s="1818">
        <f t="shared" ref="BS636:BS645" si="19">IF(J766="1 Bedroom",O766,0)</f>
        <v>0</v>
      </c>
      <c r="BT636" s="1819"/>
      <c r="BU636" s="1819"/>
      <c r="BV636" s="1819"/>
      <c r="BW636" s="1821"/>
      <c r="BX636" s="1818">
        <f t="shared" ref="BX636:BX645" si="20">IF(J766="2 Bedrooms",O766,0)</f>
        <v>0</v>
      </c>
      <c r="BY636" s="1819"/>
      <c r="BZ636" s="1819"/>
      <c r="CA636" s="1819"/>
      <c r="CB636" s="1821"/>
      <c r="CC636" s="1818">
        <f t="shared" ref="CC636:CC645" si="21">IF(J766="3 Bedrooms",O766,0)</f>
        <v>0</v>
      </c>
      <c r="CD636" s="1819"/>
      <c r="CE636" s="1819"/>
      <c r="CF636" s="1819"/>
      <c r="CG636" s="1821"/>
      <c r="CH636" s="1818">
        <f t="shared" ref="CH636:CH645" si="22">IF(J766="4 Bedrooms",O766,0)</f>
        <v>0</v>
      </c>
      <c r="CI636" s="1819"/>
      <c r="CJ636" s="1819"/>
      <c r="CK636" s="1819"/>
      <c r="CL636" s="1821"/>
      <c r="CM636" s="1818">
        <f t="shared" ref="CM636:CM645" si="23">IF(J766="5 Bedrooms",O766,0)</f>
        <v>0</v>
      </c>
      <c r="CN636" s="1819"/>
      <c r="CO636" s="1819"/>
      <c r="CP636" s="1819"/>
      <c r="CQ636" s="1821"/>
      <c r="CR636" s="72"/>
      <c r="CS636" s="72"/>
    </row>
    <row r="637" spans="1:126" ht="12.75">
      <c r="B637" s="98" t="s">
        <v>480</v>
      </c>
      <c r="C637" s="1701"/>
      <c r="D637" s="1701"/>
      <c r="E637" s="1701"/>
      <c r="F637" s="1701"/>
      <c r="G637" s="1701"/>
      <c r="H637" s="1701"/>
      <c r="I637" s="1701"/>
      <c r="J637" s="1701"/>
      <c r="K637" s="1701"/>
      <c r="L637" s="1701"/>
      <c r="M637" s="1701"/>
      <c r="N637" s="1962"/>
      <c r="O637" s="1963"/>
      <c r="P637" s="1964"/>
      <c r="Q637" s="1965"/>
      <c r="R637" s="1666"/>
      <c r="S637" s="1667"/>
      <c r="T637" s="1668"/>
      <c r="U637" s="1669"/>
      <c r="V637" s="1670"/>
      <c r="W637" s="1671"/>
      <c r="X637" s="1672" t="s">
        <v>2190</v>
      </c>
      <c r="Y637" s="1673"/>
      <c r="Z637" s="1673"/>
      <c r="AA637" s="1673"/>
      <c r="AB637" s="1674"/>
      <c r="AC637" s="1654"/>
      <c r="AD637" s="1655"/>
      <c r="AE637" s="1656"/>
      <c r="AF637" s="1660"/>
      <c r="AG637" s="1661"/>
      <c r="AH637" s="1661"/>
      <c r="AI637" s="1661"/>
      <c r="AJ637" s="1662"/>
      <c r="AK637" s="1959"/>
      <c r="AL637" s="1960"/>
      <c r="AM637" s="1960"/>
      <c r="AN637" s="1961"/>
      <c r="AO637" s="1777"/>
      <c r="AP637" s="1777"/>
      <c r="AQ637" s="1777"/>
      <c r="AR637" s="1777"/>
      <c r="AS637" s="1777"/>
      <c r="AT637" s="75"/>
      <c r="AU637" s="75"/>
      <c r="AV637" s="75"/>
      <c r="AW637" s="75"/>
      <c r="AX637" s="75"/>
      <c r="AY637" s="75"/>
      <c r="AZ637" s="75"/>
      <c r="BN637" s="1818">
        <f t="shared" si="18"/>
        <v>0</v>
      </c>
      <c r="BO637" s="1819"/>
      <c r="BP637" s="1819"/>
      <c r="BQ637" s="1819"/>
      <c r="BR637" s="1821"/>
      <c r="BS637" s="1818">
        <f t="shared" si="19"/>
        <v>0</v>
      </c>
      <c r="BT637" s="1819"/>
      <c r="BU637" s="1819"/>
      <c r="BV637" s="1819"/>
      <c r="BW637" s="1821"/>
      <c r="BX637" s="1818">
        <f t="shared" si="20"/>
        <v>0</v>
      </c>
      <c r="BY637" s="1819"/>
      <c r="BZ637" s="1819"/>
      <c r="CA637" s="1819"/>
      <c r="CB637" s="1821"/>
      <c r="CC637" s="1818">
        <f t="shared" si="21"/>
        <v>0</v>
      </c>
      <c r="CD637" s="1819"/>
      <c r="CE637" s="1819"/>
      <c r="CF637" s="1819"/>
      <c r="CG637" s="1821"/>
      <c r="CH637" s="1818">
        <f t="shared" si="22"/>
        <v>0</v>
      </c>
      <c r="CI637" s="1819"/>
      <c r="CJ637" s="1819"/>
      <c r="CK637" s="1819"/>
      <c r="CL637" s="1821"/>
      <c r="CM637" s="1818">
        <f t="shared" si="23"/>
        <v>0</v>
      </c>
      <c r="CN637" s="1819"/>
      <c r="CO637" s="1819"/>
      <c r="CP637" s="1819"/>
      <c r="CQ637" s="1821"/>
      <c r="CR637" s="72"/>
      <c r="CS637" s="72"/>
    </row>
    <row r="638" spans="1:126" ht="12.75">
      <c r="B638" s="98" t="s">
        <v>805</v>
      </c>
      <c r="C638" s="1701"/>
      <c r="D638" s="1701"/>
      <c r="E638" s="1701"/>
      <c r="F638" s="1701"/>
      <c r="G638" s="1701"/>
      <c r="H638" s="1701"/>
      <c r="I638" s="1701"/>
      <c r="J638" s="1701"/>
      <c r="K638" s="1701"/>
      <c r="L638" s="1701"/>
      <c r="M638" s="1701"/>
      <c r="N638" s="1962"/>
      <c r="O638" s="1963"/>
      <c r="P638" s="1964"/>
      <c r="Q638" s="1965"/>
      <c r="R638" s="1666"/>
      <c r="S638" s="1667"/>
      <c r="T638" s="1668"/>
      <c r="U638" s="1669"/>
      <c r="V638" s="1670"/>
      <c r="W638" s="1671"/>
      <c r="X638" s="1672" t="s">
        <v>2190</v>
      </c>
      <c r="Y638" s="1673"/>
      <c r="Z638" s="1673"/>
      <c r="AA638" s="1673"/>
      <c r="AB638" s="1674"/>
      <c r="AC638" s="1654"/>
      <c r="AD638" s="1655"/>
      <c r="AE638" s="1656"/>
      <c r="AF638" s="1660"/>
      <c r="AG638" s="1661"/>
      <c r="AH638" s="1661"/>
      <c r="AI638" s="1661"/>
      <c r="AJ638" s="1662"/>
      <c r="AK638" s="1959"/>
      <c r="AL638" s="1960"/>
      <c r="AM638" s="1960"/>
      <c r="AN638" s="1961"/>
      <c r="AO638" s="1777"/>
      <c r="AP638" s="1777"/>
      <c r="AQ638" s="1777"/>
      <c r="AR638" s="1777"/>
      <c r="AS638" s="1777"/>
      <c r="AT638" s="75"/>
      <c r="AU638" s="75"/>
      <c r="AV638" s="75"/>
      <c r="AW638" s="75"/>
      <c r="AX638" s="75"/>
      <c r="AY638" s="75"/>
      <c r="AZ638" s="75"/>
      <c r="BN638" s="1818">
        <f t="shared" si="18"/>
        <v>0</v>
      </c>
      <c r="BO638" s="1819"/>
      <c r="BP638" s="1819"/>
      <c r="BQ638" s="1819"/>
      <c r="BR638" s="1821"/>
      <c r="BS638" s="1818">
        <f t="shared" si="19"/>
        <v>0</v>
      </c>
      <c r="BT638" s="1819"/>
      <c r="BU638" s="1819"/>
      <c r="BV638" s="1819"/>
      <c r="BW638" s="1821"/>
      <c r="BX638" s="1818">
        <f t="shared" si="20"/>
        <v>0</v>
      </c>
      <c r="BY638" s="1819"/>
      <c r="BZ638" s="1819"/>
      <c r="CA638" s="1819"/>
      <c r="CB638" s="1821"/>
      <c r="CC638" s="1818">
        <f t="shared" si="21"/>
        <v>0</v>
      </c>
      <c r="CD638" s="1819"/>
      <c r="CE638" s="1819"/>
      <c r="CF638" s="1819"/>
      <c r="CG638" s="1821"/>
      <c r="CH638" s="1818">
        <f t="shared" si="22"/>
        <v>0</v>
      </c>
      <c r="CI638" s="1819"/>
      <c r="CJ638" s="1819"/>
      <c r="CK638" s="1819"/>
      <c r="CL638" s="1821"/>
      <c r="CM638" s="1818">
        <f t="shared" si="23"/>
        <v>0</v>
      </c>
      <c r="CN638" s="1819"/>
      <c r="CO638" s="1819"/>
      <c r="CP638" s="1819"/>
      <c r="CQ638" s="1821"/>
      <c r="CR638" s="72"/>
      <c r="CS638" s="72"/>
    </row>
    <row r="639" spans="1:126" ht="12.75">
      <c r="B639" s="98" t="s">
        <v>806</v>
      </c>
      <c r="C639" s="1701"/>
      <c r="D639" s="1701"/>
      <c r="E639" s="1701"/>
      <c r="F639" s="1701"/>
      <c r="G639" s="1701"/>
      <c r="H639" s="1701"/>
      <c r="I639" s="1701"/>
      <c r="J639" s="1701"/>
      <c r="K639" s="1701"/>
      <c r="L639" s="1701"/>
      <c r="M639" s="1701"/>
      <c r="N639" s="1962"/>
      <c r="O639" s="1963"/>
      <c r="P639" s="1964"/>
      <c r="Q639" s="1965"/>
      <c r="R639" s="1666"/>
      <c r="S639" s="1667"/>
      <c r="T639" s="1668"/>
      <c r="U639" s="1669"/>
      <c r="V639" s="1670"/>
      <c r="W639" s="1671"/>
      <c r="X639" s="1672" t="s">
        <v>2190</v>
      </c>
      <c r="Y639" s="1673"/>
      <c r="Z639" s="1673"/>
      <c r="AA639" s="1673"/>
      <c r="AB639" s="1674"/>
      <c r="AC639" s="1654"/>
      <c r="AD639" s="1655"/>
      <c r="AE639" s="1656"/>
      <c r="AF639" s="1660"/>
      <c r="AG639" s="1661"/>
      <c r="AH639" s="1661"/>
      <c r="AI639" s="1661"/>
      <c r="AJ639" s="1662"/>
      <c r="AK639" s="1959"/>
      <c r="AL639" s="1960"/>
      <c r="AM639" s="1960"/>
      <c r="AN639" s="1961"/>
      <c r="AO639" s="1777"/>
      <c r="AP639" s="1777"/>
      <c r="AQ639" s="1777"/>
      <c r="AR639" s="1777"/>
      <c r="AS639" s="1777"/>
      <c r="AT639" s="75"/>
      <c r="AU639" s="75"/>
      <c r="AV639" s="75"/>
      <c r="AW639" s="75"/>
      <c r="AX639" s="75"/>
      <c r="AY639" s="75"/>
      <c r="AZ639" s="75"/>
      <c r="BN639" s="1818">
        <f t="shared" si="18"/>
        <v>0</v>
      </c>
      <c r="BO639" s="1819"/>
      <c r="BP639" s="1819"/>
      <c r="BQ639" s="1819"/>
      <c r="BR639" s="1821"/>
      <c r="BS639" s="1818">
        <f t="shared" si="19"/>
        <v>0</v>
      </c>
      <c r="BT639" s="1819"/>
      <c r="BU639" s="1819"/>
      <c r="BV639" s="1819"/>
      <c r="BW639" s="1821"/>
      <c r="BX639" s="1818">
        <f t="shared" si="20"/>
        <v>0</v>
      </c>
      <c r="BY639" s="1819"/>
      <c r="BZ639" s="1819"/>
      <c r="CA639" s="1819"/>
      <c r="CB639" s="1821"/>
      <c r="CC639" s="1818">
        <f t="shared" si="21"/>
        <v>0</v>
      </c>
      <c r="CD639" s="1819"/>
      <c r="CE639" s="1819"/>
      <c r="CF639" s="1819"/>
      <c r="CG639" s="1821"/>
      <c r="CH639" s="1818">
        <f t="shared" si="22"/>
        <v>0</v>
      </c>
      <c r="CI639" s="1819"/>
      <c r="CJ639" s="1819"/>
      <c r="CK639" s="1819"/>
      <c r="CL639" s="1821"/>
      <c r="CM639" s="1818">
        <f t="shared" si="23"/>
        <v>0</v>
      </c>
      <c r="CN639" s="1819"/>
      <c r="CO639" s="1819"/>
      <c r="CP639" s="1819"/>
      <c r="CQ639" s="1821"/>
      <c r="CR639" s="72"/>
      <c r="CS639" s="72"/>
    </row>
    <row r="640" spans="1:126" ht="12.75">
      <c r="B640" s="98" t="s">
        <v>603</v>
      </c>
      <c r="C640" s="1701"/>
      <c r="D640" s="1701"/>
      <c r="E640" s="1701"/>
      <c r="F640" s="1701"/>
      <c r="G640" s="1701"/>
      <c r="H640" s="1701"/>
      <c r="I640" s="1701"/>
      <c r="J640" s="1701"/>
      <c r="K640" s="1701"/>
      <c r="L640" s="1701"/>
      <c r="M640" s="1701"/>
      <c r="N640" s="1962"/>
      <c r="O640" s="1963"/>
      <c r="P640" s="1964"/>
      <c r="Q640" s="1965"/>
      <c r="R640" s="1666"/>
      <c r="S640" s="1667"/>
      <c r="T640" s="1668"/>
      <c r="U640" s="1669"/>
      <c r="V640" s="1670"/>
      <c r="W640" s="1671"/>
      <c r="X640" s="1672" t="s">
        <v>2190</v>
      </c>
      <c r="Y640" s="1673"/>
      <c r="Z640" s="1673"/>
      <c r="AA640" s="1673"/>
      <c r="AB640" s="1674"/>
      <c r="AC640" s="1654"/>
      <c r="AD640" s="1655"/>
      <c r="AE640" s="1656"/>
      <c r="AF640" s="1660"/>
      <c r="AG640" s="1661"/>
      <c r="AH640" s="1661"/>
      <c r="AI640" s="1661"/>
      <c r="AJ640" s="1662"/>
      <c r="AK640" s="1959"/>
      <c r="AL640" s="1960"/>
      <c r="AM640" s="1960"/>
      <c r="AN640" s="1961"/>
      <c r="AO640" s="1777"/>
      <c r="AP640" s="1777"/>
      <c r="AQ640" s="1777"/>
      <c r="AR640" s="1777"/>
      <c r="AS640" s="1777"/>
      <c r="AT640" s="72"/>
      <c r="AU640" s="72"/>
      <c r="AV640" s="72"/>
      <c r="AW640" s="72"/>
      <c r="AX640" s="72"/>
      <c r="AY640" s="72"/>
      <c r="AZ640" s="72"/>
      <c r="BN640" s="1818">
        <f t="shared" si="18"/>
        <v>0</v>
      </c>
      <c r="BO640" s="1819"/>
      <c r="BP640" s="1819"/>
      <c r="BQ640" s="1819"/>
      <c r="BR640" s="1821"/>
      <c r="BS640" s="1818">
        <f t="shared" si="19"/>
        <v>0</v>
      </c>
      <c r="BT640" s="1819"/>
      <c r="BU640" s="1819"/>
      <c r="BV640" s="1819"/>
      <c r="BW640" s="1821"/>
      <c r="BX640" s="1818">
        <f t="shared" si="20"/>
        <v>0</v>
      </c>
      <c r="BY640" s="1819"/>
      <c r="BZ640" s="1819"/>
      <c r="CA640" s="1819"/>
      <c r="CB640" s="1821"/>
      <c r="CC640" s="1818">
        <f t="shared" si="21"/>
        <v>0</v>
      </c>
      <c r="CD640" s="1819"/>
      <c r="CE640" s="1819"/>
      <c r="CF640" s="1819"/>
      <c r="CG640" s="1821"/>
      <c r="CH640" s="1818">
        <f t="shared" si="22"/>
        <v>0</v>
      </c>
      <c r="CI640" s="1819"/>
      <c r="CJ640" s="1819"/>
      <c r="CK640" s="1819"/>
      <c r="CL640" s="1821"/>
      <c r="CM640" s="1818">
        <f t="shared" si="23"/>
        <v>0</v>
      </c>
      <c r="CN640" s="1819"/>
      <c r="CO640" s="1819"/>
      <c r="CP640" s="1819"/>
      <c r="CQ640" s="1821"/>
      <c r="CR640" s="72"/>
      <c r="CS640" s="72"/>
    </row>
    <row r="641" spans="1:97" ht="12.75">
      <c r="B641" s="98" t="s">
        <v>190</v>
      </c>
      <c r="C641" s="1701"/>
      <c r="D641" s="1701"/>
      <c r="E641" s="1701"/>
      <c r="F641" s="1701"/>
      <c r="G641" s="1701"/>
      <c r="H641" s="1701"/>
      <c r="I641" s="1701"/>
      <c r="J641" s="1701"/>
      <c r="K641" s="1701"/>
      <c r="L641" s="1701"/>
      <c r="M641" s="1701"/>
      <c r="N641" s="1962"/>
      <c r="O641" s="1963"/>
      <c r="P641" s="1964"/>
      <c r="Q641" s="1965"/>
      <c r="R641" s="1666"/>
      <c r="S641" s="1667"/>
      <c r="T641" s="1668"/>
      <c r="U641" s="1669"/>
      <c r="V641" s="1670"/>
      <c r="W641" s="1671"/>
      <c r="X641" s="1672" t="s">
        <v>2190</v>
      </c>
      <c r="Y641" s="1673"/>
      <c r="Z641" s="1673"/>
      <c r="AA641" s="1673"/>
      <c r="AB641" s="1674"/>
      <c r="AC641" s="1654"/>
      <c r="AD641" s="1655"/>
      <c r="AE641" s="1656"/>
      <c r="AF641" s="1660"/>
      <c r="AG641" s="1661"/>
      <c r="AH641" s="1661"/>
      <c r="AI641" s="1661"/>
      <c r="AJ641" s="1662"/>
      <c r="AK641" s="1959"/>
      <c r="AL641" s="1960"/>
      <c r="AM641" s="1960"/>
      <c r="AN641" s="1961"/>
      <c r="AO641" s="1777"/>
      <c r="AP641" s="1777"/>
      <c r="AQ641" s="1777"/>
      <c r="AR641" s="1777"/>
      <c r="AS641" s="1777"/>
      <c r="AT641" s="72"/>
      <c r="AU641" s="72"/>
      <c r="AV641" s="72"/>
      <c r="AW641" s="72"/>
      <c r="AX641" s="72"/>
      <c r="AY641" s="72"/>
      <c r="AZ641" s="72"/>
      <c r="BN641" s="1818">
        <f t="shared" si="18"/>
        <v>0</v>
      </c>
      <c r="BO641" s="1819"/>
      <c r="BP641" s="1819"/>
      <c r="BQ641" s="1819"/>
      <c r="BR641" s="1821"/>
      <c r="BS641" s="1818">
        <f t="shared" si="19"/>
        <v>0</v>
      </c>
      <c r="BT641" s="1819"/>
      <c r="BU641" s="1819"/>
      <c r="BV641" s="1819"/>
      <c r="BW641" s="1821"/>
      <c r="BX641" s="1818">
        <f t="shared" si="20"/>
        <v>0</v>
      </c>
      <c r="BY641" s="1819"/>
      <c r="BZ641" s="1819"/>
      <c r="CA641" s="1819"/>
      <c r="CB641" s="1821"/>
      <c r="CC641" s="1818">
        <f t="shared" si="21"/>
        <v>0</v>
      </c>
      <c r="CD641" s="1819"/>
      <c r="CE641" s="1819"/>
      <c r="CF641" s="1819"/>
      <c r="CG641" s="1821"/>
      <c r="CH641" s="1818">
        <f t="shared" si="22"/>
        <v>0</v>
      </c>
      <c r="CI641" s="1819"/>
      <c r="CJ641" s="1819"/>
      <c r="CK641" s="1819"/>
      <c r="CL641" s="1821"/>
      <c r="CM641" s="1818">
        <f t="shared" si="23"/>
        <v>0</v>
      </c>
      <c r="CN641" s="1819"/>
      <c r="CO641" s="1819"/>
      <c r="CP641" s="1819"/>
      <c r="CQ641" s="1821"/>
      <c r="CR641" s="72"/>
      <c r="CS641" s="72"/>
    </row>
    <row r="642" spans="1:97" ht="12.75">
      <c r="B642" s="98" t="s">
        <v>37</v>
      </c>
      <c r="C642" s="1701"/>
      <c r="D642" s="1701"/>
      <c r="E642" s="1701"/>
      <c r="F642" s="1701"/>
      <c r="G642" s="1701"/>
      <c r="H642" s="1701"/>
      <c r="I642" s="1701"/>
      <c r="J642" s="1701"/>
      <c r="K642" s="1701"/>
      <c r="L642" s="1701"/>
      <c r="M642" s="1701"/>
      <c r="N642" s="1962"/>
      <c r="O642" s="1963"/>
      <c r="P642" s="1964"/>
      <c r="Q642" s="1965"/>
      <c r="R642" s="1666"/>
      <c r="S642" s="1667"/>
      <c r="T642" s="1668"/>
      <c r="U642" s="1669"/>
      <c r="V642" s="1670"/>
      <c r="W642" s="1671"/>
      <c r="X642" s="1672" t="s">
        <v>2190</v>
      </c>
      <c r="Y642" s="1673"/>
      <c r="Z642" s="1673"/>
      <c r="AA642" s="1673"/>
      <c r="AB642" s="1674"/>
      <c r="AC642" s="1654"/>
      <c r="AD642" s="1655"/>
      <c r="AE642" s="1656"/>
      <c r="AF642" s="1660"/>
      <c r="AG642" s="1661"/>
      <c r="AH642" s="1661"/>
      <c r="AI642" s="1661"/>
      <c r="AJ642" s="1662"/>
      <c r="AK642" s="1959"/>
      <c r="AL642" s="1960"/>
      <c r="AM642" s="1960"/>
      <c r="AN642" s="1961"/>
      <c r="AO642" s="1777"/>
      <c r="AP642" s="1777"/>
      <c r="AQ642" s="1777"/>
      <c r="AR642" s="1777"/>
      <c r="AS642" s="1777"/>
      <c r="AT642" s="72"/>
      <c r="AU642" s="72"/>
      <c r="AV642" s="72"/>
      <c r="AW642" s="72"/>
      <c r="AX642" s="72"/>
      <c r="AY642" s="72"/>
      <c r="AZ642" s="72"/>
      <c r="BN642" s="1818">
        <f t="shared" si="18"/>
        <v>0</v>
      </c>
      <c r="BO642" s="1819"/>
      <c r="BP642" s="1819"/>
      <c r="BQ642" s="1819"/>
      <c r="BR642" s="1821"/>
      <c r="BS642" s="1818">
        <f t="shared" si="19"/>
        <v>0</v>
      </c>
      <c r="BT642" s="1819"/>
      <c r="BU642" s="1819"/>
      <c r="BV642" s="1819"/>
      <c r="BW642" s="1821"/>
      <c r="BX642" s="1818">
        <f t="shared" si="20"/>
        <v>0</v>
      </c>
      <c r="BY642" s="1819"/>
      <c r="BZ642" s="1819"/>
      <c r="CA642" s="1819"/>
      <c r="CB642" s="1821"/>
      <c r="CC642" s="1818">
        <f t="shared" si="21"/>
        <v>0</v>
      </c>
      <c r="CD642" s="1819"/>
      <c r="CE642" s="1819"/>
      <c r="CF642" s="1819"/>
      <c r="CG642" s="1821"/>
      <c r="CH642" s="1818">
        <f t="shared" si="22"/>
        <v>0</v>
      </c>
      <c r="CI642" s="1819"/>
      <c r="CJ642" s="1819"/>
      <c r="CK642" s="1819"/>
      <c r="CL642" s="1821"/>
      <c r="CM642" s="1818">
        <f t="shared" si="23"/>
        <v>0</v>
      </c>
      <c r="CN642" s="1819"/>
      <c r="CO642" s="1819"/>
      <c r="CP642" s="1819"/>
      <c r="CQ642" s="1821"/>
      <c r="CR642" s="72"/>
      <c r="CS642" s="72"/>
    </row>
    <row r="643" spans="1:97" ht="12.75" customHeight="1">
      <c r="B643" s="98" t="s">
        <v>38</v>
      </c>
      <c r="C643" s="1701"/>
      <c r="D643" s="1701"/>
      <c r="E643" s="1701"/>
      <c r="F643" s="1701"/>
      <c r="G643" s="1701"/>
      <c r="H643" s="1701"/>
      <c r="I643" s="1701"/>
      <c r="J643" s="1701"/>
      <c r="K643" s="1701"/>
      <c r="L643" s="1701"/>
      <c r="M643" s="1701"/>
      <c r="N643" s="1962"/>
      <c r="O643" s="1963"/>
      <c r="P643" s="1964"/>
      <c r="Q643" s="1965"/>
      <c r="R643" s="1666"/>
      <c r="S643" s="1667"/>
      <c r="T643" s="1668"/>
      <c r="U643" s="1669"/>
      <c r="V643" s="1670"/>
      <c r="W643" s="1671"/>
      <c r="X643" s="1672" t="s">
        <v>2190</v>
      </c>
      <c r="Y643" s="1673"/>
      <c r="Z643" s="1673"/>
      <c r="AA643" s="1673"/>
      <c r="AB643" s="1674"/>
      <c r="AC643" s="1654"/>
      <c r="AD643" s="1655"/>
      <c r="AE643" s="1656"/>
      <c r="AF643" s="1660"/>
      <c r="AG643" s="1661"/>
      <c r="AH643" s="1661"/>
      <c r="AI643" s="1661"/>
      <c r="AJ643" s="1662"/>
      <c r="AK643" s="1959"/>
      <c r="AL643" s="1960"/>
      <c r="AM643" s="1960"/>
      <c r="AN643" s="1961"/>
      <c r="AO643" s="1777"/>
      <c r="AP643" s="1777"/>
      <c r="AQ643" s="1777"/>
      <c r="AR643" s="1777"/>
      <c r="AS643" s="1777"/>
      <c r="AT643" s="75"/>
      <c r="AU643" s="75"/>
      <c r="AV643" s="75"/>
      <c r="AW643" s="75"/>
      <c r="AX643" s="75"/>
      <c r="AY643" s="75"/>
      <c r="AZ643" s="75"/>
      <c r="BN643" s="1818">
        <f t="shared" si="18"/>
        <v>0</v>
      </c>
      <c r="BO643" s="1819"/>
      <c r="BP643" s="1819"/>
      <c r="BQ643" s="1819"/>
      <c r="BR643" s="1821"/>
      <c r="BS643" s="1818">
        <f t="shared" si="19"/>
        <v>0</v>
      </c>
      <c r="BT643" s="1819"/>
      <c r="BU643" s="1819"/>
      <c r="BV643" s="1819"/>
      <c r="BW643" s="1821"/>
      <c r="BX643" s="1818">
        <f t="shared" si="20"/>
        <v>0</v>
      </c>
      <c r="BY643" s="1819"/>
      <c r="BZ643" s="1819"/>
      <c r="CA643" s="1819"/>
      <c r="CB643" s="1821"/>
      <c r="CC643" s="1818">
        <f t="shared" si="21"/>
        <v>0</v>
      </c>
      <c r="CD643" s="1819"/>
      <c r="CE643" s="1819"/>
      <c r="CF643" s="1819"/>
      <c r="CG643" s="1821"/>
      <c r="CH643" s="1818">
        <f t="shared" si="22"/>
        <v>0</v>
      </c>
      <c r="CI643" s="1819"/>
      <c r="CJ643" s="1819"/>
      <c r="CK643" s="1819"/>
      <c r="CL643" s="1821"/>
      <c r="CM643" s="1818">
        <f t="shared" si="23"/>
        <v>0</v>
      </c>
      <c r="CN643" s="1819"/>
      <c r="CO643" s="1819"/>
      <c r="CP643" s="1819"/>
      <c r="CQ643" s="1821"/>
      <c r="CR643" s="72"/>
      <c r="CS643" s="72"/>
    </row>
    <row r="644" spans="1:97" ht="12.75" customHeight="1">
      <c r="B644" s="1878" t="s">
        <v>399</v>
      </c>
      <c r="C644" s="1879"/>
      <c r="D644" s="1879"/>
      <c r="E644" s="1879"/>
      <c r="F644" s="1879"/>
      <c r="G644" s="1879"/>
      <c r="H644" s="1879"/>
      <c r="I644" s="1879"/>
      <c r="J644" s="1879"/>
      <c r="K644" s="1879"/>
      <c r="L644" s="1879"/>
      <c r="M644" s="1879"/>
      <c r="N644" s="1879"/>
      <c r="O644" s="1879"/>
      <c r="P644" s="1879"/>
      <c r="Q644" s="1879"/>
      <c r="R644" s="1879"/>
      <c r="S644" s="1879"/>
      <c r="T644" s="1879"/>
      <c r="U644" s="1879"/>
      <c r="V644" s="1879"/>
      <c r="W644" s="1879"/>
      <c r="X644" s="1879"/>
      <c r="Y644" s="1879"/>
      <c r="Z644" s="1879"/>
      <c r="AA644" s="1879"/>
      <c r="AB644" s="1879"/>
      <c r="AC644" s="1879"/>
      <c r="AD644" s="1879"/>
      <c r="AE644" s="1879"/>
      <c r="AF644" s="1879"/>
      <c r="AG644" s="1879"/>
      <c r="AH644" s="1879"/>
      <c r="AI644" s="1879"/>
      <c r="AJ644" s="1879"/>
      <c r="AK644" s="1879"/>
      <c r="AL644" s="1879"/>
      <c r="AM644" s="1879"/>
      <c r="AN644" s="1880"/>
      <c r="AO644" s="1732">
        <f>SUM(AO632:AS643)</f>
        <v>13427449</v>
      </c>
      <c r="AP644" s="1733"/>
      <c r="AQ644" s="1733"/>
      <c r="AR644" s="1733"/>
      <c r="AS644" s="1734"/>
      <c r="AT644" s="75"/>
      <c r="AU644" s="75"/>
      <c r="AV644" s="75"/>
      <c r="AW644" s="75"/>
      <c r="AX644" s="75"/>
      <c r="AY644" s="75"/>
      <c r="AZ644" s="75"/>
      <c r="BN644" s="1818">
        <f t="shared" si="18"/>
        <v>0</v>
      </c>
      <c r="BO644" s="1819"/>
      <c r="BP644" s="1819"/>
      <c r="BQ644" s="1819"/>
      <c r="BR644" s="1821"/>
      <c r="BS644" s="1818">
        <f t="shared" si="19"/>
        <v>0</v>
      </c>
      <c r="BT644" s="1819"/>
      <c r="BU644" s="1819"/>
      <c r="BV644" s="1819"/>
      <c r="BW644" s="1821"/>
      <c r="BX644" s="1818">
        <f t="shared" si="20"/>
        <v>0</v>
      </c>
      <c r="BY644" s="1819"/>
      <c r="BZ644" s="1819"/>
      <c r="CA644" s="1819"/>
      <c r="CB644" s="1821"/>
      <c r="CC644" s="1818">
        <f t="shared" si="21"/>
        <v>0</v>
      </c>
      <c r="CD644" s="1819"/>
      <c r="CE644" s="1819"/>
      <c r="CF644" s="1819"/>
      <c r="CG644" s="1821"/>
      <c r="CH644" s="1818">
        <f t="shared" si="22"/>
        <v>0</v>
      </c>
      <c r="CI644" s="1819"/>
      <c r="CJ644" s="1819"/>
      <c r="CK644" s="1819"/>
      <c r="CL644" s="1821"/>
      <c r="CM644" s="1818">
        <f t="shared" si="23"/>
        <v>0</v>
      </c>
      <c r="CN644" s="1819"/>
      <c r="CO644" s="1819"/>
      <c r="CP644" s="1819"/>
      <c r="CQ644" s="1821"/>
      <c r="CR644" s="72"/>
      <c r="CS644" s="72"/>
    </row>
    <row r="645" spans="1:97" ht="12.75">
      <c r="B645" s="1878" t="s">
        <v>400</v>
      </c>
      <c r="C645" s="1879"/>
      <c r="D645" s="1879"/>
      <c r="E645" s="1879"/>
      <c r="F645" s="1879"/>
      <c r="G645" s="1879"/>
      <c r="H645" s="1879"/>
      <c r="I645" s="1879"/>
      <c r="J645" s="1879"/>
      <c r="K645" s="1879"/>
      <c r="L645" s="1879"/>
      <c r="M645" s="1879"/>
      <c r="N645" s="1879"/>
      <c r="O645" s="1879"/>
      <c r="P645" s="1879"/>
      <c r="Q645" s="1879"/>
      <c r="R645" s="1879"/>
      <c r="S645" s="1879"/>
      <c r="T645" s="1879"/>
      <c r="U645" s="1879"/>
      <c r="V645" s="1879"/>
      <c r="W645" s="1879"/>
      <c r="X645" s="1879"/>
      <c r="Y645" s="1879"/>
      <c r="Z645" s="1879"/>
      <c r="AA645" s="1879"/>
      <c r="AB645" s="1879"/>
      <c r="AC645" s="1879"/>
      <c r="AD645" s="1879"/>
      <c r="AE645" s="1879"/>
      <c r="AF645" s="1879"/>
      <c r="AG645" s="1879"/>
      <c r="AH645" s="1879"/>
      <c r="AI645" s="1879"/>
      <c r="AJ645" s="1879"/>
      <c r="AK645" s="1879"/>
      <c r="AL645" s="1879"/>
      <c r="AM645" s="1879"/>
      <c r="AN645" s="1880"/>
      <c r="AO645" s="1725">
        <v>22323652</v>
      </c>
      <c r="AP645" s="1726"/>
      <c r="AQ645" s="1726"/>
      <c r="AR645" s="1726"/>
      <c r="AS645" s="1727"/>
      <c r="AT645" s="75"/>
      <c r="AU645" s="75"/>
      <c r="AV645" s="75"/>
      <c r="AW645" s="75"/>
      <c r="AX645" s="75"/>
      <c r="AY645" s="75"/>
      <c r="AZ645" s="75"/>
      <c r="BN645" s="1818">
        <f t="shared" si="18"/>
        <v>0</v>
      </c>
      <c r="BO645" s="1819"/>
      <c r="BP645" s="1819"/>
      <c r="BQ645" s="1819"/>
      <c r="BR645" s="1821"/>
      <c r="BS645" s="1818">
        <f t="shared" si="19"/>
        <v>0</v>
      </c>
      <c r="BT645" s="1819"/>
      <c r="BU645" s="1819"/>
      <c r="BV645" s="1819"/>
      <c r="BW645" s="1821"/>
      <c r="BX645" s="1818">
        <f t="shared" si="20"/>
        <v>0</v>
      </c>
      <c r="BY645" s="1819"/>
      <c r="BZ645" s="1819"/>
      <c r="CA645" s="1819"/>
      <c r="CB645" s="1821"/>
      <c r="CC645" s="1818">
        <f t="shared" si="21"/>
        <v>0</v>
      </c>
      <c r="CD645" s="1819"/>
      <c r="CE645" s="1819"/>
      <c r="CF645" s="1819"/>
      <c r="CG645" s="1821"/>
      <c r="CH645" s="1818">
        <f t="shared" si="22"/>
        <v>0</v>
      </c>
      <c r="CI645" s="1819"/>
      <c r="CJ645" s="1819"/>
      <c r="CK645" s="1819"/>
      <c r="CL645" s="1821"/>
      <c r="CM645" s="1818">
        <f t="shared" si="23"/>
        <v>0</v>
      </c>
      <c r="CN645" s="1819"/>
      <c r="CO645" s="1819"/>
      <c r="CP645" s="1819"/>
      <c r="CQ645" s="1821"/>
      <c r="CR645" s="72"/>
      <c r="CS645" s="72"/>
    </row>
    <row r="646" spans="1:97" ht="12.75">
      <c r="B646" s="2064" t="s">
        <v>1023</v>
      </c>
      <c r="C646" s="2065"/>
      <c r="D646" s="2065"/>
      <c r="E646" s="2065"/>
      <c r="F646" s="2065"/>
      <c r="G646" s="2065"/>
      <c r="H646" s="2065"/>
      <c r="I646" s="2065"/>
      <c r="J646" s="2065"/>
      <c r="K646" s="2065"/>
      <c r="L646" s="2065"/>
      <c r="M646" s="2065"/>
      <c r="N646" s="2065"/>
      <c r="O646" s="2065"/>
      <c r="P646" s="2065"/>
      <c r="Q646" s="2065"/>
      <c r="R646" s="2065"/>
      <c r="S646" s="2065"/>
      <c r="T646" s="2065"/>
      <c r="U646" s="2065"/>
      <c r="V646" s="2065"/>
      <c r="W646" s="2065"/>
      <c r="X646" s="2065"/>
      <c r="Y646" s="2065"/>
      <c r="Z646" s="2065"/>
      <c r="AA646" s="2065"/>
      <c r="AB646" s="2065"/>
      <c r="AC646" s="2065"/>
      <c r="AD646" s="2065"/>
      <c r="AE646" s="2065"/>
      <c r="AF646" s="2065"/>
      <c r="AG646" s="2065"/>
      <c r="AH646" s="2065"/>
      <c r="AI646" s="2065"/>
      <c r="AJ646" s="2065"/>
      <c r="AK646" s="2065"/>
      <c r="AL646" s="2065"/>
      <c r="AM646" s="2065"/>
      <c r="AN646" s="2066"/>
      <c r="AO646" s="1732">
        <f>AO644+AO645</f>
        <v>35751101</v>
      </c>
      <c r="AP646" s="1733"/>
      <c r="AQ646" s="1733"/>
      <c r="AR646" s="1733"/>
      <c r="AS646" s="1734"/>
      <c r="AT646" s="75"/>
      <c r="AU646" s="75"/>
      <c r="AV646" s="75"/>
      <c r="AW646" s="75"/>
      <c r="AX646" s="75"/>
      <c r="AY646" s="75"/>
      <c r="AZ646" s="75"/>
      <c r="BN646" s="2138">
        <f>SUM(BN636:BR645)</f>
        <v>0</v>
      </c>
      <c r="BO646" s="2139"/>
      <c r="BP646" s="2139"/>
      <c r="BQ646" s="2139"/>
      <c r="BR646" s="2140"/>
      <c r="BS646" s="2138">
        <f>SUM(BS636:BW645)</f>
        <v>0</v>
      </c>
      <c r="BT646" s="2139"/>
      <c r="BU646" s="2139"/>
      <c r="BV646" s="2139"/>
      <c r="BW646" s="2140"/>
      <c r="BX646" s="2138">
        <f>SUM(BX636:CB645)</f>
        <v>0</v>
      </c>
      <c r="BY646" s="2139"/>
      <c r="BZ646" s="2139"/>
      <c r="CA646" s="2139"/>
      <c r="CB646" s="2140"/>
      <c r="CC646" s="2138">
        <f>SUM(CC636:CG645)</f>
        <v>0</v>
      </c>
      <c r="CD646" s="2139"/>
      <c r="CE646" s="2139"/>
      <c r="CF646" s="2139"/>
      <c r="CG646" s="2140"/>
      <c r="CH646" s="2138">
        <f>SUM(CH636:CL645)</f>
        <v>0</v>
      </c>
      <c r="CI646" s="2139"/>
      <c r="CJ646" s="2139"/>
      <c r="CK646" s="2139"/>
      <c r="CL646" s="2140"/>
      <c r="CM646" s="2138">
        <f>SUM(CM636:CQ645)</f>
        <v>0</v>
      </c>
      <c r="CN646" s="2139"/>
      <c r="CO646" s="2139"/>
      <c r="CP646" s="2139"/>
      <c r="CQ646" s="214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663" t="str">
        <f>C632</f>
        <v>Pacific Western Bank Perm Loan</v>
      </c>
      <c r="H648" s="1663"/>
      <c r="I648" s="1663"/>
      <c r="J648" s="1663"/>
      <c r="K648" s="1663"/>
      <c r="L648" s="1663"/>
      <c r="M648" s="1663"/>
      <c r="N648" s="1663"/>
      <c r="O648" s="1663"/>
      <c r="P648" s="1663"/>
      <c r="Q648" s="1663"/>
      <c r="R648" s="1663"/>
      <c r="S648" s="18"/>
      <c r="T648" s="101" t="s">
        <v>984</v>
      </c>
      <c r="U648" s="16" t="s">
        <v>93</v>
      </c>
      <c r="Z648" s="1663" t="str">
        <f>C633</f>
        <v>Developer Capital - Excess Land</v>
      </c>
      <c r="AA648" s="1663"/>
      <c r="AB648" s="1663"/>
      <c r="AC648" s="1663"/>
      <c r="AD648" s="1663"/>
      <c r="AE648" s="1663"/>
      <c r="AF648" s="1663"/>
      <c r="AG648" s="1663"/>
      <c r="AH648" s="1663"/>
      <c r="AI648" s="1663"/>
      <c r="AJ648" s="1663"/>
      <c r="AK648" s="1663"/>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57" t="s">
        <v>2454</v>
      </c>
      <c r="H649" s="1658"/>
      <c r="I649" s="1658"/>
      <c r="J649" s="1658"/>
      <c r="K649" s="1658"/>
      <c r="L649" s="1658"/>
      <c r="M649" s="1658"/>
      <c r="N649" s="1658"/>
      <c r="O649" s="1658"/>
      <c r="P649" s="1658"/>
      <c r="Q649" s="1658"/>
      <c r="R649" s="1658"/>
      <c r="S649" s="18"/>
      <c r="T649" s="46"/>
      <c r="U649" s="16" t="s">
        <v>413</v>
      </c>
      <c r="Z649" s="1657" t="s">
        <v>2353</v>
      </c>
      <c r="AA649" s="1658"/>
      <c r="AB649" s="1658"/>
      <c r="AC649" s="1658"/>
      <c r="AD649" s="1658"/>
      <c r="AE649" s="1658"/>
      <c r="AF649" s="1658"/>
      <c r="AG649" s="1658"/>
      <c r="AH649" s="1658"/>
      <c r="AI649" s="1658"/>
      <c r="AJ649" s="1658"/>
      <c r="AK649" s="1658"/>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57" t="s">
        <v>2455</v>
      </c>
      <c r="H650" s="1658"/>
      <c r="I650" s="1658"/>
      <c r="J650" s="1658"/>
      <c r="K650" s="1658"/>
      <c r="L650" s="1658"/>
      <c r="M650" s="1658"/>
      <c r="N650" s="1658"/>
      <c r="O650" s="1658"/>
      <c r="P650" s="1658"/>
      <c r="Q650" s="1658"/>
      <c r="R650" s="1658"/>
      <c r="S650" s="102"/>
      <c r="T650" s="46"/>
      <c r="U650" s="16" t="s">
        <v>476</v>
      </c>
      <c r="Z650" s="1957" t="s">
        <v>2368</v>
      </c>
      <c r="AA650" s="1958"/>
      <c r="AB650" s="1958"/>
      <c r="AC650" s="1958"/>
      <c r="AD650" s="1958"/>
      <c r="AE650" s="1958"/>
      <c r="AF650" s="1958"/>
      <c r="AG650" s="1958"/>
      <c r="AH650" s="1958"/>
      <c r="AI650" s="1958"/>
      <c r="AJ650" s="1958"/>
      <c r="AK650" s="1958"/>
      <c r="AM650" s="75"/>
      <c r="AN650" s="75"/>
      <c r="AO650" s="75"/>
      <c r="AP650" s="75"/>
      <c r="AQ650" s="75"/>
      <c r="AR650" s="75"/>
      <c r="AS650" s="75"/>
      <c r="AT650" s="75"/>
      <c r="AU650" s="75"/>
      <c r="AV650" s="75"/>
      <c r="AW650" s="75"/>
      <c r="AX650" s="75"/>
      <c r="AY650" s="75"/>
      <c r="AZ650" s="75"/>
      <c r="CP650" s="1351" t="s">
        <v>1892</v>
      </c>
      <c r="CQ650" s="715">
        <f>CQ648+CQ629</f>
        <v>84</v>
      </c>
      <c r="CR650" s="72"/>
      <c r="CS650" s="72"/>
    </row>
    <row r="651" spans="1:97" ht="12.75">
      <c r="A651" s="46"/>
      <c r="B651" s="16" t="s">
        <v>907</v>
      </c>
      <c r="G651" s="1657" t="s">
        <v>2456</v>
      </c>
      <c r="H651" s="1658"/>
      <c r="I651" s="1658"/>
      <c r="J651" s="1658"/>
      <c r="K651" s="1658"/>
      <c r="L651" s="1658"/>
      <c r="M651" s="1658"/>
      <c r="N651" s="1658"/>
      <c r="O651" s="1658"/>
      <c r="P651" s="1658"/>
      <c r="Q651" s="1658"/>
      <c r="R651" s="1658"/>
      <c r="S651" s="18"/>
      <c r="T651" s="46"/>
      <c r="U651" s="16" t="s">
        <v>907</v>
      </c>
      <c r="Z651" s="1957" t="s">
        <v>2355</v>
      </c>
      <c r="AA651" s="1958"/>
      <c r="AB651" s="1958"/>
      <c r="AC651" s="1958"/>
      <c r="AD651" s="1958"/>
      <c r="AE651" s="1958"/>
      <c r="AF651" s="1958"/>
      <c r="AG651" s="1958"/>
      <c r="AH651" s="1958"/>
      <c r="AI651" s="1958"/>
      <c r="AJ651" s="1958"/>
      <c r="AK651" s="1958"/>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9" t="s">
        <v>2457</v>
      </c>
      <c r="H652" s="1659"/>
      <c r="I652" s="1659"/>
      <c r="J652" s="1659"/>
      <c r="K652" s="1659"/>
      <c r="L652" s="1659"/>
      <c r="O652" s="149" t="s">
        <v>892</v>
      </c>
      <c r="P652" s="1675"/>
      <c r="Q652" s="1675"/>
      <c r="R652" s="1675"/>
      <c r="S652" s="20"/>
      <c r="T652" s="46"/>
      <c r="U652" s="16" t="s">
        <v>712</v>
      </c>
      <c r="Z652" s="1703" t="s">
        <v>2466</v>
      </c>
      <c r="AA652" s="1665"/>
      <c r="AB652" s="1665"/>
      <c r="AC652" s="1665"/>
      <c r="AD652" s="1665"/>
      <c r="AE652" s="1665"/>
      <c r="AH652" s="149" t="s">
        <v>892</v>
      </c>
      <c r="AI652" s="1675"/>
      <c r="AJ652" s="1675"/>
      <c r="AK652" s="1675"/>
      <c r="AM652" s="75"/>
      <c r="AN652" s="75"/>
      <c r="AO652" s="75"/>
      <c r="AP652" s="75"/>
      <c r="AQ652" s="75"/>
      <c r="AR652" s="75"/>
      <c r="AS652" s="75"/>
      <c r="AT652" s="75"/>
      <c r="AU652" s="75"/>
      <c r="AV652" s="75"/>
      <c r="AW652" s="75"/>
      <c r="AX652" s="75"/>
      <c r="AY652" s="75"/>
      <c r="AZ652" s="75"/>
      <c r="BN652" s="2138">
        <f>BN627+BN634+BN646</f>
        <v>12</v>
      </c>
      <c r="BO652" s="2139"/>
      <c r="BP652" s="2139"/>
      <c r="BQ652" s="2139"/>
      <c r="BR652" s="2140"/>
      <c r="BS652" s="2138">
        <f>BS627+BS634+BS646</f>
        <v>12</v>
      </c>
      <c r="BT652" s="2139"/>
      <c r="BU652" s="2139"/>
      <c r="BV652" s="2139"/>
      <c r="BW652" s="2140"/>
      <c r="BX652" s="2138">
        <f>BX627+BX634+BX646</f>
        <v>12</v>
      </c>
      <c r="BY652" s="2139"/>
      <c r="BZ652" s="2139"/>
      <c r="CA652" s="2139"/>
      <c r="CB652" s="2140"/>
      <c r="CC652" s="2138">
        <f>CC627+CC634+CC646</f>
        <v>13</v>
      </c>
      <c r="CD652" s="2139"/>
      <c r="CE652" s="2139"/>
      <c r="CF652" s="2139"/>
      <c r="CG652" s="2140"/>
      <c r="CH652" s="2138">
        <f>CH627+CH634+CH646</f>
        <v>0</v>
      </c>
      <c r="CI652" s="2139"/>
      <c r="CJ652" s="2139"/>
      <c r="CK652" s="2139"/>
      <c r="CL652" s="2140"/>
      <c r="CM652" s="1822">
        <f>CM646+CM634+CM627</f>
        <v>0</v>
      </c>
      <c r="CN652" s="2137"/>
      <c r="CO652" s="2137"/>
      <c r="CP652" s="2137"/>
      <c r="CQ652" s="1823"/>
      <c r="CR652" s="72"/>
      <c r="CS652" s="72"/>
    </row>
    <row r="653" spans="1:97" ht="12.75">
      <c r="A653" s="46"/>
      <c r="B653" s="16" t="s">
        <v>908</v>
      </c>
      <c r="H653" s="1657" t="s">
        <v>2458</v>
      </c>
      <c r="I653" s="1658"/>
      <c r="J653" s="1658"/>
      <c r="K653" s="1658"/>
      <c r="L653" s="1658"/>
      <c r="M653" s="1658"/>
      <c r="N653" s="1658"/>
      <c r="O653" s="1658"/>
      <c r="P653" s="1658"/>
      <c r="Q653" s="1658"/>
      <c r="R653" s="1658"/>
      <c r="S653" s="18"/>
      <c r="T653" s="46"/>
      <c r="U653" s="16" t="s">
        <v>908</v>
      </c>
      <c r="AA653" s="1680" t="s">
        <v>2470</v>
      </c>
      <c r="AB653" s="1664"/>
      <c r="AC653" s="1664"/>
      <c r="AD653" s="1664"/>
      <c r="AE653" s="1664"/>
      <c r="AF653" s="1664"/>
      <c r="AG653" s="1664"/>
      <c r="AH653" s="1664"/>
      <c r="AI653" s="1664"/>
      <c r="AJ653" s="1664"/>
      <c r="AK653" s="166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77" t="s">
        <v>119</v>
      </c>
      <c r="O654" s="1677"/>
      <c r="T654" s="46"/>
      <c r="U654" s="16" t="s">
        <v>910</v>
      </c>
      <c r="AG654" s="1677" t="s">
        <v>119</v>
      </c>
      <c r="AH654" s="16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663" t="str">
        <f>C634</f>
        <v>Solar Tax Credit Equity</v>
      </c>
      <c r="H656" s="1663"/>
      <c r="I656" s="1663"/>
      <c r="J656" s="1663"/>
      <c r="K656" s="1663"/>
      <c r="L656" s="1663"/>
      <c r="M656" s="1663"/>
      <c r="N656" s="1663"/>
      <c r="O656" s="1663"/>
      <c r="P656" s="1663"/>
      <c r="Q656" s="1663"/>
      <c r="R656" s="1663"/>
      <c r="T656" s="101" t="s">
        <v>477</v>
      </c>
      <c r="U656" s="16" t="s">
        <v>93</v>
      </c>
      <c r="Z656" s="1663" t="str">
        <f>C635</f>
        <v>City of Petaluma</v>
      </c>
      <c r="AA656" s="1663"/>
      <c r="AB656" s="1663"/>
      <c r="AC656" s="1663"/>
      <c r="AD656" s="1663"/>
      <c r="AE656" s="1663"/>
      <c r="AF656" s="1663"/>
      <c r="AG656" s="1663"/>
      <c r="AH656" s="1663"/>
      <c r="AI656" s="1663"/>
      <c r="AJ656" s="1663"/>
      <c r="AK656" s="166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57" t="s">
        <v>2399</v>
      </c>
      <c r="H657" s="1658"/>
      <c r="I657" s="1658"/>
      <c r="J657" s="1658"/>
      <c r="K657" s="1658"/>
      <c r="L657" s="1658"/>
      <c r="M657" s="1658"/>
      <c r="N657" s="1658"/>
      <c r="O657" s="1658"/>
      <c r="P657" s="1658"/>
      <c r="Q657" s="1658"/>
      <c r="R657" s="1658"/>
      <c r="T657" s="46"/>
      <c r="U657" s="16" t="s">
        <v>413</v>
      </c>
      <c r="Z657" s="1658" t="s">
        <v>2467</v>
      </c>
      <c r="AA657" s="1658"/>
      <c r="AB657" s="1658"/>
      <c r="AC657" s="1658"/>
      <c r="AD657" s="1658"/>
      <c r="AE657" s="1658"/>
      <c r="AF657" s="1658"/>
      <c r="AG657" s="1658"/>
      <c r="AH657" s="1658"/>
      <c r="AI657" s="1658"/>
      <c r="AJ657" s="1658"/>
      <c r="AK657" s="165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957" t="s">
        <v>2463</v>
      </c>
      <c r="H658" s="1958"/>
      <c r="I658" s="1958"/>
      <c r="J658" s="1958"/>
      <c r="K658" s="1958"/>
      <c r="L658" s="1958"/>
      <c r="M658" s="1958"/>
      <c r="N658" s="1958"/>
      <c r="O658" s="1958"/>
      <c r="P658" s="1958"/>
      <c r="Q658" s="1958"/>
      <c r="R658" s="1958"/>
      <c r="T658" s="46"/>
      <c r="U658" s="16" t="s">
        <v>476</v>
      </c>
      <c r="Z658" s="1957" t="s">
        <v>2422</v>
      </c>
      <c r="AA658" s="1958"/>
      <c r="AB658" s="1958"/>
      <c r="AC658" s="1958"/>
      <c r="AD658" s="1958"/>
      <c r="AE658" s="1958"/>
      <c r="AF658" s="1958"/>
      <c r="AG658" s="1958"/>
      <c r="AH658" s="1958"/>
      <c r="AI658" s="1958"/>
      <c r="AJ658" s="1958"/>
      <c r="AK658" s="195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957" t="s">
        <v>2401</v>
      </c>
      <c r="H659" s="1958"/>
      <c r="I659" s="1958"/>
      <c r="J659" s="1958"/>
      <c r="K659" s="1958"/>
      <c r="L659" s="1958"/>
      <c r="M659" s="1958"/>
      <c r="N659" s="1958"/>
      <c r="O659" s="1958"/>
      <c r="P659" s="1958"/>
      <c r="Q659" s="1958"/>
      <c r="R659" s="1958"/>
      <c r="T659" s="46"/>
      <c r="U659" s="16" t="s">
        <v>907</v>
      </c>
      <c r="Z659" s="1957" t="s">
        <v>2439</v>
      </c>
      <c r="AA659" s="1958"/>
      <c r="AB659" s="1958"/>
      <c r="AC659" s="1958"/>
      <c r="AD659" s="1958"/>
      <c r="AE659" s="1958"/>
      <c r="AF659" s="1958"/>
      <c r="AG659" s="1958"/>
      <c r="AH659" s="1958"/>
      <c r="AI659" s="1958"/>
      <c r="AJ659" s="1958"/>
      <c r="AK659" s="195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9" t="s">
        <v>2464</v>
      </c>
      <c r="H660" s="1659"/>
      <c r="I660" s="1659"/>
      <c r="J660" s="1659"/>
      <c r="K660" s="1659"/>
      <c r="L660" s="1659"/>
      <c r="O660" s="149" t="s">
        <v>892</v>
      </c>
      <c r="P660" s="1675"/>
      <c r="Q660" s="1675"/>
      <c r="R660" s="1675"/>
      <c r="T660" s="46"/>
      <c r="U660" s="16" t="s">
        <v>712</v>
      </c>
      <c r="Z660" s="1665"/>
      <c r="AA660" s="1665"/>
      <c r="AB660" s="1665"/>
      <c r="AC660" s="1665"/>
      <c r="AD660" s="1665"/>
      <c r="AE660" s="1665"/>
      <c r="AH660" s="149" t="s">
        <v>892</v>
      </c>
      <c r="AI660" s="1675"/>
      <c r="AJ660" s="1675"/>
      <c r="AK660" s="167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57" t="s">
        <v>2465</v>
      </c>
      <c r="I661" s="1658"/>
      <c r="J661" s="1658"/>
      <c r="K661" s="1658"/>
      <c r="L661" s="1658"/>
      <c r="M661" s="1658"/>
      <c r="N661" s="1658"/>
      <c r="O661" s="1658"/>
      <c r="P661" s="1658"/>
      <c r="Q661" s="1658"/>
      <c r="R661" s="1658"/>
      <c r="T661" s="46"/>
      <c r="U661" s="16" t="s">
        <v>908</v>
      </c>
      <c r="AA661" s="1680" t="s">
        <v>2468</v>
      </c>
      <c r="AB661" s="1664"/>
      <c r="AC661" s="1664"/>
      <c r="AD661" s="1664"/>
      <c r="AE661" s="1664"/>
      <c r="AF661" s="1664"/>
      <c r="AG661" s="1664"/>
      <c r="AH661" s="1664"/>
      <c r="AI661" s="1664"/>
      <c r="AJ661" s="1664"/>
      <c r="AK661" s="1664"/>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77" t="s">
        <v>119</v>
      </c>
      <c r="O662" s="1677"/>
      <c r="T662" s="46"/>
      <c r="U662" s="16" t="s">
        <v>910</v>
      </c>
      <c r="AG662" s="1677" t="s">
        <v>119</v>
      </c>
      <c r="AH662" s="16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663" t="str">
        <f>C636</f>
        <v xml:space="preserve">Developer Note </v>
      </c>
      <c r="H664" s="1663"/>
      <c r="I664" s="1663"/>
      <c r="J664" s="1663"/>
      <c r="K664" s="1663"/>
      <c r="L664" s="1663"/>
      <c r="M664" s="1663"/>
      <c r="N664" s="1663"/>
      <c r="O664" s="1663"/>
      <c r="P664" s="1663"/>
      <c r="Q664" s="1663"/>
      <c r="R664" s="1663"/>
      <c r="T664" s="101" t="s">
        <v>480</v>
      </c>
      <c r="U664" s="16" t="s">
        <v>93</v>
      </c>
      <c r="Z664" s="1663">
        <f>C637</f>
        <v>0</v>
      </c>
      <c r="AA664" s="1663"/>
      <c r="AB664" s="1663"/>
      <c r="AC664" s="1663"/>
      <c r="AD664" s="1663"/>
      <c r="AE664" s="1663"/>
      <c r="AF664" s="1663"/>
      <c r="AG664" s="1663"/>
      <c r="AH664" s="1663"/>
      <c r="AI664" s="1663"/>
      <c r="AJ664" s="1663"/>
      <c r="AK664" s="166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57" t="s">
        <v>2353</v>
      </c>
      <c r="H665" s="1658"/>
      <c r="I665" s="1658"/>
      <c r="J665" s="1658"/>
      <c r="K665" s="1658"/>
      <c r="L665" s="1658"/>
      <c r="M665" s="1658"/>
      <c r="N665" s="1658"/>
      <c r="O665" s="1658"/>
      <c r="P665" s="1658"/>
      <c r="Q665" s="1658"/>
      <c r="R665" s="1658"/>
      <c r="T665" s="46"/>
      <c r="U665" s="16" t="s">
        <v>413</v>
      </c>
      <c r="Z665" s="1664"/>
      <c r="AA665" s="1664"/>
      <c r="AB665" s="1664"/>
      <c r="AC665" s="1664"/>
      <c r="AD665" s="1664"/>
      <c r="AE665" s="1664"/>
      <c r="AF665" s="1664"/>
      <c r="AG665" s="1664"/>
      <c r="AH665" s="1664"/>
      <c r="AI665" s="1664"/>
      <c r="AJ665" s="1664"/>
      <c r="AK665" s="166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957" t="s">
        <v>2368</v>
      </c>
      <c r="H666" s="1958"/>
      <c r="I666" s="1958"/>
      <c r="J666" s="1958"/>
      <c r="K666" s="1958"/>
      <c r="L666" s="1958"/>
      <c r="M666" s="1958"/>
      <c r="N666" s="1958"/>
      <c r="O666" s="1958"/>
      <c r="P666" s="1958"/>
      <c r="Q666" s="1958"/>
      <c r="R666" s="1958"/>
      <c r="T666" s="46"/>
      <c r="U666" s="16" t="s">
        <v>476</v>
      </c>
      <c r="Z666" s="1676"/>
      <c r="AA666" s="1676"/>
      <c r="AB666" s="1676"/>
      <c r="AC666" s="1676"/>
      <c r="AD666" s="1676"/>
      <c r="AE666" s="1676"/>
      <c r="AF666" s="1676"/>
      <c r="AG666" s="1676"/>
      <c r="AH666" s="1676"/>
      <c r="AI666" s="1676"/>
      <c r="AJ666" s="1676"/>
      <c r="AK666" s="16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957" t="s">
        <v>2355</v>
      </c>
      <c r="H667" s="1958"/>
      <c r="I667" s="1958"/>
      <c r="J667" s="1958"/>
      <c r="K667" s="1958"/>
      <c r="L667" s="1958"/>
      <c r="M667" s="1958"/>
      <c r="N667" s="1958"/>
      <c r="O667" s="1958"/>
      <c r="P667" s="1958"/>
      <c r="Q667" s="1958"/>
      <c r="R667" s="1958"/>
      <c r="T667" s="46"/>
      <c r="U667" s="16" t="s">
        <v>907</v>
      </c>
      <c r="Z667" s="1676"/>
      <c r="AA667" s="1676"/>
      <c r="AB667" s="1676"/>
      <c r="AC667" s="1676"/>
      <c r="AD667" s="1676"/>
      <c r="AE667" s="1676"/>
      <c r="AF667" s="1676"/>
      <c r="AG667" s="1676"/>
      <c r="AH667" s="1676"/>
      <c r="AI667" s="1676"/>
      <c r="AJ667" s="1676"/>
      <c r="AK667" s="16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703" t="s">
        <v>2466</v>
      </c>
      <c r="H668" s="1665"/>
      <c r="I668" s="1665"/>
      <c r="J668" s="1665"/>
      <c r="K668" s="1665"/>
      <c r="L668" s="1665"/>
      <c r="O668" s="149" t="s">
        <v>892</v>
      </c>
      <c r="P668" s="1675"/>
      <c r="Q668" s="1675"/>
      <c r="R668" s="1675"/>
      <c r="T668" s="46"/>
      <c r="U668" s="16" t="s">
        <v>712</v>
      </c>
      <c r="Z668" s="1665"/>
      <c r="AA668" s="1665"/>
      <c r="AB668" s="1665"/>
      <c r="AC668" s="1665"/>
      <c r="AD668" s="1665"/>
      <c r="AE668" s="1665"/>
      <c r="AH668" s="149" t="s">
        <v>892</v>
      </c>
      <c r="AI668" s="1675"/>
      <c r="AJ668" s="1675"/>
      <c r="AK668" s="167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80" t="s">
        <v>2469</v>
      </c>
      <c r="I669" s="1664"/>
      <c r="J669" s="1664"/>
      <c r="K669" s="1664"/>
      <c r="L669" s="1664"/>
      <c r="M669" s="1664"/>
      <c r="N669" s="1664"/>
      <c r="O669" s="1664"/>
      <c r="P669" s="1664"/>
      <c r="Q669" s="1664"/>
      <c r="R669" s="1664"/>
      <c r="T669" s="46"/>
      <c r="U669" s="16" t="s">
        <v>908</v>
      </c>
      <c r="AA669" s="1664"/>
      <c r="AB669" s="1664"/>
      <c r="AC669" s="1664"/>
      <c r="AD669" s="1664"/>
      <c r="AE669" s="1664"/>
      <c r="AF669" s="1664"/>
      <c r="AG669" s="1664"/>
      <c r="AH669" s="1664"/>
      <c r="AI669" s="1664"/>
      <c r="AJ669" s="1664"/>
      <c r="AK669" s="166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77" t="s">
        <v>119</v>
      </c>
      <c r="O670" s="1677"/>
      <c r="T670" s="46"/>
      <c r="U670" s="16" t="s">
        <v>910</v>
      </c>
      <c r="AG670" s="1677" t="s">
        <v>528</v>
      </c>
      <c r="AH670" s="16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663">
        <f>C638</f>
        <v>0</v>
      </c>
      <c r="H672" s="1663"/>
      <c r="I672" s="1663"/>
      <c r="J672" s="1663"/>
      <c r="K672" s="1663"/>
      <c r="L672" s="1663"/>
      <c r="M672" s="1663"/>
      <c r="N672" s="1663"/>
      <c r="O672" s="1663"/>
      <c r="P672" s="1663"/>
      <c r="Q672" s="1663"/>
      <c r="R672" s="1663"/>
      <c r="T672" s="101" t="s">
        <v>806</v>
      </c>
      <c r="U672" s="16" t="s">
        <v>93</v>
      </c>
      <c r="Z672" s="1663">
        <f>C639</f>
        <v>0</v>
      </c>
      <c r="AA672" s="1663"/>
      <c r="AB672" s="1663"/>
      <c r="AC672" s="1663"/>
      <c r="AD672" s="1663"/>
      <c r="AE672" s="1663"/>
      <c r="AF672" s="1663"/>
      <c r="AG672" s="1663"/>
      <c r="AH672" s="1663"/>
      <c r="AI672" s="1663"/>
      <c r="AJ672" s="1663"/>
      <c r="AK672" s="166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4"/>
      <c r="H673" s="1664"/>
      <c r="I673" s="1664"/>
      <c r="J673" s="1664"/>
      <c r="K673" s="1664"/>
      <c r="L673" s="1664"/>
      <c r="M673" s="1664"/>
      <c r="N673" s="1664"/>
      <c r="O673" s="1664"/>
      <c r="P673" s="1664"/>
      <c r="Q673" s="1664"/>
      <c r="R673" s="1664"/>
      <c r="T673" s="46"/>
      <c r="U673" s="16" t="s">
        <v>413</v>
      </c>
      <c r="Z673" s="1664"/>
      <c r="AA673" s="1664"/>
      <c r="AB673" s="1664"/>
      <c r="AC673" s="1664"/>
      <c r="AD673" s="1664"/>
      <c r="AE673" s="1664"/>
      <c r="AF673" s="1664"/>
      <c r="AG673" s="1664"/>
      <c r="AH673" s="1664"/>
      <c r="AI673" s="1664"/>
      <c r="AJ673" s="1664"/>
      <c r="AK673" s="166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4"/>
      <c r="H674" s="1664"/>
      <c r="I674" s="1664"/>
      <c r="J674" s="1664"/>
      <c r="K674" s="1664"/>
      <c r="L674" s="1664"/>
      <c r="M674" s="1664"/>
      <c r="N674" s="1664"/>
      <c r="O674" s="1664"/>
      <c r="P674" s="1664"/>
      <c r="Q674" s="1664"/>
      <c r="R674" s="1664"/>
      <c r="T674" s="46"/>
      <c r="U674" s="16" t="s">
        <v>476</v>
      </c>
      <c r="Z674" s="1676"/>
      <c r="AA674" s="1676"/>
      <c r="AB674" s="1676"/>
      <c r="AC674" s="1676"/>
      <c r="AD674" s="1676"/>
      <c r="AE674" s="1676"/>
      <c r="AF674" s="1676"/>
      <c r="AG674" s="1676"/>
      <c r="AH674" s="1676"/>
      <c r="AI674" s="1676"/>
      <c r="AJ674" s="1676"/>
      <c r="AK674" s="16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4"/>
      <c r="H675" s="1664"/>
      <c r="I675" s="1664"/>
      <c r="J675" s="1664"/>
      <c r="K675" s="1664"/>
      <c r="L675" s="1664"/>
      <c r="M675" s="1664"/>
      <c r="N675" s="1664"/>
      <c r="O675" s="1664"/>
      <c r="P675" s="1664"/>
      <c r="Q675" s="1664"/>
      <c r="R675" s="1664"/>
      <c r="T675" s="46"/>
      <c r="U675" s="16" t="s">
        <v>907</v>
      </c>
      <c r="Z675" s="1676"/>
      <c r="AA675" s="1676"/>
      <c r="AB675" s="1676"/>
      <c r="AC675" s="1676"/>
      <c r="AD675" s="1676"/>
      <c r="AE675" s="1676"/>
      <c r="AF675" s="1676"/>
      <c r="AG675" s="1676"/>
      <c r="AH675" s="1676"/>
      <c r="AI675" s="1676"/>
      <c r="AJ675" s="1676"/>
      <c r="AK675" s="16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65"/>
      <c r="H676" s="1665"/>
      <c r="I676" s="1665"/>
      <c r="J676" s="1665"/>
      <c r="K676" s="1665"/>
      <c r="L676" s="1665"/>
      <c r="O676" s="149" t="s">
        <v>892</v>
      </c>
      <c r="P676" s="1675"/>
      <c r="Q676" s="1675"/>
      <c r="R676" s="1675"/>
      <c r="T676" s="46"/>
      <c r="U676" s="16" t="s">
        <v>712</v>
      </c>
      <c r="Z676" s="1665"/>
      <c r="AA676" s="1665"/>
      <c r="AB676" s="1665"/>
      <c r="AC676" s="1665"/>
      <c r="AD676" s="1665"/>
      <c r="AE676" s="1665"/>
      <c r="AH676" s="149" t="s">
        <v>892</v>
      </c>
      <c r="AI676" s="1675"/>
      <c r="AJ676" s="1675"/>
      <c r="AK676" s="167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4"/>
      <c r="I677" s="1664"/>
      <c r="J677" s="1664"/>
      <c r="K677" s="1664"/>
      <c r="L677" s="1664"/>
      <c r="M677" s="1664"/>
      <c r="N677" s="1664"/>
      <c r="O677" s="1664"/>
      <c r="P677" s="1664"/>
      <c r="Q677" s="1664"/>
      <c r="R677" s="1664"/>
      <c r="T677" s="46"/>
      <c r="U677" s="16" t="s">
        <v>908</v>
      </c>
      <c r="AA677" s="1664"/>
      <c r="AB677" s="1664"/>
      <c r="AC677" s="1664"/>
      <c r="AD677" s="1664"/>
      <c r="AE677" s="1664"/>
      <c r="AF677" s="1664"/>
      <c r="AG677" s="1664"/>
      <c r="AH677" s="1664"/>
      <c r="AI677" s="1664"/>
      <c r="AJ677" s="1664"/>
      <c r="AK677" s="166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77" t="s">
        <v>528</v>
      </c>
      <c r="O678" s="1677"/>
      <c r="T678" s="46"/>
      <c r="U678" s="16" t="s">
        <v>910</v>
      </c>
      <c r="AG678" s="1677" t="s">
        <v>528</v>
      </c>
      <c r="AH678" s="16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663">
        <f>C640</f>
        <v>0</v>
      </c>
      <c r="H680" s="1663"/>
      <c r="I680" s="1663"/>
      <c r="J680" s="1663"/>
      <c r="K680" s="1663"/>
      <c r="L680" s="1663"/>
      <c r="M680" s="1663"/>
      <c r="N680" s="1663"/>
      <c r="O680" s="1663"/>
      <c r="P680" s="1663"/>
      <c r="Q680" s="1663"/>
      <c r="R680" s="1663"/>
      <c r="T680" s="101" t="s">
        <v>190</v>
      </c>
      <c r="U680" s="16" t="s">
        <v>93</v>
      </c>
      <c r="Z680" s="1663">
        <f>C641</f>
        <v>0</v>
      </c>
      <c r="AA680" s="1663"/>
      <c r="AB680" s="1663"/>
      <c r="AC680" s="1663"/>
      <c r="AD680" s="1663"/>
      <c r="AE680" s="1663"/>
      <c r="AF680" s="1663"/>
      <c r="AG680" s="1663"/>
      <c r="AH680" s="1663"/>
      <c r="AI680" s="1663"/>
      <c r="AJ680" s="1663"/>
      <c r="AK680" s="166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4"/>
      <c r="H681" s="1664"/>
      <c r="I681" s="1664"/>
      <c r="J681" s="1664"/>
      <c r="K681" s="1664"/>
      <c r="L681" s="1664"/>
      <c r="M681" s="1664"/>
      <c r="N681" s="1664"/>
      <c r="O681" s="1664"/>
      <c r="P681" s="1664"/>
      <c r="Q681" s="1664"/>
      <c r="R681" s="1664"/>
      <c r="T681" s="46"/>
      <c r="U681" s="16" t="s">
        <v>413</v>
      </c>
      <c r="Z681" s="1664"/>
      <c r="AA681" s="1664"/>
      <c r="AB681" s="1664"/>
      <c r="AC681" s="1664"/>
      <c r="AD681" s="1664"/>
      <c r="AE681" s="1664"/>
      <c r="AF681" s="1664"/>
      <c r="AG681" s="1664"/>
      <c r="AH681" s="1664"/>
      <c r="AI681" s="1664"/>
      <c r="AJ681" s="1664"/>
      <c r="AK681" s="166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4"/>
      <c r="H682" s="1664"/>
      <c r="I682" s="1664"/>
      <c r="J682" s="1664"/>
      <c r="K682" s="1664"/>
      <c r="L682" s="1664"/>
      <c r="M682" s="1664"/>
      <c r="N682" s="1664"/>
      <c r="O682" s="1664"/>
      <c r="P682" s="1664"/>
      <c r="Q682" s="1664"/>
      <c r="R682" s="1664"/>
      <c r="T682" s="46"/>
      <c r="U682" s="16" t="s">
        <v>476</v>
      </c>
      <c r="Z682" s="1676"/>
      <c r="AA682" s="1676"/>
      <c r="AB682" s="1676"/>
      <c r="AC682" s="1676"/>
      <c r="AD682" s="1676"/>
      <c r="AE682" s="1676"/>
      <c r="AF682" s="1676"/>
      <c r="AG682" s="1676"/>
      <c r="AH682" s="1676"/>
      <c r="AI682" s="1676"/>
      <c r="AJ682" s="1676"/>
      <c r="AK682" s="16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4"/>
      <c r="H683" s="1664"/>
      <c r="I683" s="1664"/>
      <c r="J683" s="1664"/>
      <c r="K683" s="1664"/>
      <c r="L683" s="1664"/>
      <c r="M683" s="1664"/>
      <c r="N683" s="1664"/>
      <c r="O683" s="1664"/>
      <c r="P683" s="1664"/>
      <c r="Q683" s="1664"/>
      <c r="R683" s="1664"/>
      <c r="T683" s="46"/>
      <c r="U683" s="16" t="s">
        <v>907</v>
      </c>
      <c r="Z683" s="1676"/>
      <c r="AA683" s="1676"/>
      <c r="AB683" s="1676"/>
      <c r="AC683" s="1676"/>
      <c r="AD683" s="1676"/>
      <c r="AE683" s="1676"/>
      <c r="AF683" s="1676"/>
      <c r="AG683" s="1676"/>
      <c r="AH683" s="1676"/>
      <c r="AI683" s="1676"/>
      <c r="AJ683" s="1676"/>
      <c r="AK683" s="16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65"/>
      <c r="H684" s="1665"/>
      <c r="I684" s="1665"/>
      <c r="J684" s="1665"/>
      <c r="K684" s="1665"/>
      <c r="L684" s="1665"/>
      <c r="O684" s="149" t="s">
        <v>892</v>
      </c>
      <c r="P684" s="1675"/>
      <c r="Q684" s="1675"/>
      <c r="R684" s="1675"/>
      <c r="T684" s="46"/>
      <c r="U684" s="16" t="s">
        <v>712</v>
      </c>
      <c r="Z684" s="1665"/>
      <c r="AA684" s="1665"/>
      <c r="AB684" s="1665"/>
      <c r="AC684" s="1665"/>
      <c r="AD684" s="1665"/>
      <c r="AE684" s="1665"/>
      <c r="AH684" s="149" t="s">
        <v>892</v>
      </c>
      <c r="AI684" s="1675"/>
      <c r="AJ684" s="1675"/>
      <c r="AK684" s="167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4"/>
      <c r="I685" s="1664"/>
      <c r="J685" s="1664"/>
      <c r="K685" s="1664"/>
      <c r="L685" s="1664"/>
      <c r="M685" s="1664"/>
      <c r="N685" s="1664"/>
      <c r="O685" s="1664"/>
      <c r="P685" s="1664"/>
      <c r="Q685" s="1664"/>
      <c r="R685" s="1664"/>
      <c r="T685" s="46"/>
      <c r="U685" s="16" t="s">
        <v>908</v>
      </c>
      <c r="AA685" s="1664"/>
      <c r="AB685" s="1664"/>
      <c r="AC685" s="1664"/>
      <c r="AD685" s="1664"/>
      <c r="AE685" s="1664"/>
      <c r="AF685" s="1664"/>
      <c r="AG685" s="1664"/>
      <c r="AH685" s="1664"/>
      <c r="AI685" s="1664"/>
      <c r="AJ685" s="1664"/>
      <c r="AK685" s="1664"/>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77" t="s">
        <v>528</v>
      </c>
      <c r="O686" s="1677"/>
      <c r="T686" s="46"/>
      <c r="U686" s="16" t="s">
        <v>910</v>
      </c>
      <c r="AG686" s="1677" t="s">
        <v>528</v>
      </c>
      <c r="AH686" s="167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663">
        <f>C642</f>
        <v>0</v>
      </c>
      <c r="H688" s="1663"/>
      <c r="I688" s="1663"/>
      <c r="J688" s="1663"/>
      <c r="K688" s="1663"/>
      <c r="L688" s="1663"/>
      <c r="M688" s="1663"/>
      <c r="N688" s="1663"/>
      <c r="O688" s="1663"/>
      <c r="P688" s="1663"/>
      <c r="Q688" s="1663"/>
      <c r="R688" s="1663"/>
      <c r="T688" s="101" t="s">
        <v>38</v>
      </c>
      <c r="U688" s="16" t="s">
        <v>93</v>
      </c>
      <c r="Z688" s="1663">
        <f>C643</f>
        <v>0</v>
      </c>
      <c r="AA688" s="1663"/>
      <c r="AB688" s="1663"/>
      <c r="AC688" s="1663"/>
      <c r="AD688" s="1663"/>
      <c r="AE688" s="1663"/>
      <c r="AF688" s="1663"/>
      <c r="AG688" s="1663"/>
      <c r="AH688" s="1663"/>
      <c r="AI688" s="1663"/>
      <c r="AJ688" s="1663"/>
      <c r="AK688" s="1663"/>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4"/>
      <c r="H689" s="1664"/>
      <c r="I689" s="1664"/>
      <c r="J689" s="1664"/>
      <c r="K689" s="1664"/>
      <c r="L689" s="1664"/>
      <c r="M689" s="1664"/>
      <c r="N689" s="1664"/>
      <c r="O689" s="1664"/>
      <c r="P689" s="1664"/>
      <c r="Q689" s="1664"/>
      <c r="R689" s="1664"/>
      <c r="T689" s="46"/>
      <c r="U689" s="16" t="s">
        <v>413</v>
      </c>
      <c r="Z689" s="1664"/>
      <c r="AA689" s="1664"/>
      <c r="AB689" s="1664"/>
      <c r="AC689" s="1664"/>
      <c r="AD689" s="1664"/>
      <c r="AE689" s="1664"/>
      <c r="AF689" s="1664"/>
      <c r="AG689" s="1664"/>
      <c r="AH689" s="1664"/>
      <c r="AI689" s="1664"/>
      <c r="AJ689" s="1664"/>
      <c r="AK689" s="1664"/>
      <c r="AM689" s="75"/>
      <c r="BA689" s="75">
        <f>IF($G706=0,"N/A",VLOOKUP($T$189,TC_Rent,(MATCH($B706,bedrooms,FALSE))))</f>
        <v>2080</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4"/>
      <c r="H690" s="1664"/>
      <c r="I690" s="1664"/>
      <c r="J690" s="1664"/>
      <c r="K690" s="1664"/>
      <c r="L690" s="1664"/>
      <c r="M690" s="1664"/>
      <c r="N690" s="1664"/>
      <c r="O690" s="1664"/>
      <c r="P690" s="1664"/>
      <c r="Q690" s="1664"/>
      <c r="R690" s="1664"/>
      <c r="U690" s="16" t="s">
        <v>476</v>
      </c>
      <c r="Z690" s="1676"/>
      <c r="AA690" s="1676"/>
      <c r="AB690" s="1676"/>
      <c r="AC690" s="1676"/>
      <c r="AD690" s="1676"/>
      <c r="AE690" s="1676"/>
      <c r="AF690" s="1676"/>
      <c r="AG690" s="1676"/>
      <c r="AH690" s="1676"/>
      <c r="AI690" s="1676"/>
      <c r="AJ690" s="1676"/>
      <c r="AK690" s="1676"/>
      <c r="AM690" s="75"/>
      <c r="BA690" s="75">
        <f t="shared" ref="BA690:BA713" si="24">IF($G707=0,"N/A",VLOOKUP($T$189,TC_Rent,(MATCH($B707,bedrooms,FALSE))))</f>
        <v>2228</v>
      </c>
      <c r="BB690" s="75"/>
      <c r="BC690" s="75"/>
      <c r="BD690" s="75"/>
      <c r="BE690" s="75"/>
      <c r="BF690" s="75"/>
      <c r="BG690" s="681">
        <f>G706</f>
        <v>12</v>
      </c>
      <c r="BH690" s="694">
        <f>BG690/$BG$715</f>
        <v>0.25</v>
      </c>
      <c r="BI690" s="696">
        <f>IF(BH690=0," ",BH690*AH706)</f>
        <v>7.4999999999999997E-2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4"/>
      <c r="H691" s="1664"/>
      <c r="I691" s="1664"/>
      <c r="J691" s="1664"/>
      <c r="K691" s="1664"/>
      <c r="L691" s="1664"/>
      <c r="M691" s="1664"/>
      <c r="N691" s="1664"/>
      <c r="O691" s="1664"/>
      <c r="P691" s="1664"/>
      <c r="Q691" s="1664"/>
      <c r="R691" s="1664"/>
      <c r="U691" s="16" t="s">
        <v>907</v>
      </c>
      <c r="Z691" s="1676"/>
      <c r="AA691" s="1676"/>
      <c r="AB691" s="1676"/>
      <c r="AC691" s="1676"/>
      <c r="AD691" s="1676"/>
      <c r="AE691" s="1676"/>
      <c r="AF691" s="1676"/>
      <c r="AG691" s="1676"/>
      <c r="AH691" s="1676"/>
      <c r="AI691" s="1676"/>
      <c r="AJ691" s="1676"/>
      <c r="AK691" s="1676"/>
      <c r="AM691" s="75"/>
      <c r="BA691" s="75">
        <f t="shared" si="24"/>
        <v>2228</v>
      </c>
      <c r="BB691" s="75"/>
      <c r="BC691" s="75"/>
      <c r="BD691" s="75"/>
      <c r="BE691" s="75"/>
      <c r="BF691" s="75"/>
      <c r="BG691" s="682">
        <f t="shared" ref="BG691:BG714" si="25">G707</f>
        <v>4</v>
      </c>
      <c r="BH691" s="694">
        <f t="shared" ref="BH691:BH714" si="26">BG691/$BG$715</f>
        <v>8.3333333333333329E-2</v>
      </c>
      <c r="BI691" s="696">
        <f t="shared" ref="BI691:BI714" si="27">IF(BH691=0," ",BH691*AH707)</f>
        <v>4.1666666666666664E-2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65"/>
      <c r="H692" s="1665"/>
      <c r="I692" s="1665"/>
      <c r="J692" s="1665"/>
      <c r="K692" s="1665"/>
      <c r="L692" s="1665"/>
      <c r="O692" s="149" t="s">
        <v>892</v>
      </c>
      <c r="P692" s="1675"/>
      <c r="Q692" s="1675"/>
      <c r="R692" s="1675"/>
      <c r="U692" s="16" t="s">
        <v>712</v>
      </c>
      <c r="Z692" s="1665"/>
      <c r="AA692" s="1665"/>
      <c r="AB692" s="1665"/>
      <c r="AC692" s="1665"/>
      <c r="AD692" s="1665"/>
      <c r="AE692" s="1665"/>
      <c r="AH692" s="149" t="s">
        <v>892</v>
      </c>
      <c r="AI692" s="1675"/>
      <c r="AJ692" s="1675"/>
      <c r="AK692" s="1675"/>
      <c r="AM692" s="75"/>
      <c r="BA692" s="75">
        <f t="shared" si="24"/>
        <v>2674</v>
      </c>
      <c r="BB692" s="72"/>
      <c r="BC692" s="72"/>
      <c r="BD692" s="72"/>
      <c r="BE692" s="72"/>
      <c r="BF692" s="72"/>
      <c r="BG692" s="682">
        <f t="shared" si="25"/>
        <v>8</v>
      </c>
      <c r="BH692" s="694">
        <f t="shared" si="26"/>
        <v>0.16666666666666666</v>
      </c>
      <c r="BI692" s="696">
        <f t="shared" si="27"/>
        <v>9.9999999999999992E-2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4"/>
      <c r="I693" s="1664"/>
      <c r="J693" s="1664"/>
      <c r="K693" s="1664"/>
      <c r="L693" s="1664"/>
      <c r="M693" s="1664"/>
      <c r="N693" s="1664"/>
      <c r="O693" s="1664"/>
      <c r="P693" s="1664"/>
      <c r="Q693" s="1664"/>
      <c r="R693" s="1664"/>
      <c r="U693" s="16" t="s">
        <v>908</v>
      </c>
      <c r="AA693" s="1664"/>
      <c r="AB693" s="1664"/>
      <c r="AC693" s="1664"/>
      <c r="AD693" s="1664"/>
      <c r="AE693" s="1664"/>
      <c r="AF693" s="1664"/>
      <c r="AG693" s="1664"/>
      <c r="AH693" s="1664"/>
      <c r="AI693" s="1664"/>
      <c r="AJ693" s="1664"/>
      <c r="AK693" s="1664"/>
      <c r="AM693" s="72"/>
      <c r="BA693" s="75">
        <f t="shared" si="24"/>
        <v>2674</v>
      </c>
      <c r="BB693" s="72"/>
      <c r="BC693" s="72"/>
      <c r="BD693" s="72"/>
      <c r="BE693" s="72"/>
      <c r="BF693" s="72"/>
      <c r="BG693" s="682">
        <f t="shared" si="25"/>
        <v>4</v>
      </c>
      <c r="BH693" s="694">
        <f t="shared" si="26"/>
        <v>8.3333333333333329E-2</v>
      </c>
      <c r="BI693" s="696">
        <f t="shared" si="27"/>
        <v>4.1666666666666664E-2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77" t="s">
        <v>528</v>
      </c>
      <c r="O694" s="1677"/>
      <c r="U694" s="16" t="s">
        <v>910</v>
      </c>
      <c r="AG694" s="1677" t="s">
        <v>528</v>
      </c>
      <c r="AH694" s="1677"/>
      <c r="AM694" s="72"/>
      <c r="BA694" s="75">
        <f t="shared" si="24"/>
        <v>3090</v>
      </c>
      <c r="BB694" s="72"/>
      <c r="BC694" s="72"/>
      <c r="BD694" s="72"/>
      <c r="BE694" s="72"/>
      <c r="BF694" s="72"/>
      <c r="BG694" s="682">
        <f t="shared" si="25"/>
        <v>8</v>
      </c>
      <c r="BH694" s="694">
        <f t="shared" si="26"/>
        <v>0.16666666666666666</v>
      </c>
      <c r="BI694" s="696">
        <f t="shared" si="27"/>
        <v>9.9999999999999992E-2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4"/>
        <v>3090</v>
      </c>
      <c r="BB695" s="72"/>
      <c r="BC695" s="72"/>
      <c r="BD695" s="72"/>
      <c r="BE695" s="72"/>
      <c r="BF695" s="72"/>
      <c r="BG695" s="682">
        <f t="shared" si="25"/>
        <v>5</v>
      </c>
      <c r="BH695" s="694">
        <f t="shared" si="26"/>
        <v>0.10416666666666667</v>
      </c>
      <c r="BI695" s="696">
        <f t="shared" si="27"/>
        <v>5.2083333333333336E-2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4"/>
        <v>N/A</v>
      </c>
      <c r="BB696" s="72"/>
      <c r="BC696" s="72"/>
      <c r="BD696" s="72"/>
      <c r="BE696" s="72"/>
      <c r="BF696" s="72"/>
      <c r="BG696" s="682">
        <f t="shared" si="25"/>
        <v>7</v>
      </c>
      <c r="BH696" s="694">
        <f t="shared" si="26"/>
        <v>0.14583333333333334</v>
      </c>
      <c r="BI696" s="696">
        <f t="shared" si="27"/>
        <v>8.7500000000000008E-2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28" t="s">
        <v>138</v>
      </c>
      <c r="B697" s="1728"/>
      <c r="C697" s="1728"/>
      <c r="D697" s="1728"/>
      <c r="E697" s="1728"/>
      <c r="F697" s="1728"/>
      <c r="G697" s="1728"/>
      <c r="H697" s="1728"/>
      <c r="I697" s="1728"/>
      <c r="J697" s="1728"/>
      <c r="K697" s="1728"/>
      <c r="L697" s="1728"/>
      <c r="M697" s="1728"/>
      <c r="N697" s="1728"/>
      <c r="O697" s="1728"/>
      <c r="P697" s="1728"/>
      <c r="Q697" s="1728"/>
      <c r="R697" s="1728"/>
      <c r="S697" s="1728"/>
      <c r="T697" s="1728"/>
      <c r="U697" s="1728"/>
      <c r="V697" s="1728"/>
      <c r="W697" s="1728"/>
      <c r="X697" s="1728"/>
      <c r="Y697" s="1728"/>
      <c r="Z697" s="1728"/>
      <c r="AA697" s="1728"/>
      <c r="AB697" s="1728"/>
      <c r="AC697" s="1728"/>
      <c r="AD697" s="1728"/>
      <c r="AE697" s="1728"/>
      <c r="AF697" s="1728"/>
      <c r="AG697" s="1728"/>
      <c r="AH697" s="1728"/>
      <c r="AI697" s="1728"/>
      <c r="AJ697" s="1728"/>
      <c r="AK697" s="1728"/>
      <c r="AL697" s="1728"/>
      <c r="AM697" s="1728"/>
      <c r="AN697" s="1728"/>
      <c r="AO697" s="1728"/>
      <c r="BA697" s="75" t="str">
        <f t="shared" si="24"/>
        <v>N/A</v>
      </c>
      <c r="BB697" s="72"/>
      <c r="BC697" s="72"/>
      <c r="BD697" s="72"/>
      <c r="BE697" s="72"/>
      <c r="BF697" s="72"/>
      <c r="BG697" s="682">
        <f t="shared" si="25"/>
        <v>0</v>
      </c>
      <c r="BH697" s="694">
        <f t="shared" si="26"/>
        <v>0</v>
      </c>
      <c r="BI697" s="696" t="str">
        <f t="shared" si="27"/>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28"/>
      <c r="B698" s="1728"/>
      <c r="C698" s="1728"/>
      <c r="D698" s="1728"/>
      <c r="E698" s="1728"/>
      <c r="F698" s="1728"/>
      <c r="G698" s="1728"/>
      <c r="H698" s="1728"/>
      <c r="I698" s="1728"/>
      <c r="J698" s="1728"/>
      <c r="K698" s="1728"/>
      <c r="L698" s="1728"/>
      <c r="M698" s="1728"/>
      <c r="N698" s="1728"/>
      <c r="O698" s="1728"/>
      <c r="P698" s="1728"/>
      <c r="Q698" s="1728"/>
      <c r="R698" s="1728"/>
      <c r="S698" s="1728"/>
      <c r="T698" s="1728"/>
      <c r="U698" s="1728"/>
      <c r="V698" s="1728"/>
      <c r="W698" s="1728"/>
      <c r="X698" s="1728"/>
      <c r="Y698" s="1728"/>
      <c r="Z698" s="1728"/>
      <c r="AA698" s="1728"/>
      <c r="AB698" s="1728"/>
      <c r="AC698" s="1728"/>
      <c r="AD698" s="1728"/>
      <c r="AE698" s="1728"/>
      <c r="AF698" s="1728"/>
      <c r="AG698" s="1728"/>
      <c r="AH698" s="1728"/>
      <c r="AI698" s="1728"/>
      <c r="AJ698" s="1728"/>
      <c r="AK698" s="1728"/>
      <c r="AL698" s="1728"/>
      <c r="AM698" s="1728"/>
      <c r="AN698" s="1728"/>
      <c r="AO698" s="1728"/>
      <c r="BA698" s="75" t="str">
        <f t="shared" si="24"/>
        <v>N/A</v>
      </c>
      <c r="BE698" s="72"/>
      <c r="BF698" s="72"/>
      <c r="BG698" s="682">
        <f t="shared" si="25"/>
        <v>0</v>
      </c>
      <c r="BH698" s="694">
        <f t="shared" si="26"/>
        <v>0</v>
      </c>
      <c r="BI698" s="696" t="str">
        <f t="shared" si="27"/>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28"/>
      <c r="B699" s="1728"/>
      <c r="C699" s="1728"/>
      <c r="D699" s="1728"/>
      <c r="E699" s="1728"/>
      <c r="F699" s="1728"/>
      <c r="G699" s="1728"/>
      <c r="H699" s="1728"/>
      <c r="I699" s="1728"/>
      <c r="J699" s="1728"/>
      <c r="K699" s="1728"/>
      <c r="L699" s="1728"/>
      <c r="M699" s="1728"/>
      <c r="N699" s="1728"/>
      <c r="O699" s="1728"/>
      <c r="P699" s="1728"/>
      <c r="Q699" s="1728"/>
      <c r="R699" s="1728"/>
      <c r="S699" s="1728"/>
      <c r="T699" s="1728"/>
      <c r="U699" s="1728"/>
      <c r="V699" s="1728"/>
      <c r="W699" s="1728"/>
      <c r="X699" s="1728"/>
      <c r="Y699" s="1728"/>
      <c r="Z699" s="1728"/>
      <c r="AA699" s="1728"/>
      <c r="AB699" s="1728"/>
      <c r="AC699" s="1728"/>
      <c r="AD699" s="1728"/>
      <c r="AE699" s="1728"/>
      <c r="AF699" s="1728"/>
      <c r="AG699" s="1728"/>
      <c r="AH699" s="1728"/>
      <c r="AI699" s="1728"/>
      <c r="AJ699" s="1728"/>
      <c r="AK699" s="1728"/>
      <c r="AL699" s="1728"/>
      <c r="AM699" s="1728"/>
      <c r="AN699" s="1728"/>
      <c r="AO699" s="1728"/>
      <c r="BA699" s="75" t="str">
        <f t="shared" si="24"/>
        <v>N/A</v>
      </c>
      <c r="BE699" s="72"/>
      <c r="BF699" s="72"/>
      <c r="BG699" s="682">
        <f t="shared" si="25"/>
        <v>0</v>
      </c>
      <c r="BH699" s="694">
        <f t="shared" si="26"/>
        <v>0</v>
      </c>
      <c r="BI699" s="696" t="str">
        <f t="shared" si="27"/>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4"/>
        <v>N/A</v>
      </c>
      <c r="BE700" s="72"/>
      <c r="BF700" s="72"/>
      <c r="BG700" s="682">
        <f t="shared" si="25"/>
        <v>0</v>
      </c>
      <c r="BH700" s="694">
        <f t="shared" si="26"/>
        <v>0</v>
      </c>
      <c r="BI700" s="696" t="str">
        <f t="shared" si="27"/>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4"/>
        <v>N/A</v>
      </c>
      <c r="BE701" s="72"/>
      <c r="BF701" s="72"/>
      <c r="BG701" s="682">
        <f t="shared" si="25"/>
        <v>0</v>
      </c>
      <c r="BH701" s="694">
        <f t="shared" si="26"/>
        <v>0</v>
      </c>
      <c r="BI701" s="696" t="str">
        <f t="shared" si="27"/>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61" t="s">
        <v>59</v>
      </c>
      <c r="C702" s="1862"/>
      <c r="D702" s="1862"/>
      <c r="E702" s="1862"/>
      <c r="F702" s="1863"/>
      <c r="G702" s="1861" t="s">
        <v>283</v>
      </c>
      <c r="H702" s="1862"/>
      <c r="I702" s="1862"/>
      <c r="J702" s="1863"/>
      <c r="K702" s="2141" t="s">
        <v>2211</v>
      </c>
      <c r="L702" s="2142"/>
      <c r="M702" s="2142"/>
      <c r="N702" s="2143"/>
      <c r="O702" s="1861" t="s">
        <v>651</v>
      </c>
      <c r="P702" s="1862"/>
      <c r="Q702" s="1862"/>
      <c r="R702" s="1862"/>
      <c r="S702" s="1863"/>
      <c r="T702" s="1861" t="s">
        <v>284</v>
      </c>
      <c r="U702" s="1862"/>
      <c r="V702" s="1862"/>
      <c r="W702" s="1862"/>
      <c r="X702" s="1863"/>
      <c r="Y702" s="1861" t="s">
        <v>285</v>
      </c>
      <c r="Z702" s="1862"/>
      <c r="AA702" s="1862"/>
      <c r="AB702" s="1863"/>
      <c r="AC702" s="1861" t="s">
        <v>286</v>
      </c>
      <c r="AD702" s="1862"/>
      <c r="AE702" s="1862"/>
      <c r="AF702" s="1862"/>
      <c r="AG702" s="1863"/>
      <c r="AH702" s="1861" t="s">
        <v>2212</v>
      </c>
      <c r="AI702" s="1862"/>
      <c r="AJ702" s="1862"/>
      <c r="AK702" s="1862"/>
      <c r="AL702" s="1863"/>
      <c r="AM702" s="1861" t="s">
        <v>2213</v>
      </c>
      <c r="AN702" s="1862"/>
      <c r="AO702" s="1863"/>
      <c r="BA702" s="75" t="str">
        <f t="shared" si="24"/>
        <v>N/A</v>
      </c>
      <c r="BB702" s="72"/>
      <c r="BC702" s="72"/>
      <c r="BD702" s="72"/>
      <c r="BE702" s="72"/>
      <c r="BF702" s="72"/>
      <c r="BG702" s="682">
        <f t="shared" si="25"/>
        <v>0</v>
      </c>
      <c r="BH702" s="694">
        <f t="shared" si="26"/>
        <v>0</v>
      </c>
      <c r="BI702" s="696" t="str">
        <f t="shared" si="27"/>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64"/>
      <c r="C703" s="1865"/>
      <c r="D703" s="1865"/>
      <c r="E703" s="1865"/>
      <c r="F703" s="1866"/>
      <c r="G703" s="1864"/>
      <c r="H703" s="1865"/>
      <c r="I703" s="1865"/>
      <c r="J703" s="1866"/>
      <c r="K703" s="2144"/>
      <c r="L703" s="2145"/>
      <c r="M703" s="2145"/>
      <c r="N703" s="2146"/>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t="str">
        <f t="shared" si="24"/>
        <v>N/A</v>
      </c>
      <c r="BB703" s="72"/>
      <c r="BC703" s="72"/>
      <c r="BD703" s="72"/>
      <c r="BE703" s="72"/>
      <c r="BF703" s="72"/>
      <c r="BG703" s="682">
        <f t="shared" si="25"/>
        <v>0</v>
      </c>
      <c r="BH703" s="694">
        <f t="shared" si="26"/>
        <v>0</v>
      </c>
      <c r="BI703" s="696" t="str">
        <f t="shared" si="27"/>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4"/>
      <c r="C704" s="1865"/>
      <c r="D704" s="1865"/>
      <c r="E704" s="1865"/>
      <c r="F704" s="1866"/>
      <c r="G704" s="1864"/>
      <c r="H704" s="1865"/>
      <c r="I704" s="1865"/>
      <c r="J704" s="1866"/>
      <c r="K704" s="2144"/>
      <c r="L704" s="2145"/>
      <c r="M704" s="2145"/>
      <c r="N704" s="2146"/>
      <c r="O704" s="1864"/>
      <c r="P704" s="1865"/>
      <c r="Q704" s="1865"/>
      <c r="R704" s="1865"/>
      <c r="S704" s="1866"/>
      <c r="T704" s="1864"/>
      <c r="U704" s="1865"/>
      <c r="V704" s="1865"/>
      <c r="W704" s="1865"/>
      <c r="X704" s="1866"/>
      <c r="Y704" s="1864"/>
      <c r="Z704" s="1865"/>
      <c r="AA704" s="1865"/>
      <c r="AB704" s="1866"/>
      <c r="AC704" s="1864"/>
      <c r="AD704" s="1865"/>
      <c r="AE704" s="1865"/>
      <c r="AF704" s="1865"/>
      <c r="AG704" s="1866"/>
      <c r="AH704" s="1864"/>
      <c r="AI704" s="1865"/>
      <c r="AJ704" s="1865"/>
      <c r="AK704" s="1865"/>
      <c r="AL704" s="1866"/>
      <c r="AM704" s="1864"/>
      <c r="AN704" s="1865"/>
      <c r="AO704" s="1866"/>
      <c r="BA704" s="75" t="str">
        <f t="shared" si="24"/>
        <v>N/A</v>
      </c>
      <c r="BB704" s="72"/>
      <c r="BC704" s="72"/>
      <c r="BD704" s="72"/>
      <c r="BE704" s="72"/>
      <c r="BF704" s="72"/>
      <c r="BG704" s="682">
        <f t="shared" si="25"/>
        <v>0</v>
      </c>
      <c r="BH704" s="694">
        <f t="shared" si="26"/>
        <v>0</v>
      </c>
      <c r="BI704" s="696" t="str">
        <f t="shared" si="27"/>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7"/>
      <c r="C705" s="1868"/>
      <c r="D705" s="1868"/>
      <c r="E705" s="1868"/>
      <c r="F705" s="1869"/>
      <c r="G705" s="1867"/>
      <c r="H705" s="1868"/>
      <c r="I705" s="1868"/>
      <c r="J705" s="1869"/>
      <c r="K705" s="2144"/>
      <c r="L705" s="2145"/>
      <c r="M705" s="2145"/>
      <c r="N705" s="2146"/>
      <c r="O705" s="1867"/>
      <c r="P705" s="1868"/>
      <c r="Q705" s="1868"/>
      <c r="R705" s="1868"/>
      <c r="S705" s="1869"/>
      <c r="T705" s="1867"/>
      <c r="U705" s="1868"/>
      <c r="V705" s="1868"/>
      <c r="W705" s="1868"/>
      <c r="X705" s="1869"/>
      <c r="Y705" s="1867"/>
      <c r="Z705" s="1868"/>
      <c r="AA705" s="1868"/>
      <c r="AB705" s="1869"/>
      <c r="AC705" s="1867"/>
      <c r="AD705" s="1868"/>
      <c r="AE705" s="1868"/>
      <c r="AF705" s="1868"/>
      <c r="AG705" s="1869"/>
      <c r="AH705" s="1867"/>
      <c r="AI705" s="1868"/>
      <c r="AJ705" s="1868"/>
      <c r="AK705" s="1868"/>
      <c r="AL705" s="1869"/>
      <c r="AM705" s="1867"/>
      <c r="AN705" s="1868"/>
      <c r="AO705" s="1869"/>
      <c r="BA705" s="75" t="str">
        <f t="shared" si="24"/>
        <v>N/A</v>
      </c>
      <c r="BB705" s="72"/>
      <c r="BC705" s="72"/>
      <c r="BD705" s="72"/>
      <c r="BE705" s="72"/>
      <c r="BF705" s="72"/>
      <c r="BG705" s="682">
        <f t="shared" si="25"/>
        <v>0</v>
      </c>
      <c r="BH705" s="694">
        <f t="shared" si="26"/>
        <v>0</v>
      </c>
      <c r="BI705" s="696" t="str">
        <f t="shared" si="27"/>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0" t="s">
        <v>487</v>
      </c>
      <c r="C706" s="1801"/>
      <c r="D706" s="1801"/>
      <c r="E706" s="1801"/>
      <c r="F706" s="1802"/>
      <c r="G706" s="1803">
        <v>12</v>
      </c>
      <c r="H706" s="1804"/>
      <c r="I706" s="1804"/>
      <c r="J706" s="1805"/>
      <c r="K706" s="1812">
        <v>415</v>
      </c>
      <c r="L706" s="1813"/>
      <c r="M706" s="1813"/>
      <c r="N706" s="1814"/>
      <c r="O706" s="1808">
        <f>624-11</f>
        <v>613</v>
      </c>
      <c r="P706" s="1809"/>
      <c r="Q706" s="1809"/>
      <c r="R706" s="1809"/>
      <c r="S706" s="1810"/>
      <c r="T706" s="1815">
        <f t="shared" ref="T706:T730" si="28">G706*O706</f>
        <v>7356</v>
      </c>
      <c r="U706" s="1816"/>
      <c r="V706" s="1816"/>
      <c r="W706" s="1816"/>
      <c r="X706" s="1817"/>
      <c r="Y706" s="1808">
        <v>11</v>
      </c>
      <c r="Z706" s="1809"/>
      <c r="AA706" s="1809"/>
      <c r="AB706" s="1810"/>
      <c r="AC706" s="1815">
        <f t="shared" ref="AC706:AC730" si="29">O706+Y706</f>
        <v>624</v>
      </c>
      <c r="AD706" s="1816"/>
      <c r="AE706" s="1816"/>
      <c r="AF706" s="1816"/>
      <c r="AG706" s="1817"/>
      <c r="AH706" s="1871">
        <v>0.3</v>
      </c>
      <c r="AI706" s="1872"/>
      <c r="AJ706" s="1872"/>
      <c r="AK706" s="1872"/>
      <c r="AL706" s="1873"/>
      <c r="AM706" s="2147">
        <f>IF($AH706&gt;0,($AC706/$BA689)," ")</f>
        <v>0.3</v>
      </c>
      <c r="AN706" s="2148"/>
      <c r="AO706" s="2149"/>
      <c r="BA706" s="75" t="str">
        <f t="shared" si="24"/>
        <v>N/A</v>
      </c>
      <c r="BB706" s="72"/>
      <c r="BC706" s="72"/>
      <c r="BD706" s="72"/>
      <c r="BE706" s="72"/>
      <c r="BF706" s="72"/>
      <c r="BG706" s="682">
        <f t="shared" si="25"/>
        <v>0</v>
      </c>
      <c r="BH706" s="694">
        <f t="shared" si="26"/>
        <v>0</v>
      </c>
      <c r="BI706" s="696" t="str">
        <f t="shared" si="27"/>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0" t="s">
        <v>488</v>
      </c>
      <c r="C707" s="1801"/>
      <c r="D707" s="1801"/>
      <c r="E707" s="1801"/>
      <c r="F707" s="1802"/>
      <c r="G707" s="1803">
        <v>4</v>
      </c>
      <c r="H707" s="1804"/>
      <c r="I707" s="1804"/>
      <c r="J707" s="1805"/>
      <c r="K707" s="1812">
        <v>500</v>
      </c>
      <c r="L707" s="1813"/>
      <c r="M707" s="1813"/>
      <c r="N707" s="1814"/>
      <c r="O707" s="1808">
        <f>1114-11</f>
        <v>1103</v>
      </c>
      <c r="P707" s="1809"/>
      <c r="Q707" s="1809"/>
      <c r="R707" s="1809"/>
      <c r="S707" s="1810"/>
      <c r="T707" s="1815">
        <f t="shared" si="28"/>
        <v>4412</v>
      </c>
      <c r="U707" s="1816"/>
      <c r="V707" s="1816"/>
      <c r="W707" s="1816"/>
      <c r="X707" s="1817"/>
      <c r="Y707" s="1808">
        <v>11</v>
      </c>
      <c r="Z707" s="1809"/>
      <c r="AA707" s="1809"/>
      <c r="AB707" s="1810"/>
      <c r="AC707" s="1815">
        <f t="shared" si="29"/>
        <v>1114</v>
      </c>
      <c r="AD707" s="1816"/>
      <c r="AE707" s="1816"/>
      <c r="AF707" s="1816"/>
      <c r="AG707" s="1817"/>
      <c r="AH707" s="1826">
        <v>0.5</v>
      </c>
      <c r="AI707" s="1827"/>
      <c r="AJ707" s="1827"/>
      <c r="AK707" s="1827"/>
      <c r="AL707" s="1828"/>
      <c r="AM707" s="2147">
        <f t="shared" ref="AM707:AM730" si="30">IF($AH707&gt;0,($AC707/$BA690), " ")</f>
        <v>0.5</v>
      </c>
      <c r="AN707" s="2148"/>
      <c r="AO707" s="2149"/>
      <c r="BA707" s="75" t="str">
        <f t="shared" si="24"/>
        <v>N/A</v>
      </c>
      <c r="BB707" s="72"/>
      <c r="BC707" s="72"/>
      <c r="BD707" s="72"/>
      <c r="BE707" s="72"/>
      <c r="BF707" s="72"/>
      <c r="BG707" s="682">
        <f t="shared" si="25"/>
        <v>0</v>
      </c>
      <c r="BH707" s="694">
        <f t="shared" si="26"/>
        <v>0</v>
      </c>
      <c r="BI707" s="696" t="str">
        <f t="shared" si="27"/>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0" t="s">
        <v>488</v>
      </c>
      <c r="C708" s="1801"/>
      <c r="D708" s="1801"/>
      <c r="E708" s="1801"/>
      <c r="F708" s="1802"/>
      <c r="G708" s="1803">
        <v>8</v>
      </c>
      <c r="H708" s="1804"/>
      <c r="I708" s="1804"/>
      <c r="J708" s="1805"/>
      <c r="K708" s="1812">
        <v>500</v>
      </c>
      <c r="L708" s="1813"/>
      <c r="M708" s="1813"/>
      <c r="N708" s="1814"/>
      <c r="O708" s="1808">
        <f>1337-11</f>
        <v>1326</v>
      </c>
      <c r="P708" s="1809"/>
      <c r="Q708" s="1809"/>
      <c r="R708" s="1809"/>
      <c r="S708" s="1810"/>
      <c r="T708" s="1815">
        <f t="shared" si="28"/>
        <v>10608</v>
      </c>
      <c r="U708" s="1816"/>
      <c r="V708" s="1816"/>
      <c r="W708" s="1816"/>
      <c r="X708" s="1817"/>
      <c r="Y708" s="1808">
        <v>11</v>
      </c>
      <c r="Z708" s="1809"/>
      <c r="AA708" s="1809"/>
      <c r="AB708" s="1810"/>
      <c r="AC708" s="1815">
        <f t="shared" si="29"/>
        <v>1337</v>
      </c>
      <c r="AD708" s="1816"/>
      <c r="AE708" s="1816"/>
      <c r="AF708" s="1816"/>
      <c r="AG708" s="1817"/>
      <c r="AH708" s="1826">
        <v>0.6</v>
      </c>
      <c r="AI708" s="1827"/>
      <c r="AJ708" s="1827"/>
      <c r="AK708" s="1827"/>
      <c r="AL708" s="1828"/>
      <c r="AM708" s="2147">
        <f t="shared" si="30"/>
        <v>0.60008976660682223</v>
      </c>
      <c r="AN708" s="2148"/>
      <c r="AO708" s="2149"/>
      <c r="BA708" s="75" t="str">
        <f t="shared" si="24"/>
        <v>N/A</v>
      </c>
      <c r="BB708" s="72"/>
      <c r="BC708" s="72"/>
      <c r="BD708" s="72"/>
      <c r="BE708" s="72"/>
      <c r="BF708" s="72"/>
      <c r="BG708" s="682">
        <f t="shared" si="25"/>
        <v>0</v>
      </c>
      <c r="BH708" s="694">
        <f t="shared" si="26"/>
        <v>0</v>
      </c>
      <c r="BI708" s="696" t="str">
        <f t="shared" si="27"/>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800" t="s">
        <v>845</v>
      </c>
      <c r="C709" s="1801"/>
      <c r="D709" s="1801"/>
      <c r="E709" s="1801"/>
      <c r="F709" s="1802"/>
      <c r="G709" s="1803">
        <v>4</v>
      </c>
      <c r="H709" s="1804"/>
      <c r="I709" s="1804"/>
      <c r="J709" s="1805"/>
      <c r="K709" s="1812">
        <v>836</v>
      </c>
      <c r="L709" s="1813"/>
      <c r="M709" s="1813"/>
      <c r="N709" s="1814"/>
      <c r="O709" s="1808">
        <f>1337-11</f>
        <v>1326</v>
      </c>
      <c r="P709" s="1809"/>
      <c r="Q709" s="1809"/>
      <c r="R709" s="1809"/>
      <c r="S709" s="1810"/>
      <c r="T709" s="1815">
        <f t="shared" si="28"/>
        <v>5304</v>
      </c>
      <c r="U709" s="1816"/>
      <c r="V709" s="1816"/>
      <c r="W709" s="1816"/>
      <c r="X709" s="1817"/>
      <c r="Y709" s="1808">
        <v>11</v>
      </c>
      <c r="Z709" s="1809"/>
      <c r="AA709" s="1809"/>
      <c r="AB709" s="1810"/>
      <c r="AC709" s="1815">
        <f t="shared" si="29"/>
        <v>1337</v>
      </c>
      <c r="AD709" s="1816"/>
      <c r="AE709" s="1816"/>
      <c r="AF709" s="1816"/>
      <c r="AG709" s="1817"/>
      <c r="AH709" s="1826">
        <v>0.5</v>
      </c>
      <c r="AI709" s="1827"/>
      <c r="AJ709" s="1827"/>
      <c r="AK709" s="1827"/>
      <c r="AL709" s="1828"/>
      <c r="AM709" s="2147">
        <f t="shared" si="30"/>
        <v>0.5</v>
      </c>
      <c r="AN709" s="2148"/>
      <c r="AO709" s="2149"/>
      <c r="BA709" s="75" t="str">
        <f t="shared" si="24"/>
        <v>N/A</v>
      </c>
      <c r="BB709" s="72"/>
      <c r="BC709" s="72"/>
      <c r="BD709" s="72"/>
      <c r="BE709" s="72"/>
      <c r="BF709" s="72"/>
      <c r="BG709" s="682">
        <f t="shared" si="25"/>
        <v>0</v>
      </c>
      <c r="BH709" s="694">
        <f t="shared" si="26"/>
        <v>0</v>
      </c>
      <c r="BI709" s="696" t="str">
        <f t="shared" si="27"/>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800" t="s">
        <v>845</v>
      </c>
      <c r="C710" s="1801"/>
      <c r="D710" s="1801"/>
      <c r="E710" s="1801"/>
      <c r="F710" s="1802"/>
      <c r="G710" s="1803">
        <v>8</v>
      </c>
      <c r="H710" s="1804"/>
      <c r="I710" s="1804"/>
      <c r="J710" s="1805"/>
      <c r="K710" s="1812">
        <v>836</v>
      </c>
      <c r="L710" s="1813"/>
      <c r="M710" s="1813"/>
      <c r="N710" s="1814"/>
      <c r="O710" s="1808">
        <f>1605-11</f>
        <v>1594</v>
      </c>
      <c r="P710" s="1809"/>
      <c r="Q710" s="1809"/>
      <c r="R710" s="1809"/>
      <c r="S710" s="1810"/>
      <c r="T710" s="1815">
        <f t="shared" si="28"/>
        <v>12752</v>
      </c>
      <c r="U710" s="1816"/>
      <c r="V710" s="1816"/>
      <c r="W710" s="1816"/>
      <c r="X710" s="1817"/>
      <c r="Y710" s="1808">
        <v>11</v>
      </c>
      <c r="Z710" s="1809"/>
      <c r="AA710" s="1809"/>
      <c r="AB710" s="1810"/>
      <c r="AC710" s="1815">
        <f t="shared" si="29"/>
        <v>1605</v>
      </c>
      <c r="AD710" s="1816"/>
      <c r="AE710" s="1816"/>
      <c r="AF710" s="1816"/>
      <c r="AG710" s="1817"/>
      <c r="AH710" s="1826">
        <v>0.6</v>
      </c>
      <c r="AI710" s="1827"/>
      <c r="AJ710" s="1827"/>
      <c r="AK710" s="1827"/>
      <c r="AL710" s="1828"/>
      <c r="AM710" s="2147">
        <f t="shared" si="30"/>
        <v>0.60022438294689606</v>
      </c>
      <c r="AN710" s="2148"/>
      <c r="AO710" s="2149"/>
      <c r="BA710" s="75" t="str">
        <f t="shared" si="24"/>
        <v>N/A</v>
      </c>
      <c r="BB710" s="72"/>
      <c r="BC710" s="72"/>
      <c r="BD710" s="72"/>
      <c r="BE710" s="72"/>
      <c r="BF710" s="72"/>
      <c r="BG710" s="682">
        <f t="shared" si="25"/>
        <v>0</v>
      </c>
      <c r="BH710" s="694">
        <f t="shared" si="26"/>
        <v>0</v>
      </c>
      <c r="BI710" s="696" t="str">
        <f t="shared" si="27"/>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800" t="s">
        <v>846</v>
      </c>
      <c r="C711" s="1801"/>
      <c r="D711" s="1801"/>
      <c r="E711" s="1801"/>
      <c r="F711" s="1802"/>
      <c r="G711" s="1803">
        <v>5</v>
      </c>
      <c r="H711" s="1804"/>
      <c r="I711" s="1804"/>
      <c r="J711" s="1805"/>
      <c r="K711" s="1812">
        <v>933</v>
      </c>
      <c r="L711" s="1813"/>
      <c r="M711" s="1813"/>
      <c r="N711" s="1814"/>
      <c r="O711" s="1808">
        <f>1545-11</f>
        <v>1534</v>
      </c>
      <c r="P711" s="1809"/>
      <c r="Q711" s="1809"/>
      <c r="R711" s="1809"/>
      <c r="S711" s="1810"/>
      <c r="T711" s="1815">
        <f t="shared" si="28"/>
        <v>7670</v>
      </c>
      <c r="U711" s="1816"/>
      <c r="V711" s="1816"/>
      <c r="W711" s="1816"/>
      <c r="X711" s="1817"/>
      <c r="Y711" s="1808">
        <v>11</v>
      </c>
      <c r="Z711" s="1809"/>
      <c r="AA711" s="1809"/>
      <c r="AB711" s="1810"/>
      <c r="AC711" s="1815">
        <f t="shared" si="29"/>
        <v>1545</v>
      </c>
      <c r="AD711" s="1816"/>
      <c r="AE711" s="1816"/>
      <c r="AF711" s="1816"/>
      <c r="AG711" s="1817"/>
      <c r="AH711" s="1826">
        <v>0.5</v>
      </c>
      <c r="AI711" s="1827"/>
      <c r="AJ711" s="1827"/>
      <c r="AK711" s="1827"/>
      <c r="AL711" s="1828"/>
      <c r="AM711" s="2147">
        <f t="shared" si="30"/>
        <v>0.5</v>
      </c>
      <c r="AN711" s="2148"/>
      <c r="AO711" s="2149"/>
      <c r="BA711" s="75" t="str">
        <f t="shared" si="24"/>
        <v>N/A</v>
      </c>
      <c r="BB711" s="72"/>
      <c r="BC711" s="72"/>
      <c r="BD711" s="72"/>
      <c r="BE711" s="72"/>
      <c r="BF711" s="72"/>
      <c r="BG711" s="682">
        <f t="shared" si="25"/>
        <v>0</v>
      </c>
      <c r="BH711" s="694">
        <f t="shared" si="26"/>
        <v>0</v>
      </c>
      <c r="BI711" s="696" t="str">
        <f t="shared" si="27"/>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800" t="s">
        <v>846</v>
      </c>
      <c r="C712" s="1801"/>
      <c r="D712" s="1801"/>
      <c r="E712" s="1801"/>
      <c r="F712" s="1802"/>
      <c r="G712" s="1803">
        <v>7</v>
      </c>
      <c r="H712" s="1804"/>
      <c r="I712" s="1804"/>
      <c r="J712" s="1805"/>
      <c r="K712" s="1812">
        <v>933</v>
      </c>
      <c r="L712" s="1813"/>
      <c r="M712" s="1813"/>
      <c r="N712" s="1814"/>
      <c r="O712" s="1808">
        <f>1854-11</f>
        <v>1843</v>
      </c>
      <c r="P712" s="1809"/>
      <c r="Q712" s="1809"/>
      <c r="R712" s="1809"/>
      <c r="S712" s="1810"/>
      <c r="T712" s="1815">
        <f t="shared" si="28"/>
        <v>12901</v>
      </c>
      <c r="U712" s="1816"/>
      <c r="V712" s="1816"/>
      <c r="W712" s="1816"/>
      <c r="X712" s="1817"/>
      <c r="Y712" s="1808">
        <v>11</v>
      </c>
      <c r="Z712" s="1809"/>
      <c r="AA712" s="1809"/>
      <c r="AB712" s="1810"/>
      <c r="AC712" s="1815">
        <f t="shared" si="29"/>
        <v>1854</v>
      </c>
      <c r="AD712" s="1816"/>
      <c r="AE712" s="1816"/>
      <c r="AF712" s="1816"/>
      <c r="AG712" s="1817"/>
      <c r="AH712" s="1826">
        <v>0.6</v>
      </c>
      <c r="AI712" s="1827"/>
      <c r="AJ712" s="1827"/>
      <c r="AK712" s="1827"/>
      <c r="AL712" s="1828"/>
      <c r="AM712" s="2147">
        <f t="shared" si="30"/>
        <v>0.6</v>
      </c>
      <c r="AN712" s="2148"/>
      <c r="AO712" s="2149"/>
      <c r="BA712" s="75" t="str">
        <f t="shared" si="24"/>
        <v>N/A</v>
      </c>
      <c r="BB712" s="72"/>
      <c r="BC712" s="72"/>
      <c r="BD712" s="72"/>
      <c r="BE712" s="72"/>
      <c r="BF712" s="72"/>
      <c r="BG712" s="682">
        <f t="shared" si="25"/>
        <v>0</v>
      </c>
      <c r="BH712" s="694">
        <f t="shared" si="26"/>
        <v>0</v>
      </c>
      <c r="BI712" s="696" t="str">
        <f t="shared" si="27"/>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800"/>
      <c r="C713" s="1801"/>
      <c r="D713" s="1801"/>
      <c r="E713" s="1801"/>
      <c r="F713" s="1802"/>
      <c r="G713" s="1803"/>
      <c r="H713" s="1804"/>
      <c r="I713" s="1804"/>
      <c r="J713" s="1805"/>
      <c r="K713" s="1812"/>
      <c r="L713" s="1813"/>
      <c r="M713" s="1813"/>
      <c r="N713" s="1814"/>
      <c r="O713" s="1808"/>
      <c r="P713" s="1809"/>
      <c r="Q713" s="1809"/>
      <c r="R713" s="1809"/>
      <c r="S713" s="1810"/>
      <c r="T713" s="1815">
        <f t="shared" si="28"/>
        <v>0</v>
      </c>
      <c r="U713" s="1816"/>
      <c r="V713" s="1816"/>
      <c r="W713" s="1816"/>
      <c r="X713" s="1817"/>
      <c r="Y713" s="1808"/>
      <c r="Z713" s="1809"/>
      <c r="AA713" s="1809"/>
      <c r="AB713" s="1810"/>
      <c r="AC713" s="1815">
        <f t="shared" si="29"/>
        <v>0</v>
      </c>
      <c r="AD713" s="1816"/>
      <c r="AE713" s="1816"/>
      <c r="AF713" s="1816"/>
      <c r="AG713" s="1817"/>
      <c r="AH713" s="1826"/>
      <c r="AI713" s="1827"/>
      <c r="AJ713" s="1827"/>
      <c r="AK713" s="1827"/>
      <c r="AL713" s="1828"/>
      <c r="AM713" s="2147" t="str">
        <f t="shared" si="30"/>
        <v xml:space="preserve"> </v>
      </c>
      <c r="AN713" s="2148"/>
      <c r="AO713" s="2149"/>
      <c r="BA713" s="75" t="str">
        <f t="shared" si="24"/>
        <v>N/A</v>
      </c>
      <c r="BB713" s="72"/>
      <c r="BC713" s="72"/>
      <c r="BD713" s="72"/>
      <c r="BE713" s="72"/>
      <c r="BF713" s="72"/>
      <c r="BG713" s="682">
        <f t="shared" si="25"/>
        <v>0</v>
      </c>
      <c r="BH713" s="694">
        <f t="shared" si="26"/>
        <v>0</v>
      </c>
      <c r="BI713" s="696" t="str">
        <f t="shared" si="27"/>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800"/>
      <c r="C714" s="1801"/>
      <c r="D714" s="1801"/>
      <c r="E714" s="1801"/>
      <c r="F714" s="1802"/>
      <c r="G714" s="1803"/>
      <c r="H714" s="1804"/>
      <c r="I714" s="1804"/>
      <c r="J714" s="1805"/>
      <c r="K714" s="1812"/>
      <c r="L714" s="1813"/>
      <c r="M714" s="1813"/>
      <c r="N714" s="1814"/>
      <c r="O714" s="1808"/>
      <c r="P714" s="1809"/>
      <c r="Q714" s="1809"/>
      <c r="R714" s="1809"/>
      <c r="S714" s="1810"/>
      <c r="T714" s="1815">
        <f t="shared" si="28"/>
        <v>0</v>
      </c>
      <c r="U714" s="1816"/>
      <c r="V714" s="1816"/>
      <c r="W714" s="1816"/>
      <c r="X714" s="1817"/>
      <c r="Y714" s="1808"/>
      <c r="Z714" s="1809"/>
      <c r="AA714" s="1809"/>
      <c r="AB714" s="1810"/>
      <c r="AC714" s="1815">
        <f t="shared" si="29"/>
        <v>0</v>
      </c>
      <c r="AD714" s="1816"/>
      <c r="AE714" s="1816"/>
      <c r="AF714" s="1816"/>
      <c r="AG714" s="1817"/>
      <c r="AH714" s="1826"/>
      <c r="AI714" s="1827"/>
      <c r="AJ714" s="1827"/>
      <c r="AK714" s="1827"/>
      <c r="AL714" s="1828"/>
      <c r="AM714" s="2147" t="str">
        <f t="shared" si="30"/>
        <v xml:space="preserve"> </v>
      </c>
      <c r="AN714" s="2148"/>
      <c r="AO714" s="2149"/>
      <c r="BA714" s="72"/>
      <c r="BB714" s="72"/>
      <c r="BC714" s="72"/>
      <c r="BD714" s="72"/>
      <c r="BE714" s="72"/>
      <c r="BF714" s="72"/>
      <c r="BG714" s="683">
        <f t="shared" si="25"/>
        <v>0</v>
      </c>
      <c r="BH714" s="695">
        <f t="shared" si="26"/>
        <v>0</v>
      </c>
      <c r="BI714" s="696" t="str">
        <f t="shared" si="27"/>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0"/>
      <c r="C715" s="1801"/>
      <c r="D715" s="1801"/>
      <c r="E715" s="1801"/>
      <c r="F715" s="1802"/>
      <c r="G715" s="1803"/>
      <c r="H715" s="1804"/>
      <c r="I715" s="1804"/>
      <c r="J715" s="1805"/>
      <c r="K715" s="1812"/>
      <c r="L715" s="1813"/>
      <c r="M715" s="1813"/>
      <c r="N715" s="1814"/>
      <c r="O715" s="1808"/>
      <c r="P715" s="1809"/>
      <c r="Q715" s="1809"/>
      <c r="R715" s="1809"/>
      <c r="S715" s="1810"/>
      <c r="T715" s="1815">
        <f t="shared" si="28"/>
        <v>0</v>
      </c>
      <c r="U715" s="1816"/>
      <c r="V715" s="1816"/>
      <c r="W715" s="1816"/>
      <c r="X715" s="1817"/>
      <c r="Y715" s="1808"/>
      <c r="Z715" s="1809"/>
      <c r="AA715" s="1809"/>
      <c r="AB715" s="1810"/>
      <c r="AC715" s="1815">
        <f t="shared" si="29"/>
        <v>0</v>
      </c>
      <c r="AD715" s="1816"/>
      <c r="AE715" s="1816"/>
      <c r="AF715" s="1816"/>
      <c r="AG715" s="1817"/>
      <c r="AH715" s="1826"/>
      <c r="AI715" s="1827"/>
      <c r="AJ715" s="1827"/>
      <c r="AK715" s="1827"/>
      <c r="AL715" s="1828"/>
      <c r="AM715" s="2147" t="str">
        <f t="shared" si="30"/>
        <v xml:space="preserve"> </v>
      </c>
      <c r="AN715" s="2148"/>
      <c r="AO715" s="2149"/>
      <c r="BA715" s="72"/>
      <c r="BB715" s="72"/>
      <c r="BC715" s="72"/>
      <c r="BD715" s="72"/>
      <c r="BE715" s="149"/>
      <c r="BF715" s="147" t="s">
        <v>953</v>
      </c>
      <c r="BG715" s="697">
        <f>SUM(BG690:BG714)</f>
        <v>48</v>
      </c>
      <c r="BH715" s="698">
        <f>SUM(BH690:BH714)</f>
        <v>1</v>
      </c>
      <c r="BI715" s="698">
        <f>SUM(BI690:BI714)</f>
        <v>0.49791666666666667</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0"/>
      <c r="C716" s="1801"/>
      <c r="D716" s="1801"/>
      <c r="E716" s="1801"/>
      <c r="F716" s="1802"/>
      <c r="G716" s="1803"/>
      <c r="H716" s="1804"/>
      <c r="I716" s="1804"/>
      <c r="J716" s="1805"/>
      <c r="K716" s="1812"/>
      <c r="L716" s="1813"/>
      <c r="M716" s="1813"/>
      <c r="N716" s="1814"/>
      <c r="O716" s="1808"/>
      <c r="P716" s="1809"/>
      <c r="Q716" s="1809"/>
      <c r="R716" s="1809"/>
      <c r="S716" s="1810"/>
      <c r="T716" s="1815">
        <f t="shared" si="28"/>
        <v>0</v>
      </c>
      <c r="U716" s="1816"/>
      <c r="V716" s="1816"/>
      <c r="W716" s="1816"/>
      <c r="X716" s="1817"/>
      <c r="Y716" s="1808"/>
      <c r="Z716" s="1809"/>
      <c r="AA716" s="1809"/>
      <c r="AB716" s="1810"/>
      <c r="AC716" s="1815">
        <f t="shared" si="29"/>
        <v>0</v>
      </c>
      <c r="AD716" s="1816"/>
      <c r="AE716" s="1816"/>
      <c r="AF716" s="1816"/>
      <c r="AG716" s="1817"/>
      <c r="AH716" s="1826"/>
      <c r="AI716" s="1827"/>
      <c r="AJ716" s="1827"/>
      <c r="AK716" s="1827"/>
      <c r="AL716" s="1828"/>
      <c r="AM716" s="2147" t="str">
        <f t="shared" si="30"/>
        <v xml:space="preserve"> </v>
      </c>
      <c r="AN716" s="2148"/>
      <c r="AO716" s="2149"/>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0"/>
      <c r="C717" s="1801"/>
      <c r="D717" s="1801"/>
      <c r="E717" s="1801"/>
      <c r="F717" s="1802"/>
      <c r="G717" s="1803"/>
      <c r="H717" s="1804"/>
      <c r="I717" s="1804"/>
      <c r="J717" s="1805"/>
      <c r="K717" s="1812"/>
      <c r="L717" s="1813"/>
      <c r="M717" s="1813"/>
      <c r="N717" s="1814"/>
      <c r="O717" s="1808"/>
      <c r="P717" s="1809"/>
      <c r="Q717" s="1809"/>
      <c r="R717" s="1809"/>
      <c r="S717" s="1810"/>
      <c r="T717" s="1815">
        <f t="shared" si="28"/>
        <v>0</v>
      </c>
      <c r="U717" s="1816"/>
      <c r="V717" s="1816"/>
      <c r="W717" s="1816"/>
      <c r="X717" s="1817"/>
      <c r="Y717" s="1808"/>
      <c r="Z717" s="1809"/>
      <c r="AA717" s="1809"/>
      <c r="AB717" s="1810"/>
      <c r="AC717" s="1815">
        <f t="shared" si="29"/>
        <v>0</v>
      </c>
      <c r="AD717" s="1816"/>
      <c r="AE717" s="1816"/>
      <c r="AF717" s="1816"/>
      <c r="AG717" s="1817"/>
      <c r="AH717" s="1826"/>
      <c r="AI717" s="1827"/>
      <c r="AJ717" s="1827"/>
      <c r="AK717" s="1827"/>
      <c r="AL717" s="1828"/>
      <c r="AM717" s="2147" t="str">
        <f t="shared" si="30"/>
        <v xml:space="preserve"> </v>
      </c>
      <c r="AN717" s="2148"/>
      <c r="AO717" s="2149"/>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800"/>
      <c r="C718" s="1801"/>
      <c r="D718" s="1801"/>
      <c r="E718" s="1801"/>
      <c r="F718" s="1802"/>
      <c r="G718" s="1803"/>
      <c r="H718" s="1804"/>
      <c r="I718" s="1804"/>
      <c r="J718" s="1805"/>
      <c r="K718" s="1812"/>
      <c r="L718" s="1813"/>
      <c r="M718" s="1813"/>
      <c r="N718" s="1814"/>
      <c r="O718" s="1808"/>
      <c r="P718" s="1809"/>
      <c r="Q718" s="1809"/>
      <c r="R718" s="1809"/>
      <c r="S718" s="1810"/>
      <c r="T718" s="1815">
        <f t="shared" si="28"/>
        <v>0</v>
      </c>
      <c r="U718" s="1816"/>
      <c r="V718" s="1816"/>
      <c r="W718" s="1816"/>
      <c r="X718" s="1817"/>
      <c r="Y718" s="1808"/>
      <c r="Z718" s="1809"/>
      <c r="AA718" s="1809"/>
      <c r="AB718" s="1810"/>
      <c r="AC718" s="1815">
        <f t="shared" si="29"/>
        <v>0</v>
      </c>
      <c r="AD718" s="1816"/>
      <c r="AE718" s="1816"/>
      <c r="AF718" s="1816"/>
      <c r="AG718" s="1817"/>
      <c r="AH718" s="1826"/>
      <c r="AI718" s="1827"/>
      <c r="AJ718" s="1827"/>
      <c r="AK718" s="1827"/>
      <c r="AL718" s="1828"/>
      <c r="AM718" s="2147" t="str">
        <f t="shared" si="30"/>
        <v xml:space="preserve"> </v>
      </c>
      <c r="AN718" s="2148"/>
      <c r="AO718" s="2149"/>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800"/>
      <c r="C719" s="1801"/>
      <c r="D719" s="1801"/>
      <c r="E719" s="1801"/>
      <c r="F719" s="1802"/>
      <c r="G719" s="1803"/>
      <c r="H719" s="1804"/>
      <c r="I719" s="1804"/>
      <c r="J719" s="1805"/>
      <c r="K719" s="1812"/>
      <c r="L719" s="1813"/>
      <c r="M719" s="1813"/>
      <c r="N719" s="1814"/>
      <c r="O719" s="1808"/>
      <c r="P719" s="1809"/>
      <c r="Q719" s="1809"/>
      <c r="R719" s="1809"/>
      <c r="S719" s="1810"/>
      <c r="T719" s="1815">
        <f t="shared" si="28"/>
        <v>0</v>
      </c>
      <c r="U719" s="1816"/>
      <c r="V719" s="1816"/>
      <c r="W719" s="1816"/>
      <c r="X719" s="1817"/>
      <c r="Y719" s="1808"/>
      <c r="Z719" s="1809"/>
      <c r="AA719" s="1809"/>
      <c r="AB719" s="1810"/>
      <c r="AC719" s="1815">
        <f t="shared" si="29"/>
        <v>0</v>
      </c>
      <c r="AD719" s="1816"/>
      <c r="AE719" s="1816"/>
      <c r="AF719" s="1816"/>
      <c r="AG719" s="1817"/>
      <c r="AH719" s="1826">
        <v>0</v>
      </c>
      <c r="AI719" s="1827"/>
      <c r="AJ719" s="1827"/>
      <c r="AK719" s="1827"/>
      <c r="AL719" s="1828"/>
      <c r="AM719" s="2147" t="str">
        <f t="shared" si="30"/>
        <v xml:space="preserve"> </v>
      </c>
      <c r="AN719" s="2148"/>
      <c r="AO719" s="2149"/>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800"/>
      <c r="C720" s="1801"/>
      <c r="D720" s="1801"/>
      <c r="E720" s="1801"/>
      <c r="F720" s="1802"/>
      <c r="G720" s="1803"/>
      <c r="H720" s="1804"/>
      <c r="I720" s="1804"/>
      <c r="J720" s="1805"/>
      <c r="K720" s="1812"/>
      <c r="L720" s="1813"/>
      <c r="M720" s="1813"/>
      <c r="N720" s="1814"/>
      <c r="O720" s="1808"/>
      <c r="P720" s="1809"/>
      <c r="Q720" s="1809"/>
      <c r="R720" s="1809"/>
      <c r="S720" s="1810"/>
      <c r="T720" s="1815">
        <f t="shared" si="28"/>
        <v>0</v>
      </c>
      <c r="U720" s="1816"/>
      <c r="V720" s="1816"/>
      <c r="W720" s="1816"/>
      <c r="X720" s="1817"/>
      <c r="Y720" s="1808"/>
      <c r="Z720" s="1809"/>
      <c r="AA720" s="1809"/>
      <c r="AB720" s="1810"/>
      <c r="AC720" s="1815">
        <f t="shared" si="29"/>
        <v>0</v>
      </c>
      <c r="AD720" s="1816"/>
      <c r="AE720" s="1816"/>
      <c r="AF720" s="1816"/>
      <c r="AG720" s="1817"/>
      <c r="AH720" s="1826">
        <v>0</v>
      </c>
      <c r="AI720" s="1827"/>
      <c r="AJ720" s="1827"/>
      <c r="AK720" s="1827"/>
      <c r="AL720" s="1828"/>
      <c r="AM720" s="2147" t="str">
        <f t="shared" si="30"/>
        <v xml:space="preserve"> </v>
      </c>
      <c r="AN720" s="2148"/>
      <c r="AO720" s="2149"/>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800"/>
      <c r="C721" s="1801"/>
      <c r="D721" s="1801"/>
      <c r="E721" s="1801"/>
      <c r="F721" s="1802"/>
      <c r="G721" s="1803"/>
      <c r="H721" s="1804"/>
      <c r="I721" s="1804"/>
      <c r="J721" s="1805"/>
      <c r="K721" s="1812"/>
      <c r="L721" s="1813"/>
      <c r="M721" s="1813"/>
      <c r="N721" s="1814"/>
      <c r="O721" s="1808"/>
      <c r="P721" s="1809"/>
      <c r="Q721" s="1809"/>
      <c r="R721" s="1809"/>
      <c r="S721" s="1810"/>
      <c r="T721" s="1815">
        <f t="shared" si="28"/>
        <v>0</v>
      </c>
      <c r="U721" s="1816"/>
      <c r="V721" s="1816"/>
      <c r="W721" s="1816"/>
      <c r="X721" s="1817"/>
      <c r="Y721" s="1808"/>
      <c r="Z721" s="1809"/>
      <c r="AA721" s="1809"/>
      <c r="AB721" s="1810"/>
      <c r="AC721" s="1815">
        <f t="shared" si="29"/>
        <v>0</v>
      </c>
      <c r="AD721" s="1816"/>
      <c r="AE721" s="1816"/>
      <c r="AF721" s="1816"/>
      <c r="AG721" s="1817"/>
      <c r="AH721" s="1826">
        <v>0</v>
      </c>
      <c r="AI721" s="1827"/>
      <c r="AJ721" s="1827"/>
      <c r="AK721" s="1827"/>
      <c r="AL721" s="1828"/>
      <c r="AM721" s="2147" t="str">
        <f t="shared" si="30"/>
        <v xml:space="preserve"> </v>
      </c>
      <c r="AN721" s="2148"/>
      <c r="AO721" s="2149"/>
      <c r="BA721" s="72"/>
      <c r="BB721" s="72"/>
      <c r="BC721" s="72"/>
      <c r="BD721" s="72"/>
      <c r="BE721" s="72"/>
      <c r="BF721" s="72"/>
      <c r="BG721" s="1406">
        <f>G706</f>
        <v>12</v>
      </c>
      <c r="BH721" s="1410">
        <f>BG721/$BG$746</f>
        <v>0.25</v>
      </c>
      <c r="BI721" s="1411">
        <f>IF(BH721=0," ",BH721*AM706)</f>
        <v>7.4999999999999997E-2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800"/>
      <c r="C722" s="1801"/>
      <c r="D722" s="1801"/>
      <c r="E722" s="1801"/>
      <c r="F722" s="1802"/>
      <c r="G722" s="1803"/>
      <c r="H722" s="1804"/>
      <c r="I722" s="1804"/>
      <c r="J722" s="1805"/>
      <c r="K722" s="1812"/>
      <c r="L722" s="1813"/>
      <c r="M722" s="1813"/>
      <c r="N722" s="1814"/>
      <c r="O722" s="1808"/>
      <c r="P722" s="1809"/>
      <c r="Q722" s="1809"/>
      <c r="R722" s="1809"/>
      <c r="S722" s="1810"/>
      <c r="T722" s="1815">
        <f t="shared" si="28"/>
        <v>0</v>
      </c>
      <c r="U722" s="1816"/>
      <c r="V722" s="1816"/>
      <c r="W722" s="1816"/>
      <c r="X722" s="1817"/>
      <c r="Y722" s="1808"/>
      <c r="Z722" s="1809"/>
      <c r="AA722" s="1809"/>
      <c r="AB722" s="1810"/>
      <c r="AC722" s="1815">
        <f t="shared" si="29"/>
        <v>0</v>
      </c>
      <c r="AD722" s="1816"/>
      <c r="AE722" s="1816"/>
      <c r="AF722" s="1816"/>
      <c r="AG722" s="1817"/>
      <c r="AH722" s="1826">
        <v>0</v>
      </c>
      <c r="AI722" s="1827"/>
      <c r="AJ722" s="1827"/>
      <c r="AK722" s="1827"/>
      <c r="AL722" s="1828"/>
      <c r="AM722" s="2147" t="str">
        <f t="shared" si="30"/>
        <v xml:space="preserve"> </v>
      </c>
      <c r="AN722" s="2148"/>
      <c r="AO722" s="2149"/>
      <c r="BA722" s="72"/>
      <c r="BB722" s="72"/>
      <c r="BC722" s="72"/>
      <c r="BD722" s="72"/>
      <c r="BE722" s="72"/>
      <c r="BF722" s="72"/>
      <c r="BG722" s="1406">
        <f t="shared" ref="BG722:BG745" si="31">G707</f>
        <v>4</v>
      </c>
      <c r="BH722" s="1410">
        <f t="shared" ref="BH722:BH745" si="32">BG722/$BG$746</f>
        <v>8.3333333333333329E-2</v>
      </c>
      <c r="BI722" s="1411">
        <f t="shared" ref="BI722:BI745" si="33">IF(BH722=0," ",BH722*AM707)</f>
        <v>4.1666666666666664E-2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800"/>
      <c r="C723" s="1801"/>
      <c r="D723" s="1801"/>
      <c r="E723" s="1801"/>
      <c r="F723" s="1802"/>
      <c r="G723" s="1803"/>
      <c r="H723" s="1804"/>
      <c r="I723" s="1804"/>
      <c r="J723" s="1805"/>
      <c r="K723" s="1812"/>
      <c r="L723" s="1813"/>
      <c r="M723" s="1813"/>
      <c r="N723" s="1814"/>
      <c r="O723" s="1808"/>
      <c r="P723" s="1809"/>
      <c r="Q723" s="1809"/>
      <c r="R723" s="1809"/>
      <c r="S723" s="1810"/>
      <c r="T723" s="1815">
        <f t="shared" si="28"/>
        <v>0</v>
      </c>
      <c r="U723" s="1816"/>
      <c r="V723" s="1816"/>
      <c r="W723" s="1816"/>
      <c r="X723" s="1817"/>
      <c r="Y723" s="1808"/>
      <c r="Z723" s="1809"/>
      <c r="AA723" s="1809"/>
      <c r="AB723" s="1810"/>
      <c r="AC723" s="1815">
        <f t="shared" si="29"/>
        <v>0</v>
      </c>
      <c r="AD723" s="1816"/>
      <c r="AE723" s="1816"/>
      <c r="AF723" s="1816"/>
      <c r="AG723" s="1817"/>
      <c r="AH723" s="1826">
        <v>0</v>
      </c>
      <c r="AI723" s="1827"/>
      <c r="AJ723" s="1827"/>
      <c r="AK723" s="1827"/>
      <c r="AL723" s="1828"/>
      <c r="AM723" s="2147" t="str">
        <f t="shared" si="30"/>
        <v xml:space="preserve"> </v>
      </c>
      <c r="AN723" s="2148"/>
      <c r="AO723" s="2149"/>
      <c r="BA723" s="75"/>
      <c r="BB723" s="75"/>
      <c r="BC723" s="75"/>
      <c r="BD723" s="75"/>
      <c r="BE723" s="75"/>
      <c r="BF723" s="75"/>
      <c r="BG723" s="1406">
        <f t="shared" si="31"/>
        <v>8</v>
      </c>
      <c r="BH723" s="1410">
        <f t="shared" si="32"/>
        <v>0.16666666666666666</v>
      </c>
      <c r="BI723" s="1411">
        <f t="shared" si="33"/>
        <v>0.10001496110113703</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800"/>
      <c r="C724" s="1801"/>
      <c r="D724" s="1801"/>
      <c r="E724" s="1801"/>
      <c r="F724" s="1802"/>
      <c r="G724" s="1803"/>
      <c r="H724" s="1804"/>
      <c r="I724" s="1804"/>
      <c r="J724" s="1805"/>
      <c r="K724" s="1812"/>
      <c r="L724" s="1813"/>
      <c r="M724" s="1813"/>
      <c r="N724" s="1814"/>
      <c r="O724" s="1808"/>
      <c r="P724" s="1809"/>
      <c r="Q724" s="1809"/>
      <c r="R724" s="1809"/>
      <c r="S724" s="1810"/>
      <c r="T724" s="1815">
        <f t="shared" si="28"/>
        <v>0</v>
      </c>
      <c r="U724" s="1816"/>
      <c r="V724" s="1816"/>
      <c r="W724" s="1816"/>
      <c r="X724" s="1817"/>
      <c r="Y724" s="1808"/>
      <c r="Z724" s="1809"/>
      <c r="AA724" s="1809"/>
      <c r="AB724" s="1810"/>
      <c r="AC724" s="1815">
        <f t="shared" si="29"/>
        <v>0</v>
      </c>
      <c r="AD724" s="1816"/>
      <c r="AE724" s="1816"/>
      <c r="AF724" s="1816"/>
      <c r="AG724" s="1817"/>
      <c r="AH724" s="1826">
        <v>0</v>
      </c>
      <c r="AI724" s="1827"/>
      <c r="AJ724" s="1827"/>
      <c r="AK724" s="1827"/>
      <c r="AL724" s="1828"/>
      <c r="AM724" s="2147" t="str">
        <f t="shared" si="30"/>
        <v xml:space="preserve"> </v>
      </c>
      <c r="AN724" s="2148"/>
      <c r="AO724" s="2149"/>
      <c r="BA724" s="75"/>
      <c r="BB724" s="75"/>
      <c r="BC724" s="75"/>
      <c r="BD724" s="75"/>
      <c r="BE724" s="75"/>
      <c r="BF724" s="75"/>
      <c r="BG724" s="1406">
        <f t="shared" si="31"/>
        <v>4</v>
      </c>
      <c r="BH724" s="1410">
        <f t="shared" si="32"/>
        <v>8.3333333333333329E-2</v>
      </c>
      <c r="BI724" s="1411">
        <f t="shared" si="33"/>
        <v>4.1666666666666664E-2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800"/>
      <c r="C725" s="1801"/>
      <c r="D725" s="1801"/>
      <c r="E725" s="1801"/>
      <c r="F725" s="1802"/>
      <c r="G725" s="1803"/>
      <c r="H725" s="1804"/>
      <c r="I725" s="1804"/>
      <c r="J725" s="1805"/>
      <c r="K725" s="1812"/>
      <c r="L725" s="1813"/>
      <c r="M725" s="1813"/>
      <c r="N725" s="1814"/>
      <c r="O725" s="1808"/>
      <c r="P725" s="1809"/>
      <c r="Q725" s="1809"/>
      <c r="R725" s="1809"/>
      <c r="S725" s="1810"/>
      <c r="T725" s="1815">
        <f t="shared" si="28"/>
        <v>0</v>
      </c>
      <c r="U725" s="1816"/>
      <c r="V725" s="1816"/>
      <c r="W725" s="1816"/>
      <c r="X725" s="1817"/>
      <c r="Y725" s="1808"/>
      <c r="Z725" s="1809"/>
      <c r="AA725" s="1809"/>
      <c r="AB725" s="1810"/>
      <c r="AC725" s="1815">
        <f t="shared" si="29"/>
        <v>0</v>
      </c>
      <c r="AD725" s="1816"/>
      <c r="AE725" s="1816"/>
      <c r="AF725" s="1816"/>
      <c r="AG725" s="1817"/>
      <c r="AH725" s="1826">
        <v>0</v>
      </c>
      <c r="AI725" s="1827"/>
      <c r="AJ725" s="1827"/>
      <c r="AK725" s="1827"/>
      <c r="AL725" s="1828"/>
      <c r="AM725" s="2147" t="str">
        <f t="shared" si="30"/>
        <v xml:space="preserve"> </v>
      </c>
      <c r="AN725" s="2148"/>
      <c r="AO725" s="2149"/>
      <c r="BA725" s="75"/>
      <c r="BB725" s="75"/>
      <c r="BC725" s="75"/>
      <c r="BD725" s="75"/>
      <c r="BE725" s="75"/>
      <c r="BF725" s="75"/>
      <c r="BG725" s="1406">
        <f t="shared" si="31"/>
        <v>8</v>
      </c>
      <c r="BH725" s="1410">
        <f t="shared" si="32"/>
        <v>0.16666666666666666</v>
      </c>
      <c r="BI725" s="1411">
        <f t="shared" si="33"/>
        <v>0.10003739715781601</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800"/>
      <c r="C726" s="1801"/>
      <c r="D726" s="1801"/>
      <c r="E726" s="1801"/>
      <c r="F726" s="1802"/>
      <c r="G726" s="1803"/>
      <c r="H726" s="1804"/>
      <c r="I726" s="1804"/>
      <c r="J726" s="1805"/>
      <c r="K726" s="1812"/>
      <c r="L726" s="1813"/>
      <c r="M726" s="1813"/>
      <c r="N726" s="1814"/>
      <c r="O726" s="1808"/>
      <c r="P726" s="1809"/>
      <c r="Q726" s="1809"/>
      <c r="R726" s="1809"/>
      <c r="S726" s="1810"/>
      <c r="T726" s="1815">
        <f t="shared" si="28"/>
        <v>0</v>
      </c>
      <c r="U726" s="1816"/>
      <c r="V726" s="1816"/>
      <c r="W726" s="1816"/>
      <c r="X726" s="1817"/>
      <c r="Y726" s="1808"/>
      <c r="Z726" s="1809"/>
      <c r="AA726" s="1809"/>
      <c r="AB726" s="1810"/>
      <c r="AC726" s="1815">
        <f t="shared" si="29"/>
        <v>0</v>
      </c>
      <c r="AD726" s="1816"/>
      <c r="AE726" s="1816"/>
      <c r="AF726" s="1816"/>
      <c r="AG726" s="1817"/>
      <c r="AH726" s="1826">
        <v>0</v>
      </c>
      <c r="AI726" s="1827"/>
      <c r="AJ726" s="1827"/>
      <c r="AK726" s="1827"/>
      <c r="AL726" s="1828"/>
      <c r="AM726" s="2147" t="str">
        <f t="shared" si="30"/>
        <v xml:space="preserve"> </v>
      </c>
      <c r="AN726" s="2148"/>
      <c r="AO726" s="2149"/>
      <c r="BA726" s="75"/>
      <c r="BB726" s="75"/>
      <c r="BC726" s="75"/>
      <c r="BD726" s="75"/>
      <c r="BE726" s="75"/>
      <c r="BF726" s="75"/>
      <c r="BG726" s="1406">
        <f t="shared" si="31"/>
        <v>5</v>
      </c>
      <c r="BH726" s="1410">
        <f t="shared" si="32"/>
        <v>0.10416666666666667</v>
      </c>
      <c r="BI726" s="1411">
        <f t="shared" si="33"/>
        <v>5.2083333333333336E-2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800"/>
      <c r="C727" s="1801"/>
      <c r="D727" s="1801"/>
      <c r="E727" s="1801"/>
      <c r="F727" s="1802"/>
      <c r="G727" s="1803"/>
      <c r="H727" s="1804"/>
      <c r="I727" s="1804"/>
      <c r="J727" s="1805"/>
      <c r="K727" s="1812"/>
      <c r="L727" s="1813"/>
      <c r="M727" s="1813"/>
      <c r="N727" s="1814"/>
      <c r="O727" s="1808"/>
      <c r="P727" s="1809"/>
      <c r="Q727" s="1809"/>
      <c r="R727" s="1809"/>
      <c r="S727" s="1810"/>
      <c r="T727" s="1815">
        <f t="shared" si="28"/>
        <v>0</v>
      </c>
      <c r="U727" s="1816"/>
      <c r="V727" s="1816"/>
      <c r="W727" s="1816"/>
      <c r="X727" s="1817"/>
      <c r="Y727" s="1808"/>
      <c r="Z727" s="1809"/>
      <c r="AA727" s="1809"/>
      <c r="AB727" s="1810"/>
      <c r="AC727" s="1815">
        <f t="shared" si="29"/>
        <v>0</v>
      </c>
      <c r="AD727" s="1816"/>
      <c r="AE727" s="1816"/>
      <c r="AF727" s="1816"/>
      <c r="AG727" s="1817"/>
      <c r="AH727" s="1826">
        <v>0</v>
      </c>
      <c r="AI727" s="1827"/>
      <c r="AJ727" s="1827"/>
      <c r="AK727" s="1827"/>
      <c r="AL727" s="1828"/>
      <c r="AM727" s="2147" t="str">
        <f t="shared" si="30"/>
        <v xml:space="preserve"> </v>
      </c>
      <c r="AN727" s="2148"/>
      <c r="AO727" s="2149"/>
      <c r="BA727" s="75"/>
      <c r="BB727" s="75"/>
      <c r="BC727" s="75"/>
      <c r="BD727" s="75"/>
      <c r="BE727" s="75"/>
      <c r="BF727" s="75"/>
      <c r="BG727" s="1406">
        <f t="shared" si="31"/>
        <v>7</v>
      </c>
      <c r="BH727" s="1410">
        <f t="shared" si="32"/>
        <v>0.14583333333333334</v>
      </c>
      <c r="BI727" s="1411">
        <f t="shared" si="33"/>
        <v>8.7500000000000008E-2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800"/>
      <c r="C728" s="1801"/>
      <c r="D728" s="1801"/>
      <c r="E728" s="1801"/>
      <c r="F728" s="1802"/>
      <c r="G728" s="1803"/>
      <c r="H728" s="1804"/>
      <c r="I728" s="1804"/>
      <c r="J728" s="1805"/>
      <c r="K728" s="1812"/>
      <c r="L728" s="1813"/>
      <c r="M728" s="1813"/>
      <c r="N728" s="1814"/>
      <c r="O728" s="1808"/>
      <c r="P728" s="1809"/>
      <c r="Q728" s="1809"/>
      <c r="R728" s="1809"/>
      <c r="S728" s="1810"/>
      <c r="T728" s="1815">
        <f t="shared" si="28"/>
        <v>0</v>
      </c>
      <c r="U728" s="1816"/>
      <c r="V728" s="1816"/>
      <c r="W728" s="1816"/>
      <c r="X728" s="1817"/>
      <c r="Y728" s="1808"/>
      <c r="Z728" s="1809"/>
      <c r="AA728" s="1809"/>
      <c r="AB728" s="1810"/>
      <c r="AC728" s="1815">
        <f t="shared" si="29"/>
        <v>0</v>
      </c>
      <c r="AD728" s="1816"/>
      <c r="AE728" s="1816"/>
      <c r="AF728" s="1816"/>
      <c r="AG728" s="1817"/>
      <c r="AH728" s="1826">
        <v>0</v>
      </c>
      <c r="AI728" s="1827"/>
      <c r="AJ728" s="1827"/>
      <c r="AK728" s="1827"/>
      <c r="AL728" s="1828"/>
      <c r="AM728" s="2147" t="str">
        <f t="shared" si="30"/>
        <v xml:space="preserve"> </v>
      </c>
      <c r="AN728" s="2148"/>
      <c r="AO728" s="2149"/>
      <c r="BA728" s="62"/>
      <c r="BB728" s="326"/>
      <c r="BC728" s="326"/>
      <c r="BD728" s="326"/>
      <c r="BE728" s="781"/>
      <c r="BF728" s="781"/>
      <c r="BG728" s="1406">
        <f t="shared" si="31"/>
        <v>0</v>
      </c>
      <c r="BH728" s="1410">
        <f t="shared" si="32"/>
        <v>0</v>
      </c>
      <c r="BI728" s="1411" t="str">
        <f t="shared" si="33"/>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800"/>
      <c r="C729" s="1801"/>
      <c r="D729" s="1801"/>
      <c r="E729" s="1801"/>
      <c r="F729" s="1802"/>
      <c r="G729" s="1803"/>
      <c r="H729" s="1804"/>
      <c r="I729" s="1804"/>
      <c r="J729" s="1805"/>
      <c r="K729" s="1812"/>
      <c r="L729" s="1813"/>
      <c r="M729" s="1813"/>
      <c r="N729" s="1814"/>
      <c r="O729" s="1808"/>
      <c r="P729" s="1809"/>
      <c r="Q729" s="1809"/>
      <c r="R729" s="1809"/>
      <c r="S729" s="1810"/>
      <c r="T729" s="1815">
        <f t="shared" si="28"/>
        <v>0</v>
      </c>
      <c r="U729" s="1816"/>
      <c r="V729" s="1816"/>
      <c r="W729" s="1816"/>
      <c r="X729" s="1817"/>
      <c r="Y729" s="1808"/>
      <c r="Z729" s="1809"/>
      <c r="AA729" s="1809"/>
      <c r="AB729" s="1810"/>
      <c r="AC729" s="1815">
        <f t="shared" si="29"/>
        <v>0</v>
      </c>
      <c r="AD729" s="1816"/>
      <c r="AE729" s="1816"/>
      <c r="AF729" s="1816"/>
      <c r="AG729" s="1817"/>
      <c r="AH729" s="1826">
        <v>0</v>
      </c>
      <c r="AI729" s="1827"/>
      <c r="AJ729" s="1827"/>
      <c r="AK729" s="1827"/>
      <c r="AL729" s="1828"/>
      <c r="AM729" s="2147" t="str">
        <f t="shared" si="30"/>
        <v xml:space="preserve"> </v>
      </c>
      <c r="AN729" s="2148"/>
      <c r="AO729" s="2149"/>
      <c r="BA729" s="326"/>
      <c r="BB729" s="326"/>
      <c r="BC729" s="326"/>
      <c r="BD729" s="326"/>
      <c r="BE729" s="781"/>
      <c r="BF729" s="781"/>
      <c r="BG729" s="1406">
        <f t="shared" si="31"/>
        <v>0</v>
      </c>
      <c r="BH729" s="1410">
        <f t="shared" si="32"/>
        <v>0</v>
      </c>
      <c r="BI729" s="1411" t="str">
        <f t="shared" si="33"/>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800"/>
      <c r="C730" s="1801"/>
      <c r="D730" s="1801"/>
      <c r="E730" s="1801"/>
      <c r="F730" s="1802"/>
      <c r="G730" s="1803"/>
      <c r="H730" s="1804"/>
      <c r="I730" s="1804"/>
      <c r="J730" s="1805"/>
      <c r="K730" s="1812"/>
      <c r="L730" s="1813"/>
      <c r="M730" s="1813"/>
      <c r="N730" s="1814"/>
      <c r="O730" s="1808"/>
      <c r="P730" s="1809"/>
      <c r="Q730" s="1809"/>
      <c r="R730" s="1809"/>
      <c r="S730" s="1810"/>
      <c r="T730" s="1815">
        <f t="shared" si="28"/>
        <v>0</v>
      </c>
      <c r="U730" s="1816"/>
      <c r="V730" s="1816"/>
      <c r="W730" s="1816"/>
      <c r="X730" s="1817"/>
      <c r="Y730" s="1808"/>
      <c r="Z730" s="1809"/>
      <c r="AA730" s="1809"/>
      <c r="AB730" s="1810"/>
      <c r="AC730" s="1815">
        <f t="shared" si="29"/>
        <v>0</v>
      </c>
      <c r="AD730" s="1816"/>
      <c r="AE730" s="1816"/>
      <c r="AF730" s="1816"/>
      <c r="AG730" s="1817"/>
      <c r="AH730" s="1826">
        <v>0</v>
      </c>
      <c r="AI730" s="1827"/>
      <c r="AJ730" s="1827"/>
      <c r="AK730" s="1827"/>
      <c r="AL730" s="1828"/>
      <c r="AM730" s="2147" t="str">
        <f t="shared" si="30"/>
        <v xml:space="preserve"> </v>
      </c>
      <c r="AN730" s="2148"/>
      <c r="AO730" s="2149"/>
      <c r="BA730" s="326"/>
      <c r="BB730" s="326"/>
      <c r="BC730" s="326"/>
      <c r="BD730" s="326"/>
      <c r="BE730" s="781"/>
      <c r="BF730" s="781"/>
      <c r="BG730" s="1406">
        <f t="shared" si="31"/>
        <v>0</v>
      </c>
      <c r="BH730" s="1410">
        <f t="shared" si="32"/>
        <v>0</v>
      </c>
      <c r="BI730" s="1411" t="str">
        <f t="shared" si="33"/>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878" t="s">
        <v>955</v>
      </c>
      <c r="C731" s="1879"/>
      <c r="D731" s="1879"/>
      <c r="E731" s="1879"/>
      <c r="F731" s="1880"/>
      <c r="G731" s="1874">
        <f>SUM(G706:J730)</f>
        <v>48</v>
      </c>
      <c r="H731" s="1875"/>
      <c r="I731" s="1875"/>
      <c r="J731" s="1876"/>
      <c r="K731" s="1343"/>
      <c r="L731" s="1343"/>
      <c r="M731" s="1343"/>
      <c r="N731" s="1343"/>
      <c r="O731" s="661" t="s">
        <v>954</v>
      </c>
      <c r="P731" s="662"/>
      <c r="Q731" s="662"/>
      <c r="R731" s="662"/>
      <c r="S731" s="1396"/>
      <c r="T731" s="1815">
        <f>SUM(T706:X730)</f>
        <v>61003</v>
      </c>
      <c r="U731" s="1816"/>
      <c r="V731" s="1816"/>
      <c r="W731" s="1816"/>
      <c r="X731" s="1817"/>
      <c r="Y731" s="1343"/>
      <c r="Z731" s="1343"/>
      <c r="AA731" s="1343"/>
      <c r="AB731" s="1343"/>
      <c r="AC731" s="1397" t="s">
        <v>1231</v>
      </c>
      <c r="AD731" s="1398"/>
      <c r="AE731" s="1398"/>
      <c r="AF731" s="1398"/>
      <c r="AG731" s="1399"/>
      <c r="AH731" s="2160">
        <f>BI715</f>
        <v>0.49791666666666667</v>
      </c>
      <c r="AI731" s="2161"/>
      <c r="AJ731" s="2161"/>
      <c r="AK731" s="2161"/>
      <c r="AL731" s="2162"/>
      <c r="AM731" s="2160">
        <f>BI746</f>
        <v>0.49796902492561973</v>
      </c>
      <c r="AN731" s="2161"/>
      <c r="AO731" s="2162"/>
      <c r="BA731" s="326"/>
      <c r="BB731" s="326"/>
      <c r="BC731" s="326"/>
      <c r="BD731" s="326"/>
      <c r="BE731" s="781"/>
      <c r="BF731" s="781"/>
      <c r="BG731" s="1406">
        <f t="shared" si="31"/>
        <v>0</v>
      </c>
      <c r="BH731" s="1410">
        <f t="shared" si="32"/>
        <v>0</v>
      </c>
      <c r="BI731" s="1411" t="str">
        <f t="shared" si="33"/>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870" t="s">
        <v>2287</v>
      </c>
      <c r="D732" s="1870"/>
      <c r="E732" s="1870"/>
      <c r="F732" s="1870"/>
      <c r="G732" s="1870"/>
      <c r="H732" s="1870"/>
      <c r="I732" s="1870"/>
      <c r="J732" s="1870"/>
      <c r="K732" s="1870"/>
      <c r="L732" s="1870"/>
      <c r="M732" s="1870"/>
      <c r="N732" s="1870"/>
      <c r="O732" s="1870"/>
      <c r="P732" s="1870"/>
      <c r="Q732" s="1870"/>
      <c r="R732" s="1870"/>
      <c r="S732" s="1870"/>
      <c r="T732" s="1870"/>
      <c r="U732" s="1870"/>
      <c r="V732" s="1870"/>
      <c r="W732" s="1870"/>
      <c r="X732" s="1870"/>
      <c r="Y732" s="1870"/>
      <c r="Z732" s="1870"/>
      <c r="AA732" s="1870"/>
      <c r="AB732" s="1870"/>
      <c r="AC732" s="1870"/>
      <c r="AD732" s="1870"/>
      <c r="AE732" s="1870"/>
      <c r="AF732" s="1870"/>
      <c r="AG732" s="1870"/>
      <c r="AH732" s="1870"/>
      <c r="AL732" s="72"/>
      <c r="AM732" s="781"/>
      <c r="BA732" s="72"/>
      <c r="BB732" s="72"/>
      <c r="BC732" s="72"/>
      <c r="BD732" s="72"/>
      <c r="BE732" s="72"/>
      <c r="BF732" s="72"/>
      <c r="BG732" s="1406">
        <f t="shared" si="31"/>
        <v>0</v>
      </c>
      <c r="BH732" s="1410">
        <f t="shared" si="32"/>
        <v>0</v>
      </c>
      <c r="BI732" s="1411" t="str">
        <f t="shared" si="33"/>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870"/>
      <c r="D733" s="1870"/>
      <c r="E733" s="1870"/>
      <c r="F733" s="1870"/>
      <c r="G733" s="1870"/>
      <c r="H733" s="1870"/>
      <c r="I733" s="1870"/>
      <c r="J733" s="1870"/>
      <c r="K733" s="1870"/>
      <c r="L733" s="1870"/>
      <c r="M733" s="1870"/>
      <c r="N733" s="1870"/>
      <c r="O733" s="1870"/>
      <c r="P733" s="1870"/>
      <c r="Q733" s="1870"/>
      <c r="R733" s="1870"/>
      <c r="S733" s="1870"/>
      <c r="T733" s="1870"/>
      <c r="U733" s="1870"/>
      <c r="V733" s="1870"/>
      <c r="W733" s="1870"/>
      <c r="X733" s="1870"/>
      <c r="Y733" s="1870"/>
      <c r="Z733" s="1870"/>
      <c r="AA733" s="1870"/>
      <c r="AB733" s="1870"/>
      <c r="AC733" s="1870"/>
      <c r="AD733" s="1870"/>
      <c r="AE733" s="1870"/>
      <c r="AF733" s="1870"/>
      <c r="AG733" s="1870"/>
      <c r="AH733" s="1870"/>
      <c r="AL733" s="72"/>
      <c r="AM733" s="72"/>
      <c r="BA733" s="72"/>
      <c r="BB733" s="72"/>
      <c r="BC733" s="72"/>
      <c r="BD733" s="72"/>
      <c r="BE733" s="72"/>
      <c r="BF733" s="72"/>
      <c r="BG733" s="1406">
        <f t="shared" si="31"/>
        <v>0</v>
      </c>
      <c r="BH733" s="1410">
        <f t="shared" si="32"/>
        <v>0</v>
      </c>
      <c r="BI733" s="1411" t="str">
        <f t="shared" si="33"/>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798">
        <f>CQ629</f>
        <v>84</v>
      </c>
      <c r="P734" s="1798"/>
      <c r="Q734" s="1798"/>
      <c r="R734" s="1798"/>
      <c r="S734" s="1499"/>
      <c r="T734" s="1499"/>
      <c r="U734" s="1494" t="s">
        <v>2289</v>
      </c>
      <c r="V734" s="1497"/>
      <c r="W734" s="1497"/>
      <c r="X734" s="1497"/>
      <c r="Y734" s="1498"/>
      <c r="Z734" s="1498"/>
      <c r="AA734" s="1498"/>
      <c r="AB734" s="1498"/>
      <c r="AC734" s="1497"/>
      <c r="AD734" s="1497"/>
      <c r="AE734" s="1497"/>
      <c r="AF734" s="1497"/>
      <c r="AG734" s="1799"/>
      <c r="AH734" s="1799"/>
      <c r="AI734" s="1799"/>
      <c r="AJ734" s="1799"/>
      <c r="AK734" s="1312"/>
      <c r="AL734" s="72"/>
      <c r="AM734" s="72"/>
      <c r="BA734" s="72"/>
      <c r="BB734" s="72"/>
      <c r="BC734" s="72"/>
      <c r="BD734" s="72"/>
      <c r="BE734" s="72"/>
      <c r="BF734" s="72"/>
      <c r="BG734" s="1406">
        <f t="shared" si="31"/>
        <v>0</v>
      </c>
      <c r="BH734" s="1410">
        <f t="shared" si="32"/>
        <v>0</v>
      </c>
      <c r="BI734" s="1411" t="str">
        <f t="shared" si="33"/>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1"/>
        <v>0</v>
      </c>
      <c r="BH735" s="1410">
        <f t="shared" si="32"/>
        <v>0</v>
      </c>
      <c r="BI735" s="1411" t="str">
        <f t="shared" si="33"/>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63" t="s">
        <v>135</v>
      </c>
      <c r="AA736" s="2163"/>
      <c r="AB736" s="2163"/>
      <c r="AF736" s="579"/>
      <c r="AG736" s="765"/>
      <c r="AH736" s="765"/>
      <c r="AL736" s="72"/>
      <c r="AM736" s="72"/>
      <c r="BA736" s="72"/>
      <c r="BB736" s="72"/>
      <c r="BC736" s="72"/>
      <c r="BD736" s="72"/>
      <c r="BE736" s="72"/>
      <c r="BF736" s="72"/>
      <c r="BG736" s="1406">
        <f t="shared" si="31"/>
        <v>0</v>
      </c>
      <c r="BH736" s="1410">
        <f t="shared" si="32"/>
        <v>0</v>
      </c>
      <c r="BI736" s="1411" t="str">
        <f t="shared" si="33"/>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085" t="s">
        <v>2285</v>
      </c>
      <c r="C737" s="2085"/>
      <c r="D737" s="2085"/>
      <c r="E737" s="2085"/>
      <c r="F737" s="2085"/>
      <c r="G737" s="2085"/>
      <c r="H737" s="2085"/>
      <c r="I737" s="2085"/>
      <c r="J737" s="2085"/>
      <c r="K737" s="2085"/>
      <c r="L737" s="2085"/>
      <c r="M737" s="2085"/>
      <c r="N737" s="2085"/>
      <c r="O737" s="2085"/>
      <c r="P737" s="2085"/>
      <c r="Q737" s="2085"/>
      <c r="R737" s="2085"/>
      <c r="S737" s="2085"/>
      <c r="T737" s="2085"/>
      <c r="U737" s="2085"/>
      <c r="V737" s="2085"/>
      <c r="W737" s="2085"/>
      <c r="X737" s="2085"/>
      <c r="Y737" s="2085"/>
      <c r="Z737" s="2085"/>
      <c r="AA737" s="2085"/>
      <c r="AB737" s="2085"/>
      <c r="AC737" s="2085"/>
      <c r="AD737" s="2085"/>
      <c r="AE737" s="2085"/>
      <c r="AF737" s="2085"/>
      <c r="AG737" s="2085"/>
      <c r="AH737" s="2085"/>
      <c r="AI737" s="2085"/>
      <c r="AJ737" s="2085"/>
      <c r="AK737" s="2085"/>
      <c r="AL737" s="2085"/>
      <c r="AM737" s="72"/>
      <c r="BA737" s="72"/>
      <c r="BB737" s="72"/>
      <c r="BC737" s="72"/>
      <c r="BD737" s="72"/>
      <c r="BE737" s="72"/>
      <c r="BF737" s="72"/>
      <c r="BG737" s="1406">
        <f t="shared" si="31"/>
        <v>0</v>
      </c>
      <c r="BH737" s="1410">
        <f t="shared" si="32"/>
        <v>0</v>
      </c>
      <c r="BI737" s="1411" t="str">
        <f t="shared" si="33"/>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085"/>
      <c r="C738" s="2085"/>
      <c r="D738" s="2085"/>
      <c r="E738" s="2085"/>
      <c r="F738" s="2085"/>
      <c r="G738" s="2085"/>
      <c r="H738" s="2085"/>
      <c r="I738" s="2085"/>
      <c r="J738" s="2085"/>
      <c r="K738" s="2085"/>
      <c r="L738" s="2085"/>
      <c r="M738" s="2085"/>
      <c r="N738" s="2085"/>
      <c r="O738" s="2085"/>
      <c r="P738" s="2085"/>
      <c r="Q738" s="2085"/>
      <c r="R738" s="2085"/>
      <c r="S738" s="2085"/>
      <c r="T738" s="2085"/>
      <c r="U738" s="2085"/>
      <c r="V738" s="2085"/>
      <c r="W738" s="2085"/>
      <c r="X738" s="2085"/>
      <c r="Y738" s="2085"/>
      <c r="Z738" s="2085"/>
      <c r="AA738" s="2085"/>
      <c r="AB738" s="2085"/>
      <c r="AC738" s="2085"/>
      <c r="AD738" s="2085"/>
      <c r="AE738" s="2085"/>
      <c r="AF738" s="2085"/>
      <c r="AG738" s="2085"/>
      <c r="AH738" s="2085"/>
      <c r="AI738" s="2085"/>
      <c r="AJ738" s="2085"/>
      <c r="AK738" s="2085"/>
      <c r="AL738" s="2085"/>
      <c r="AM738" s="72"/>
      <c r="BA738" s="72"/>
      <c r="BB738" s="72"/>
      <c r="BC738" s="72"/>
      <c r="BD738" s="72"/>
      <c r="BE738" s="72"/>
      <c r="BF738" s="72"/>
      <c r="BG738" s="1406">
        <f t="shared" si="31"/>
        <v>0</v>
      </c>
      <c r="BH738" s="1410">
        <f t="shared" si="32"/>
        <v>0</v>
      </c>
      <c r="BI738" s="1411" t="str">
        <f t="shared" si="33"/>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1"/>
        <v>0</v>
      </c>
      <c r="BH739" s="1410">
        <f t="shared" si="32"/>
        <v>0</v>
      </c>
      <c r="BI739" s="1411" t="str">
        <f t="shared" si="33"/>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4" t="s">
        <v>1657</v>
      </c>
      <c r="D740" s="2084"/>
      <c r="E740" s="2084"/>
      <c r="F740" s="2084"/>
      <c r="G740" s="2084"/>
      <c r="H740" s="2084"/>
      <c r="I740" s="2084"/>
      <c r="J740" s="2084"/>
      <c r="K740" s="2084"/>
      <c r="L740" s="2084"/>
      <c r="M740" s="2084"/>
      <c r="N740" s="2084"/>
      <c r="O740" s="2084"/>
      <c r="P740" s="2084"/>
      <c r="Q740" s="2084"/>
      <c r="R740" s="2084"/>
      <c r="S740" s="2084"/>
      <c r="T740" s="2084"/>
      <c r="U740" s="2084"/>
      <c r="V740" s="2084"/>
      <c r="W740" s="2084"/>
      <c r="X740" s="2084"/>
      <c r="Y740" s="2084"/>
      <c r="Z740" s="2084"/>
      <c r="AA740" s="2084"/>
      <c r="AB740" s="2084"/>
      <c r="AC740" s="2084"/>
      <c r="AD740" s="2084"/>
      <c r="AE740" s="2084"/>
      <c r="AF740" s="2084"/>
      <c r="AG740" s="2084"/>
      <c r="AH740" s="2084"/>
      <c r="AI740" s="2084"/>
      <c r="AJ740" s="2084"/>
      <c r="AK740" s="2084"/>
      <c r="AM740" s="72"/>
      <c r="BA740" s="72"/>
      <c r="BB740" s="72"/>
      <c r="BC740" s="72"/>
      <c r="BD740" s="72"/>
      <c r="BE740" s="72"/>
      <c r="BF740" s="72"/>
      <c r="BG740" s="1406">
        <f t="shared" si="31"/>
        <v>0</v>
      </c>
      <c r="BH740" s="1410">
        <f t="shared" si="32"/>
        <v>0</v>
      </c>
      <c r="BI740" s="1411" t="str">
        <f t="shared" si="33"/>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4"/>
      <c r="D741" s="2084"/>
      <c r="E741" s="2084"/>
      <c r="F741" s="2084"/>
      <c r="G741" s="2084"/>
      <c r="H741" s="2084"/>
      <c r="I741" s="2084"/>
      <c r="J741" s="2084"/>
      <c r="K741" s="2084"/>
      <c r="L741" s="2084"/>
      <c r="M741" s="2084"/>
      <c r="N741" s="2084"/>
      <c r="O741" s="2084"/>
      <c r="P741" s="2084"/>
      <c r="Q741" s="2084"/>
      <c r="R741" s="2084"/>
      <c r="S741" s="2084"/>
      <c r="T741" s="2084"/>
      <c r="U741" s="2084"/>
      <c r="V741" s="2084"/>
      <c r="W741" s="2084"/>
      <c r="X741" s="2084"/>
      <c r="Y741" s="2084"/>
      <c r="Z741" s="2084"/>
      <c r="AA741" s="2084"/>
      <c r="AB741" s="2084"/>
      <c r="AC741" s="2084"/>
      <c r="AD741" s="2084"/>
      <c r="AE741" s="2084"/>
      <c r="AF741" s="2084"/>
      <c r="AG741" s="2084"/>
      <c r="AH741" s="2084"/>
      <c r="AI741" s="2084"/>
      <c r="AJ741" s="2084"/>
      <c r="AK741" s="2084"/>
      <c r="AM741" s="72"/>
      <c r="BA741" s="72"/>
      <c r="BB741" s="72"/>
      <c r="BC741" s="72"/>
      <c r="BD741" s="72"/>
      <c r="BE741" s="72"/>
      <c r="BF741" s="72"/>
      <c r="BG741" s="1406">
        <f t="shared" si="31"/>
        <v>0</v>
      </c>
      <c r="BH741" s="1410">
        <f t="shared" si="32"/>
        <v>0</v>
      </c>
      <c r="BI741" s="1411" t="str">
        <f t="shared" si="33"/>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4"/>
      <c r="D742" s="2084"/>
      <c r="E742" s="2084"/>
      <c r="F742" s="2084"/>
      <c r="G742" s="2084"/>
      <c r="H742" s="2084"/>
      <c r="I742" s="2084"/>
      <c r="J742" s="2084"/>
      <c r="K742" s="2084"/>
      <c r="L742" s="2084"/>
      <c r="M742" s="2084"/>
      <c r="N742" s="2084"/>
      <c r="O742" s="2084"/>
      <c r="P742" s="2084"/>
      <c r="Q742" s="2084"/>
      <c r="R742" s="2084"/>
      <c r="S742" s="2084"/>
      <c r="T742" s="2084"/>
      <c r="U742" s="2084"/>
      <c r="V742" s="2084"/>
      <c r="W742" s="2084"/>
      <c r="X742" s="2084"/>
      <c r="Y742" s="2084"/>
      <c r="Z742" s="2084"/>
      <c r="AA742" s="2084"/>
      <c r="AB742" s="2084"/>
      <c r="AC742" s="2084"/>
      <c r="AD742" s="2084"/>
      <c r="AE742" s="2084"/>
      <c r="AF742" s="2084"/>
      <c r="AG742" s="2084"/>
      <c r="AH742" s="2084"/>
      <c r="AI742" s="2084"/>
      <c r="AJ742" s="2084"/>
      <c r="AK742" s="2084"/>
      <c r="AM742" s="72"/>
      <c r="BA742" s="72"/>
      <c r="BB742" s="72"/>
      <c r="BC742" s="72"/>
      <c r="BD742" s="72"/>
      <c r="BE742" s="72"/>
      <c r="BF742" s="72"/>
      <c r="BG742" s="1406">
        <f t="shared" si="31"/>
        <v>0</v>
      </c>
      <c r="BH742" s="1410">
        <f t="shared" si="32"/>
        <v>0</v>
      </c>
      <c r="BI742" s="1411" t="str">
        <f t="shared" si="33"/>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4"/>
      <c r="D743" s="2084"/>
      <c r="E743" s="2084"/>
      <c r="F743" s="2084"/>
      <c r="G743" s="2084"/>
      <c r="H743" s="2084"/>
      <c r="I743" s="2084"/>
      <c r="J743" s="2084"/>
      <c r="K743" s="2084"/>
      <c r="L743" s="2084"/>
      <c r="M743" s="2084"/>
      <c r="N743" s="2084"/>
      <c r="O743" s="2084"/>
      <c r="P743" s="2084"/>
      <c r="Q743" s="2084"/>
      <c r="R743" s="2084"/>
      <c r="S743" s="2084"/>
      <c r="T743" s="2084"/>
      <c r="U743" s="2084"/>
      <c r="V743" s="2084"/>
      <c r="W743" s="2084"/>
      <c r="X743" s="2084"/>
      <c r="Y743" s="2084"/>
      <c r="Z743" s="2084"/>
      <c r="AA743" s="2084"/>
      <c r="AB743" s="2084"/>
      <c r="AC743" s="2084"/>
      <c r="AD743" s="2084"/>
      <c r="AE743" s="2084"/>
      <c r="AF743" s="2084"/>
      <c r="AG743" s="2084"/>
      <c r="AH743" s="2084"/>
      <c r="AI743" s="2084"/>
      <c r="AJ743" s="2084"/>
      <c r="AK743" s="2084"/>
      <c r="AM743" s="72"/>
      <c r="BA743" s="72"/>
      <c r="BB743" s="72"/>
      <c r="BC743" s="72"/>
      <c r="BD743" s="72"/>
      <c r="BE743" s="72"/>
      <c r="BF743" s="72"/>
      <c r="BG743" s="1406">
        <f t="shared" si="31"/>
        <v>0</v>
      </c>
      <c r="BH743" s="1410">
        <f t="shared" si="32"/>
        <v>0</v>
      </c>
      <c r="BI743" s="1411" t="str">
        <f t="shared" si="33"/>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4"/>
      <c r="D744" s="2084"/>
      <c r="E744" s="2084"/>
      <c r="F744" s="2084"/>
      <c r="G744" s="2084"/>
      <c r="H744" s="2084"/>
      <c r="I744" s="2084"/>
      <c r="J744" s="2084"/>
      <c r="K744" s="2084"/>
      <c r="L744" s="2084"/>
      <c r="M744" s="2084"/>
      <c r="N744" s="2084"/>
      <c r="O744" s="2084"/>
      <c r="P744" s="2084"/>
      <c r="Q744" s="2084"/>
      <c r="R744" s="2084"/>
      <c r="S744" s="2084"/>
      <c r="T744" s="2084"/>
      <c r="U744" s="2084"/>
      <c r="V744" s="2084"/>
      <c r="W744" s="2084"/>
      <c r="X744" s="2084"/>
      <c r="Y744" s="2084"/>
      <c r="Z744" s="2084"/>
      <c r="AA744" s="2084"/>
      <c r="AB744" s="2084"/>
      <c r="AC744" s="2084"/>
      <c r="AD744" s="2084"/>
      <c r="AE744" s="2084"/>
      <c r="AF744" s="2084"/>
      <c r="AG744" s="2084"/>
      <c r="AH744" s="2084"/>
      <c r="AI744" s="2084"/>
      <c r="AJ744" s="2084"/>
      <c r="AK744" s="2084"/>
      <c r="AM744" s="72"/>
      <c r="BA744" s="72"/>
      <c r="BB744" s="72"/>
      <c r="BC744" s="72"/>
      <c r="BD744" s="72"/>
      <c r="BE744" s="72"/>
      <c r="BF744" s="72"/>
      <c r="BG744" s="1406">
        <f t="shared" si="31"/>
        <v>0</v>
      </c>
      <c r="BH744" s="1410">
        <f t="shared" si="32"/>
        <v>0</v>
      </c>
      <c r="BI744" s="1411" t="str">
        <f t="shared" si="33"/>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4"/>
      <c r="D745" s="2084"/>
      <c r="E745" s="2084"/>
      <c r="F745" s="2084"/>
      <c r="G745" s="2084"/>
      <c r="H745" s="2084"/>
      <c r="I745" s="2084"/>
      <c r="J745" s="2084"/>
      <c r="K745" s="2084"/>
      <c r="L745" s="2084"/>
      <c r="M745" s="2084"/>
      <c r="N745" s="2084"/>
      <c r="O745" s="2084"/>
      <c r="P745" s="2084"/>
      <c r="Q745" s="2084"/>
      <c r="R745" s="2084"/>
      <c r="S745" s="2084"/>
      <c r="T745" s="2084"/>
      <c r="U745" s="2084"/>
      <c r="V745" s="2084"/>
      <c r="W745" s="2084"/>
      <c r="X745" s="2084"/>
      <c r="Y745" s="2084"/>
      <c r="Z745" s="2084"/>
      <c r="AA745" s="2084"/>
      <c r="AB745" s="2084"/>
      <c r="AC745" s="2084"/>
      <c r="AD745" s="2084"/>
      <c r="AE745" s="2084"/>
      <c r="AF745" s="2084"/>
      <c r="AG745" s="2084"/>
      <c r="AH745" s="2084"/>
      <c r="AI745" s="2084"/>
      <c r="AJ745" s="2084"/>
      <c r="AK745" s="2084"/>
      <c r="AM745" s="72"/>
      <c r="BA745" s="72"/>
      <c r="BB745" s="72"/>
      <c r="BC745" s="72"/>
      <c r="BD745" s="72"/>
      <c r="BE745" s="72"/>
      <c r="BF745" s="72"/>
      <c r="BG745" s="1409">
        <f t="shared" si="31"/>
        <v>0</v>
      </c>
      <c r="BH745" s="1410">
        <f t="shared" si="32"/>
        <v>0</v>
      </c>
      <c r="BI745" s="1411" t="str">
        <f t="shared" si="33"/>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4"/>
      <c r="D746" s="2084"/>
      <c r="E746" s="2084"/>
      <c r="F746" s="2084"/>
      <c r="G746" s="2084"/>
      <c r="H746" s="2084"/>
      <c r="I746" s="2084"/>
      <c r="J746" s="2084"/>
      <c r="K746" s="2084"/>
      <c r="L746" s="2084"/>
      <c r="M746" s="2084"/>
      <c r="N746" s="2084"/>
      <c r="O746" s="2084"/>
      <c r="P746" s="2084"/>
      <c r="Q746" s="2084"/>
      <c r="R746" s="2084"/>
      <c r="S746" s="2084"/>
      <c r="T746" s="2084"/>
      <c r="U746" s="2084"/>
      <c r="V746" s="2084"/>
      <c r="W746" s="2084"/>
      <c r="X746" s="2084"/>
      <c r="Y746" s="2084"/>
      <c r="Z746" s="2084"/>
      <c r="AA746" s="2084"/>
      <c r="AB746" s="2084"/>
      <c r="AC746" s="2084"/>
      <c r="AD746" s="2084"/>
      <c r="AE746" s="2084"/>
      <c r="AF746" s="2084"/>
      <c r="AG746" s="2084"/>
      <c r="AH746" s="2084"/>
      <c r="AI746" s="2084"/>
      <c r="AJ746" s="2084"/>
      <c r="AK746" s="2084"/>
      <c r="AM746" s="72"/>
      <c r="BA746" s="72"/>
      <c r="BB746" s="72"/>
      <c r="BC746" s="72"/>
      <c r="BD746" s="72"/>
      <c r="BE746" s="72"/>
      <c r="BF746" s="72"/>
      <c r="BG746" s="1407">
        <f>SUM(BG721:BG745)</f>
        <v>48</v>
      </c>
      <c r="BH746" s="1408">
        <f>SUM(BH721:BH745)</f>
        <v>1</v>
      </c>
      <c r="BI746" s="1408">
        <f>SUM(BI721:BI745)</f>
        <v>0.49796902492561973</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084"/>
      <c r="D747" s="2084"/>
      <c r="E747" s="2084"/>
      <c r="F747" s="2084"/>
      <c r="G747" s="2084"/>
      <c r="H747" s="2084"/>
      <c r="I747" s="2084"/>
      <c r="J747" s="2084"/>
      <c r="K747" s="2084"/>
      <c r="L747" s="2084"/>
      <c r="M747" s="2084"/>
      <c r="N747" s="2084"/>
      <c r="O747" s="2084"/>
      <c r="P747" s="2084"/>
      <c r="Q747" s="2084"/>
      <c r="R747" s="2084"/>
      <c r="S747" s="2084"/>
      <c r="T747" s="2084"/>
      <c r="U747" s="2084"/>
      <c r="V747" s="2084"/>
      <c r="W747" s="2084"/>
      <c r="X747" s="2084"/>
      <c r="Y747" s="2084"/>
      <c r="Z747" s="2084"/>
      <c r="AA747" s="2084"/>
      <c r="AB747" s="2084"/>
      <c r="AC747" s="2084"/>
      <c r="AD747" s="2084"/>
      <c r="AE747" s="2084"/>
      <c r="AF747" s="2084"/>
      <c r="AG747" s="2084"/>
      <c r="AH747" s="2084"/>
      <c r="AI747" s="2084"/>
      <c r="AJ747" s="2084"/>
      <c r="AK747" s="2084"/>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1" t="s">
        <v>59</v>
      </c>
      <c r="K748" s="1862"/>
      <c r="L748" s="1862"/>
      <c r="M748" s="1862"/>
      <c r="N748" s="1863"/>
      <c r="O748" s="1825" t="s">
        <v>283</v>
      </c>
      <c r="P748" s="1825"/>
      <c r="Q748" s="1825"/>
      <c r="R748" s="1825"/>
      <c r="S748" s="1825"/>
      <c r="T748" s="2141" t="s">
        <v>2211</v>
      </c>
      <c r="U748" s="2142"/>
      <c r="V748" s="2142"/>
      <c r="W748" s="2143"/>
      <c r="X748" s="1861" t="s">
        <v>651</v>
      </c>
      <c r="Y748" s="1862"/>
      <c r="Z748" s="1862"/>
      <c r="AA748" s="1862"/>
      <c r="AB748" s="1863"/>
      <c r="AC748" s="1861" t="s">
        <v>284</v>
      </c>
      <c r="AD748" s="1862"/>
      <c r="AE748" s="1862"/>
      <c r="AF748" s="1862"/>
      <c r="AG748" s="186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4"/>
      <c r="K749" s="1865"/>
      <c r="L749" s="1865"/>
      <c r="M749" s="1865"/>
      <c r="N749" s="1866"/>
      <c r="O749" s="1825"/>
      <c r="P749" s="1825"/>
      <c r="Q749" s="1825"/>
      <c r="R749" s="1825"/>
      <c r="S749" s="1825"/>
      <c r="T749" s="2144"/>
      <c r="U749" s="2145"/>
      <c r="V749" s="2145"/>
      <c r="W749" s="2146"/>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4"/>
      <c r="K750" s="1865"/>
      <c r="L750" s="1865"/>
      <c r="M750" s="1865"/>
      <c r="N750" s="1866"/>
      <c r="O750" s="1825"/>
      <c r="P750" s="1825"/>
      <c r="Q750" s="1825"/>
      <c r="R750" s="1825"/>
      <c r="S750" s="1825"/>
      <c r="T750" s="2144"/>
      <c r="U750" s="2145"/>
      <c r="V750" s="2145"/>
      <c r="W750" s="2146"/>
      <c r="X750" s="1864"/>
      <c r="Y750" s="1865"/>
      <c r="Z750" s="1865"/>
      <c r="AA750" s="1865"/>
      <c r="AB750" s="1866"/>
      <c r="AC750" s="1864"/>
      <c r="AD750" s="1865"/>
      <c r="AE750" s="1865"/>
      <c r="AF750" s="1865"/>
      <c r="AG750" s="1866"/>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867"/>
      <c r="K751" s="1868"/>
      <c r="L751" s="1868"/>
      <c r="M751" s="1868"/>
      <c r="N751" s="1869"/>
      <c r="O751" s="1825"/>
      <c r="P751" s="1825"/>
      <c r="Q751" s="1825"/>
      <c r="R751" s="1825"/>
      <c r="S751" s="1825"/>
      <c r="T751" s="2153"/>
      <c r="U751" s="2154"/>
      <c r="V751" s="2154"/>
      <c r="W751" s="2155"/>
      <c r="X751" s="1867"/>
      <c r="Y751" s="1868"/>
      <c r="Z751" s="1868"/>
      <c r="AA751" s="1868"/>
      <c r="AB751" s="1869"/>
      <c r="AC751" s="1867"/>
      <c r="AD751" s="1868"/>
      <c r="AE751" s="1868"/>
      <c r="AF751" s="1868"/>
      <c r="AG751" s="1869"/>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800" t="s">
        <v>846</v>
      </c>
      <c r="K752" s="1801"/>
      <c r="L752" s="1801"/>
      <c r="M752" s="1801"/>
      <c r="N752" s="1802"/>
      <c r="O752" s="1806">
        <v>1</v>
      </c>
      <c r="P752" s="1806"/>
      <c r="Q752" s="1806"/>
      <c r="R752" s="1806"/>
      <c r="S752" s="1806"/>
      <c r="T752" s="1812"/>
      <c r="U752" s="1813"/>
      <c r="V752" s="1813"/>
      <c r="W752" s="1814"/>
      <c r="X752" s="1808">
        <v>0</v>
      </c>
      <c r="Y752" s="1809"/>
      <c r="Z752" s="1809"/>
      <c r="AA752" s="1809"/>
      <c r="AB752" s="1810"/>
      <c r="AC752" s="1815">
        <f>X752*O752</f>
        <v>0</v>
      </c>
      <c r="AD752" s="1816"/>
      <c r="AE752" s="1816"/>
      <c r="AF752" s="1816"/>
      <c r="AG752" s="181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0"/>
      <c r="K753" s="1801"/>
      <c r="L753" s="1801"/>
      <c r="M753" s="1801"/>
      <c r="N753" s="1802"/>
      <c r="O753" s="1806"/>
      <c r="P753" s="1806"/>
      <c r="Q753" s="1806"/>
      <c r="R753" s="1806"/>
      <c r="S753" s="1806"/>
      <c r="T753" s="1812"/>
      <c r="U753" s="1813"/>
      <c r="V753" s="1813"/>
      <c r="W753" s="1814"/>
      <c r="X753" s="1808"/>
      <c r="Y753" s="1809"/>
      <c r="Z753" s="1809"/>
      <c r="AA753" s="1809"/>
      <c r="AB753" s="1810"/>
      <c r="AC753" s="1815">
        <f>X753*O753</f>
        <v>0</v>
      </c>
      <c r="AD753" s="1816"/>
      <c r="AE753" s="1816"/>
      <c r="AF753" s="1816"/>
      <c r="AG753" s="181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0"/>
      <c r="K754" s="1801"/>
      <c r="L754" s="1801"/>
      <c r="M754" s="1801"/>
      <c r="N754" s="1802"/>
      <c r="O754" s="1806"/>
      <c r="P754" s="1806"/>
      <c r="Q754" s="1806"/>
      <c r="R754" s="1806"/>
      <c r="S754" s="1806"/>
      <c r="T754" s="1812"/>
      <c r="U754" s="1813"/>
      <c r="V754" s="1813"/>
      <c r="W754" s="1814"/>
      <c r="X754" s="1808"/>
      <c r="Y754" s="1809"/>
      <c r="Z754" s="1809"/>
      <c r="AA754" s="1809"/>
      <c r="AB754" s="1810"/>
      <c r="AC754" s="1815">
        <f>X754*O754</f>
        <v>0</v>
      </c>
      <c r="AD754" s="1816"/>
      <c r="AE754" s="1816"/>
      <c r="AF754" s="1816"/>
      <c r="AG754" s="181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0"/>
      <c r="K755" s="1801"/>
      <c r="L755" s="1801"/>
      <c r="M755" s="1801"/>
      <c r="N755" s="1802"/>
      <c r="O755" s="1806"/>
      <c r="P755" s="1806"/>
      <c r="Q755" s="1806"/>
      <c r="R755" s="1806"/>
      <c r="S755" s="1806"/>
      <c r="T755" s="1812"/>
      <c r="U755" s="1813"/>
      <c r="V755" s="1813"/>
      <c r="W755" s="1814"/>
      <c r="X755" s="1808"/>
      <c r="Y755" s="1809"/>
      <c r="Z755" s="1809"/>
      <c r="AA755" s="1809"/>
      <c r="AB755" s="1810"/>
      <c r="AC755" s="1815">
        <f>X755*O755</f>
        <v>0</v>
      </c>
      <c r="AD755" s="1816"/>
      <c r="AE755" s="1816"/>
      <c r="AF755" s="1816"/>
      <c r="AG755" s="181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878" t="s">
        <v>955</v>
      </c>
      <c r="K756" s="1879"/>
      <c r="L756" s="1879"/>
      <c r="M756" s="1879"/>
      <c r="N756" s="1880"/>
      <c r="O756" s="2156">
        <f>SUM(O752:S755)</f>
        <v>1</v>
      </c>
      <c r="P756" s="2157"/>
      <c r="Q756" s="2157"/>
      <c r="R756" s="2157"/>
      <c r="S756" s="2158"/>
      <c r="X756" s="2150" t="s">
        <v>954</v>
      </c>
      <c r="Y756" s="2151"/>
      <c r="Z756" s="2151"/>
      <c r="AA756" s="2151"/>
      <c r="AB756" s="2152"/>
      <c r="AC756" s="1815">
        <f>SUM(AC752:AG755)</f>
        <v>0</v>
      </c>
      <c r="AD756" s="1816"/>
      <c r="AE756" s="1816"/>
      <c r="AF756" s="1816"/>
      <c r="AG756" s="181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679" t="s">
        <v>528</v>
      </c>
      <c r="K758" s="1679"/>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1" t="s">
        <v>59</v>
      </c>
      <c r="K762" s="1862"/>
      <c r="L762" s="1862"/>
      <c r="M762" s="1862"/>
      <c r="N762" s="1863"/>
      <c r="O762" s="1825" t="s">
        <v>283</v>
      </c>
      <c r="P762" s="1825"/>
      <c r="Q762" s="1825"/>
      <c r="R762" s="1825"/>
      <c r="S762" s="1825"/>
      <c r="T762" s="2141" t="s">
        <v>2211</v>
      </c>
      <c r="U762" s="2142"/>
      <c r="V762" s="2142"/>
      <c r="W762" s="2143"/>
      <c r="X762" s="1861" t="s">
        <v>651</v>
      </c>
      <c r="Y762" s="1862"/>
      <c r="Z762" s="1862"/>
      <c r="AA762" s="1862"/>
      <c r="AB762" s="1863"/>
      <c r="AC762" s="1861" t="s">
        <v>284</v>
      </c>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4"/>
      <c r="K763" s="1865"/>
      <c r="L763" s="1865"/>
      <c r="M763" s="1865"/>
      <c r="N763" s="1866"/>
      <c r="O763" s="1825"/>
      <c r="P763" s="1825"/>
      <c r="Q763" s="1825"/>
      <c r="R763" s="1825"/>
      <c r="S763" s="1825"/>
      <c r="T763" s="2144"/>
      <c r="U763" s="2145"/>
      <c r="V763" s="2145"/>
      <c r="W763" s="2146"/>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4"/>
      <c r="K764" s="1865"/>
      <c r="L764" s="1865"/>
      <c r="M764" s="1865"/>
      <c r="N764" s="1866"/>
      <c r="O764" s="1825"/>
      <c r="P764" s="1825"/>
      <c r="Q764" s="1825"/>
      <c r="R764" s="1825"/>
      <c r="S764" s="1825"/>
      <c r="T764" s="2144"/>
      <c r="U764" s="2145"/>
      <c r="V764" s="2145"/>
      <c r="W764" s="2146"/>
      <c r="X764" s="1864"/>
      <c r="Y764" s="1865"/>
      <c r="Z764" s="1865"/>
      <c r="AA764" s="1865"/>
      <c r="AB764" s="1866"/>
      <c r="AC764" s="1864"/>
      <c r="AD764" s="1865"/>
      <c r="AE764" s="1865"/>
      <c r="AF764" s="1865"/>
      <c r="AG764" s="186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7"/>
      <c r="K765" s="1868"/>
      <c r="L765" s="1868"/>
      <c r="M765" s="1868"/>
      <c r="N765" s="1869"/>
      <c r="O765" s="1825"/>
      <c r="P765" s="1825"/>
      <c r="Q765" s="1825"/>
      <c r="R765" s="1825"/>
      <c r="S765" s="1825"/>
      <c r="T765" s="2153"/>
      <c r="U765" s="2154"/>
      <c r="V765" s="2154"/>
      <c r="W765" s="2155"/>
      <c r="X765" s="1867"/>
      <c r="Y765" s="1868"/>
      <c r="Z765" s="1868"/>
      <c r="AA765" s="1868"/>
      <c r="AB765" s="1869"/>
      <c r="AC765" s="1867"/>
      <c r="AD765" s="1868"/>
      <c r="AE765" s="1868"/>
      <c r="AF765" s="1868"/>
      <c r="AG765" s="186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0"/>
      <c r="K766" s="1801"/>
      <c r="L766" s="1801"/>
      <c r="M766" s="1801"/>
      <c r="N766" s="1802"/>
      <c r="O766" s="1806"/>
      <c r="P766" s="1806"/>
      <c r="Q766" s="1806"/>
      <c r="R766" s="1806"/>
      <c r="S766" s="1806"/>
      <c r="T766" s="1812"/>
      <c r="U766" s="1813"/>
      <c r="V766" s="1813"/>
      <c r="W766" s="1814"/>
      <c r="X766" s="1808"/>
      <c r="Y766" s="1809"/>
      <c r="Z766" s="1809"/>
      <c r="AA766" s="1809"/>
      <c r="AB766" s="1810"/>
      <c r="AC766" s="1815">
        <f t="shared" ref="AC766:AC775" si="34">X766*O766</f>
        <v>0</v>
      </c>
      <c r="AD766" s="1816"/>
      <c r="AE766" s="1816"/>
      <c r="AF766" s="1816"/>
      <c r="AG766" s="181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0"/>
      <c r="K767" s="1801"/>
      <c r="L767" s="1801"/>
      <c r="M767" s="1801"/>
      <c r="N767" s="1802"/>
      <c r="O767" s="1806"/>
      <c r="P767" s="1806"/>
      <c r="Q767" s="1806"/>
      <c r="R767" s="1806"/>
      <c r="S767" s="1806"/>
      <c r="T767" s="1812"/>
      <c r="U767" s="1813"/>
      <c r="V767" s="1813"/>
      <c r="W767" s="1814"/>
      <c r="X767" s="1808"/>
      <c r="Y767" s="1809"/>
      <c r="Z767" s="1809"/>
      <c r="AA767" s="1809"/>
      <c r="AB767" s="1810"/>
      <c r="AC767" s="1815">
        <f t="shared" si="34"/>
        <v>0</v>
      </c>
      <c r="AD767" s="1816"/>
      <c r="AE767" s="1816"/>
      <c r="AF767" s="1816"/>
      <c r="AG767" s="181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0"/>
      <c r="K768" s="1801"/>
      <c r="L768" s="1801"/>
      <c r="M768" s="1801"/>
      <c r="N768" s="1802"/>
      <c r="O768" s="1806"/>
      <c r="P768" s="1806"/>
      <c r="Q768" s="1806"/>
      <c r="R768" s="1806"/>
      <c r="S768" s="1806"/>
      <c r="T768" s="1812"/>
      <c r="U768" s="1813"/>
      <c r="V768" s="1813"/>
      <c r="W768" s="1814"/>
      <c r="X768" s="1808"/>
      <c r="Y768" s="1809"/>
      <c r="Z768" s="1809"/>
      <c r="AA768" s="1809"/>
      <c r="AB768" s="1810"/>
      <c r="AC768" s="1815">
        <f t="shared" si="34"/>
        <v>0</v>
      </c>
      <c r="AD768" s="1816"/>
      <c r="AE768" s="1816"/>
      <c r="AF768" s="1816"/>
      <c r="AG768" s="181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0"/>
      <c r="K769" s="1801"/>
      <c r="L769" s="1801"/>
      <c r="M769" s="1801"/>
      <c r="N769" s="1802"/>
      <c r="O769" s="1806"/>
      <c r="P769" s="1806"/>
      <c r="Q769" s="1806"/>
      <c r="R769" s="1806"/>
      <c r="S769" s="1806"/>
      <c r="T769" s="1812"/>
      <c r="U769" s="1813"/>
      <c r="V769" s="1813"/>
      <c r="W769" s="1814"/>
      <c r="X769" s="1808"/>
      <c r="Y769" s="1809"/>
      <c r="Z769" s="1809"/>
      <c r="AA769" s="1809"/>
      <c r="AB769" s="1810"/>
      <c r="AC769" s="1815">
        <f t="shared" si="34"/>
        <v>0</v>
      </c>
      <c r="AD769" s="1816"/>
      <c r="AE769" s="1816"/>
      <c r="AF769" s="1816"/>
      <c r="AG769" s="181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0"/>
      <c r="K770" s="1801"/>
      <c r="L770" s="1801"/>
      <c r="M770" s="1801"/>
      <c r="N770" s="1802"/>
      <c r="O770" s="1806"/>
      <c r="P770" s="1806"/>
      <c r="Q770" s="1806"/>
      <c r="R770" s="1806"/>
      <c r="S770" s="1806"/>
      <c r="T770" s="1812"/>
      <c r="U770" s="1813"/>
      <c r="V770" s="1813"/>
      <c r="W770" s="1814"/>
      <c r="X770" s="1808"/>
      <c r="Y770" s="1809"/>
      <c r="Z770" s="1809"/>
      <c r="AA770" s="1809"/>
      <c r="AB770" s="1810"/>
      <c r="AC770" s="1815">
        <f t="shared" si="34"/>
        <v>0</v>
      </c>
      <c r="AD770" s="1816"/>
      <c r="AE770" s="1816"/>
      <c r="AF770" s="1816"/>
      <c r="AG770" s="181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0"/>
      <c r="K771" s="1801"/>
      <c r="L771" s="1801"/>
      <c r="M771" s="1801"/>
      <c r="N771" s="1802"/>
      <c r="O771" s="1806"/>
      <c r="P771" s="1806"/>
      <c r="Q771" s="1806"/>
      <c r="R771" s="1806"/>
      <c r="S771" s="1806"/>
      <c r="T771" s="1812"/>
      <c r="U771" s="1813"/>
      <c r="V771" s="1813"/>
      <c r="W771" s="1814"/>
      <c r="X771" s="1808"/>
      <c r="Y771" s="1809"/>
      <c r="Z771" s="1809"/>
      <c r="AA771" s="1809"/>
      <c r="AB771" s="1810"/>
      <c r="AC771" s="1815">
        <f t="shared" si="34"/>
        <v>0</v>
      </c>
      <c r="AD771" s="1816"/>
      <c r="AE771" s="1816"/>
      <c r="AF771" s="1816"/>
      <c r="AG771" s="181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0"/>
      <c r="K772" s="1801"/>
      <c r="L772" s="1801"/>
      <c r="M772" s="1801"/>
      <c r="N772" s="1802"/>
      <c r="O772" s="1806"/>
      <c r="P772" s="1806"/>
      <c r="Q772" s="1806"/>
      <c r="R772" s="1806"/>
      <c r="S772" s="1806"/>
      <c r="T772" s="1812"/>
      <c r="U772" s="1813"/>
      <c r="V772" s="1813"/>
      <c r="W772" s="1814"/>
      <c r="X772" s="1808"/>
      <c r="Y772" s="1809"/>
      <c r="Z772" s="1809"/>
      <c r="AA772" s="1809"/>
      <c r="AB772" s="1810"/>
      <c r="AC772" s="1815">
        <f t="shared" si="34"/>
        <v>0</v>
      </c>
      <c r="AD772" s="1816"/>
      <c r="AE772" s="1816"/>
      <c r="AF772" s="1816"/>
      <c r="AG772" s="181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0"/>
      <c r="K773" s="1801"/>
      <c r="L773" s="1801"/>
      <c r="M773" s="1801"/>
      <c r="N773" s="1802"/>
      <c r="O773" s="1806"/>
      <c r="P773" s="1806"/>
      <c r="Q773" s="1806"/>
      <c r="R773" s="1806"/>
      <c r="S773" s="1806"/>
      <c r="T773" s="1812"/>
      <c r="U773" s="1813"/>
      <c r="V773" s="1813"/>
      <c r="W773" s="1814"/>
      <c r="X773" s="1808"/>
      <c r="Y773" s="1809"/>
      <c r="Z773" s="1809"/>
      <c r="AA773" s="1809"/>
      <c r="AB773" s="1810"/>
      <c r="AC773" s="1815">
        <f t="shared" si="34"/>
        <v>0</v>
      </c>
      <c r="AD773" s="1816"/>
      <c r="AE773" s="1816"/>
      <c r="AF773" s="1816"/>
      <c r="AG773" s="181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0"/>
      <c r="K774" s="1801"/>
      <c r="L774" s="1801"/>
      <c r="M774" s="1801"/>
      <c r="N774" s="1802"/>
      <c r="O774" s="1806"/>
      <c r="P774" s="1806"/>
      <c r="Q774" s="1806"/>
      <c r="R774" s="1806"/>
      <c r="S774" s="1806"/>
      <c r="T774" s="1812"/>
      <c r="U774" s="1813"/>
      <c r="V774" s="1813"/>
      <c r="W774" s="1814"/>
      <c r="X774" s="1808"/>
      <c r="Y774" s="1809"/>
      <c r="Z774" s="1809"/>
      <c r="AA774" s="1809"/>
      <c r="AB774" s="1810"/>
      <c r="AC774" s="1815">
        <f t="shared" si="34"/>
        <v>0</v>
      </c>
      <c r="AD774" s="1816"/>
      <c r="AE774" s="1816"/>
      <c r="AF774" s="1816"/>
      <c r="AG774" s="181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0"/>
      <c r="K775" s="1801"/>
      <c r="L775" s="1801"/>
      <c r="M775" s="1801"/>
      <c r="N775" s="1802"/>
      <c r="O775" s="1806"/>
      <c r="P775" s="1806"/>
      <c r="Q775" s="1806"/>
      <c r="R775" s="1806"/>
      <c r="S775" s="1806"/>
      <c r="T775" s="1812"/>
      <c r="U775" s="1813"/>
      <c r="V775" s="1813"/>
      <c r="W775" s="1814"/>
      <c r="X775" s="1808"/>
      <c r="Y775" s="1809"/>
      <c r="Z775" s="1809"/>
      <c r="AA775" s="1809"/>
      <c r="AB775" s="1810"/>
      <c r="AC775" s="1815">
        <f t="shared" si="34"/>
        <v>0</v>
      </c>
      <c r="AD775" s="1816"/>
      <c r="AE775" s="1816"/>
      <c r="AF775" s="1816"/>
      <c r="AG775" s="181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878" t="s">
        <v>955</v>
      </c>
      <c r="K776" s="1879"/>
      <c r="L776" s="1879"/>
      <c r="M776" s="1879"/>
      <c r="N776" s="1880"/>
      <c r="O776" s="1881">
        <f>SUM(O766:S775)</f>
        <v>0</v>
      </c>
      <c r="P776" s="1881"/>
      <c r="Q776" s="1881"/>
      <c r="R776" s="1881"/>
      <c r="S776" s="1881"/>
      <c r="X776" s="1412" t="s">
        <v>954</v>
      </c>
      <c r="Y776" s="255"/>
      <c r="Z776" s="255"/>
      <c r="AA776" s="255"/>
      <c r="AB776" s="1413"/>
      <c r="AC776" s="1815">
        <f>SUM(AC766:AG775)</f>
        <v>0</v>
      </c>
      <c r="AD776" s="1816"/>
      <c r="AE776" s="1816"/>
      <c r="AF776" s="1816"/>
      <c r="AG776" s="181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38">
        <f>T731+AC756+AC776</f>
        <v>61003</v>
      </c>
      <c r="Z778" s="1738"/>
      <c r="AA778" s="1738"/>
      <c r="AB778" s="1738"/>
      <c r="AC778" s="173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38">
        <f>(T731+AC756+AC776)*12</f>
        <v>732036</v>
      </c>
      <c r="Z779" s="1738"/>
      <c r="AA779" s="1738"/>
      <c r="AB779" s="1738"/>
      <c r="AC779" s="173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090" t="s">
        <v>135</v>
      </c>
      <c r="AA784" s="1913"/>
      <c r="AB784" s="1913"/>
      <c r="AC784" s="1913"/>
      <c r="AD784" s="1913"/>
      <c r="AE784" s="191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6">
        <v>0</v>
      </c>
      <c r="AA785" s="1913"/>
      <c r="AB785" s="1913"/>
      <c r="AC785" s="1913"/>
      <c r="AD785" s="1913"/>
      <c r="AE785" s="191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807">
        <v>0</v>
      </c>
      <c r="AA786" s="1785"/>
      <c r="AB786" s="1785"/>
      <c r="AC786" s="1785"/>
      <c r="AD786" s="1785"/>
      <c r="AE786" s="178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735">
        <f>'Subsidy Contract Calculation'!I30</f>
        <v>0</v>
      </c>
      <c r="AA787" s="1736"/>
      <c r="AB787" s="1736"/>
      <c r="AC787" s="1736"/>
      <c r="AD787" s="1736"/>
      <c r="AE787" s="173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25">
        <v>12740</v>
      </c>
      <c r="AA791" s="1726"/>
      <c r="AB791" s="1726"/>
      <c r="AC791" s="1726"/>
      <c r="AD791" s="1726"/>
      <c r="AE791" s="172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25"/>
      <c r="AA792" s="1726"/>
      <c r="AB792" s="1726"/>
      <c r="AC792" s="1726"/>
      <c r="AD792" s="1726"/>
      <c r="AE792" s="172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25"/>
      <c r="AA793" s="1726"/>
      <c r="AB793" s="1726"/>
      <c r="AC793" s="1726"/>
      <c r="AD793" s="1726"/>
      <c r="AE793" s="172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39" t="s">
        <v>619</v>
      </c>
      <c r="Q794" s="1740"/>
      <c r="R794" s="1740"/>
      <c r="S794" s="1740"/>
      <c r="T794" s="1740"/>
      <c r="U794" s="1740"/>
      <c r="V794" s="1740"/>
      <c r="W794" s="1740"/>
      <c r="X794" s="1740"/>
      <c r="Y794" s="1741"/>
      <c r="Z794" s="1725"/>
      <c r="AA794" s="1726"/>
      <c r="AB794" s="1726"/>
      <c r="AC794" s="1726"/>
      <c r="AD794" s="1726"/>
      <c r="AE794" s="172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32">
        <f>SUM(Z791:AE794)</f>
        <v>12740</v>
      </c>
      <c r="AA795" s="1733"/>
      <c r="AB795" s="1733"/>
      <c r="AC795" s="1733"/>
      <c r="AD795" s="1733"/>
      <c r="AE795" s="173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32">
        <f>Z795+Y779+Z787</f>
        <v>744776</v>
      </c>
      <c r="AA796" s="1733"/>
      <c r="AB796" s="1733"/>
      <c r="AC796" s="1733"/>
      <c r="AD796" s="1733"/>
      <c r="AE796" s="173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7" t="s">
        <v>956</v>
      </c>
      <c r="N801" s="2077"/>
      <c r="O801" s="2077"/>
      <c r="P801" s="2078"/>
      <c r="Q801" s="1860" t="s">
        <v>290</v>
      </c>
      <c r="R801" s="1860"/>
      <c r="S801" s="1860"/>
      <c r="T801" s="1860"/>
      <c r="U801" s="1860" t="s">
        <v>291</v>
      </c>
      <c r="V801" s="1860"/>
      <c r="W801" s="1860"/>
      <c r="X801" s="1860"/>
      <c r="Y801" s="1860" t="s">
        <v>292</v>
      </c>
      <c r="Z801" s="1860"/>
      <c r="AA801" s="1860"/>
      <c r="AB801" s="1860"/>
      <c r="AC801" s="1860" t="s">
        <v>36</v>
      </c>
      <c r="AD801" s="1860"/>
      <c r="AE801" s="1860"/>
      <c r="AF801" s="1860"/>
      <c r="AG801" s="1811" t="s">
        <v>620</v>
      </c>
      <c r="AH801" s="1811"/>
      <c r="AI801" s="1811"/>
      <c r="AJ801" s="181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9"/>
      <c r="N802" s="2079"/>
      <c r="O802" s="2079"/>
      <c r="P802" s="2080"/>
      <c r="Q802" s="1860"/>
      <c r="R802" s="1860"/>
      <c r="S802" s="1860"/>
      <c r="T802" s="1860"/>
      <c r="U802" s="1860"/>
      <c r="V802" s="1860"/>
      <c r="W802" s="1860"/>
      <c r="X802" s="1860"/>
      <c r="Y802" s="1860"/>
      <c r="Z802" s="1860"/>
      <c r="AA802" s="1860"/>
      <c r="AB802" s="1860"/>
      <c r="AC802" s="1860"/>
      <c r="AD802" s="1860"/>
      <c r="AE802" s="1860"/>
      <c r="AF802" s="1860"/>
      <c r="AG802" s="1811"/>
      <c r="AH802" s="1811"/>
      <c r="AI802" s="1811"/>
      <c r="AJ802" s="181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7" t="s">
        <v>756</v>
      </c>
      <c r="D803" s="1908"/>
      <c r="E803" s="1908"/>
      <c r="F803" s="1908"/>
      <c r="G803" s="1908"/>
      <c r="H803" s="1908"/>
      <c r="I803" s="94"/>
      <c r="J803" s="94"/>
      <c r="K803" s="94"/>
      <c r="L803" s="95"/>
      <c r="M803" s="1757"/>
      <c r="N803" s="1757"/>
      <c r="O803" s="1757"/>
      <c r="P803" s="1757"/>
      <c r="Q803" s="1757"/>
      <c r="R803" s="1757"/>
      <c r="S803" s="1757"/>
      <c r="T803" s="1757"/>
      <c r="U803" s="1757"/>
      <c r="V803" s="1757"/>
      <c r="W803" s="1757"/>
      <c r="X803" s="1757"/>
      <c r="Y803" s="1757"/>
      <c r="Z803" s="1757"/>
      <c r="AA803" s="1757"/>
      <c r="AB803" s="1757"/>
      <c r="AC803" s="1660"/>
      <c r="AD803" s="1661"/>
      <c r="AE803" s="1661"/>
      <c r="AF803" s="1662"/>
      <c r="AG803" s="1660"/>
      <c r="AH803" s="1661"/>
      <c r="AI803" s="1661"/>
      <c r="AJ803" s="166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692" t="s">
        <v>757</v>
      </c>
      <c r="D804" s="1693"/>
      <c r="E804" s="1693"/>
      <c r="F804" s="1693"/>
      <c r="G804" s="1693"/>
      <c r="H804" s="1693"/>
      <c r="I804" s="91"/>
      <c r="J804" s="91"/>
      <c r="K804" s="91"/>
      <c r="L804" s="92"/>
      <c r="M804" s="1757"/>
      <c r="N804" s="1757"/>
      <c r="O804" s="1757"/>
      <c r="P804" s="1757"/>
      <c r="Q804" s="1757"/>
      <c r="R804" s="1757"/>
      <c r="S804" s="1757"/>
      <c r="T804" s="1757"/>
      <c r="U804" s="1757"/>
      <c r="V804" s="1757"/>
      <c r="W804" s="1757"/>
      <c r="X804" s="1757"/>
      <c r="Y804" s="1757"/>
      <c r="Z804" s="1757"/>
      <c r="AA804" s="1757"/>
      <c r="AB804" s="1757"/>
      <c r="AC804" s="1660"/>
      <c r="AD804" s="1661"/>
      <c r="AE804" s="1661"/>
      <c r="AF804" s="1662"/>
      <c r="AG804" s="1660"/>
      <c r="AH804" s="1661"/>
      <c r="AI804" s="1661"/>
      <c r="AJ804" s="166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692" t="s">
        <v>78</v>
      </c>
      <c r="D805" s="1693"/>
      <c r="E805" s="1693"/>
      <c r="F805" s="1693"/>
      <c r="G805" s="1693"/>
      <c r="H805" s="1693"/>
      <c r="I805" s="110"/>
      <c r="J805" s="110"/>
      <c r="K805" s="110"/>
      <c r="L805" s="111"/>
      <c r="M805" s="1757"/>
      <c r="N805" s="1757"/>
      <c r="O805" s="1757"/>
      <c r="P805" s="1757"/>
      <c r="Q805" s="1757"/>
      <c r="R805" s="1757"/>
      <c r="S805" s="1757"/>
      <c r="T805" s="1757"/>
      <c r="U805" s="1757"/>
      <c r="V805" s="1757"/>
      <c r="W805" s="1757"/>
      <c r="X805" s="1757"/>
      <c r="Y805" s="1757"/>
      <c r="Z805" s="1757"/>
      <c r="AA805" s="1757"/>
      <c r="AB805" s="1757"/>
      <c r="AC805" s="1660"/>
      <c r="AD805" s="1661"/>
      <c r="AE805" s="1661"/>
      <c r="AF805" s="1662"/>
      <c r="AG805" s="1660"/>
      <c r="AH805" s="1661"/>
      <c r="AI805" s="1661"/>
      <c r="AJ805" s="166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692" t="s">
        <v>194</v>
      </c>
      <c r="D806" s="1693"/>
      <c r="E806" s="1693"/>
      <c r="F806" s="1693"/>
      <c r="G806" s="1693"/>
      <c r="H806" s="1693"/>
      <c r="I806" s="110"/>
      <c r="J806" s="110"/>
      <c r="K806" s="110"/>
      <c r="L806" s="111"/>
      <c r="M806" s="1757"/>
      <c r="N806" s="1757"/>
      <c r="O806" s="1757"/>
      <c r="P806" s="1757"/>
      <c r="Q806" s="1757"/>
      <c r="R806" s="1757"/>
      <c r="S806" s="1757"/>
      <c r="T806" s="1757"/>
      <c r="U806" s="1757"/>
      <c r="V806" s="1757"/>
      <c r="W806" s="1757"/>
      <c r="X806" s="1757"/>
      <c r="Y806" s="1757"/>
      <c r="Z806" s="1757"/>
      <c r="AA806" s="1757"/>
      <c r="AB806" s="1757"/>
      <c r="AC806" s="1660"/>
      <c r="AD806" s="1661"/>
      <c r="AE806" s="1661"/>
      <c r="AF806" s="1662"/>
      <c r="AG806" s="1660"/>
      <c r="AH806" s="1661"/>
      <c r="AI806" s="1661"/>
      <c r="AJ806" s="166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692" t="s">
        <v>858</v>
      </c>
      <c r="D807" s="1693"/>
      <c r="E807" s="1693"/>
      <c r="F807" s="1693"/>
      <c r="G807" s="1693"/>
      <c r="H807" s="1693"/>
      <c r="I807" s="110"/>
      <c r="J807" s="110"/>
      <c r="K807" s="110"/>
      <c r="L807" s="111"/>
      <c r="M807" s="1757"/>
      <c r="N807" s="1757"/>
      <c r="O807" s="1757"/>
      <c r="P807" s="1757"/>
      <c r="Q807" s="1757"/>
      <c r="R807" s="1757"/>
      <c r="S807" s="1757"/>
      <c r="T807" s="1757"/>
      <c r="U807" s="1757"/>
      <c r="V807" s="1757"/>
      <c r="W807" s="1757"/>
      <c r="X807" s="1757"/>
      <c r="Y807" s="1757"/>
      <c r="Z807" s="1757"/>
      <c r="AA807" s="1757"/>
      <c r="AB807" s="1757"/>
      <c r="AC807" s="1660"/>
      <c r="AD807" s="1661"/>
      <c r="AE807" s="1661"/>
      <c r="AF807" s="1662"/>
      <c r="AG807" s="1660"/>
      <c r="AH807" s="1661"/>
      <c r="AI807" s="1661"/>
      <c r="AJ807" s="166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77" t="s">
        <v>1026</v>
      </c>
      <c r="D808" s="1693"/>
      <c r="E808" s="1693"/>
      <c r="F808" s="1693"/>
      <c r="G808" s="1693"/>
      <c r="H808" s="1693"/>
      <c r="I808" s="110"/>
      <c r="J808" s="110"/>
      <c r="K808" s="110"/>
      <c r="L808" s="111"/>
      <c r="M808" s="1757"/>
      <c r="N808" s="1757"/>
      <c r="O808" s="1757"/>
      <c r="P808" s="1757"/>
      <c r="Q808" s="1757"/>
      <c r="R808" s="1757"/>
      <c r="S808" s="1757"/>
      <c r="T808" s="1757"/>
      <c r="U808" s="1757"/>
      <c r="V808" s="1757"/>
      <c r="W808" s="1757"/>
      <c r="X808" s="1757"/>
      <c r="Y808" s="1757"/>
      <c r="Z808" s="1757"/>
      <c r="AA808" s="1757"/>
      <c r="AB808" s="1757"/>
      <c r="AC808" s="1660"/>
      <c r="AD808" s="1661"/>
      <c r="AE808" s="1661"/>
      <c r="AF808" s="1662"/>
      <c r="AG808" s="1660"/>
      <c r="AH808" s="1661"/>
      <c r="AI808" s="1661"/>
      <c r="AJ808" s="166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72" t="s">
        <v>2471</v>
      </c>
      <c r="G809" s="1723"/>
      <c r="H809" s="1723"/>
      <c r="I809" s="1723"/>
      <c r="J809" s="1723"/>
      <c r="K809" s="1723"/>
      <c r="L809" s="1724"/>
      <c r="M809" s="1757">
        <v>11</v>
      </c>
      <c r="N809" s="1757"/>
      <c r="O809" s="1757"/>
      <c r="P809" s="1757"/>
      <c r="Q809" s="1757">
        <v>11</v>
      </c>
      <c r="R809" s="1757"/>
      <c r="S809" s="1757"/>
      <c r="T809" s="1757"/>
      <c r="U809" s="1757">
        <v>11</v>
      </c>
      <c r="V809" s="1757"/>
      <c r="W809" s="1757"/>
      <c r="X809" s="1757"/>
      <c r="Y809" s="1757">
        <v>11</v>
      </c>
      <c r="Z809" s="1757"/>
      <c r="AA809" s="1757"/>
      <c r="AB809" s="1757"/>
      <c r="AC809" s="1660"/>
      <c r="AD809" s="1661"/>
      <c r="AE809" s="1661"/>
      <c r="AF809" s="1662"/>
      <c r="AG809" s="1660"/>
      <c r="AH809" s="1661"/>
      <c r="AI809" s="1661"/>
      <c r="AJ809" s="166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78" t="s">
        <v>954</v>
      </c>
      <c r="D810" s="1879"/>
      <c r="E810" s="1879"/>
      <c r="F810" s="1879"/>
      <c r="G810" s="1879"/>
      <c r="H810" s="1879"/>
      <c r="I810" s="1879"/>
      <c r="J810" s="1879"/>
      <c r="K810" s="1879"/>
      <c r="L810" s="1880"/>
      <c r="M810" s="2086">
        <f>SUM(M803:P809)</f>
        <v>11</v>
      </c>
      <c r="N810" s="2086"/>
      <c r="O810" s="2086"/>
      <c r="P810" s="2086"/>
      <c r="Q810" s="2086">
        <f>SUM(Q803:T809)</f>
        <v>11</v>
      </c>
      <c r="R810" s="2086"/>
      <c r="S810" s="2086"/>
      <c r="T810" s="2086"/>
      <c r="U810" s="2086">
        <f>SUM(U803:X809)</f>
        <v>11</v>
      </c>
      <c r="V810" s="2086"/>
      <c r="W810" s="2086"/>
      <c r="X810" s="2086"/>
      <c r="Y810" s="2086">
        <f>SUM(Y803:AB809)</f>
        <v>11</v>
      </c>
      <c r="Z810" s="2086"/>
      <c r="AA810" s="2086"/>
      <c r="AB810" s="2086"/>
      <c r="AC810" s="2086">
        <f>SUM(AC803:AF809)</f>
        <v>0</v>
      </c>
      <c r="AD810" s="2086"/>
      <c r="AE810" s="2086"/>
      <c r="AF810" s="2086"/>
      <c r="AG810" s="2086">
        <f>SUM(AG803:AJ809)</f>
        <v>0</v>
      </c>
      <c r="AH810" s="2086"/>
      <c r="AI810" s="2086"/>
      <c r="AJ810" s="208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7" t="s">
        <v>2472</v>
      </c>
      <c r="D815" s="2168"/>
      <c r="E815" s="2168"/>
      <c r="F815" s="2168"/>
      <c r="G815" s="2168"/>
      <c r="H815" s="2168"/>
      <c r="I815" s="2168"/>
      <c r="J815" s="2168"/>
      <c r="K815" s="2168"/>
      <c r="L815" s="2168"/>
      <c r="M815" s="2168"/>
      <c r="N815" s="2168"/>
      <c r="O815" s="2168"/>
      <c r="P815" s="2168"/>
      <c r="Q815" s="2168"/>
      <c r="R815" s="2168"/>
      <c r="S815" s="2168"/>
      <c r="T815" s="2168"/>
      <c r="U815" s="2168"/>
      <c r="V815" s="2168"/>
      <c r="W815" s="2168"/>
      <c r="X815" s="2168"/>
      <c r="Y815" s="2168"/>
      <c r="Z815" s="2168"/>
      <c r="AA815" s="2168"/>
      <c r="AB815" s="2168"/>
      <c r="AC815" s="2168"/>
      <c r="AD815" s="2168"/>
      <c r="AE815" s="2168"/>
      <c r="AF815" s="2168"/>
      <c r="AG815" s="2168"/>
      <c r="AH815" s="2168"/>
      <c r="AI815" s="2168"/>
      <c r="AJ815" s="216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61" t="s">
        <v>409</v>
      </c>
      <c r="BB819" s="1762"/>
      <c r="BC819" s="72"/>
      <c r="BD819" s="72"/>
      <c r="BE819" s="72"/>
      <c r="BF819" s="65" t="s">
        <v>466</v>
      </c>
      <c r="BG819" s="65"/>
      <c r="BH819" s="65"/>
      <c r="BI819" s="65"/>
      <c r="BJ819" s="65"/>
      <c r="BK819" s="65"/>
      <c r="BL819" s="65"/>
      <c r="BM819" s="65"/>
      <c r="BN819" s="65"/>
      <c r="BO819" s="1758" t="str">
        <f>T189</f>
        <v>Sonoma</v>
      </c>
      <c r="BP819" s="1759"/>
      <c r="BQ819" s="1759"/>
      <c r="BR819" s="1759"/>
      <c r="BS819" s="1759"/>
      <c r="BT819" s="1759"/>
      <c r="BU819" s="176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77">
        <v>3539</v>
      </c>
      <c r="X820" s="1777"/>
      <c r="Y820" s="1777"/>
      <c r="Z820" s="1777"/>
      <c r="AA820" s="1777"/>
      <c r="AB820" s="1777"/>
      <c r="AC820" s="177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77">
        <v>3403</v>
      </c>
      <c r="X821" s="1777"/>
      <c r="Y821" s="1777"/>
      <c r="Z821" s="1777"/>
      <c r="AA821" s="1777"/>
      <c r="AB821" s="1777"/>
      <c r="AC821" s="1777"/>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7">
        <v>6806</v>
      </c>
      <c r="X822" s="1777"/>
      <c r="Y822" s="1777"/>
      <c r="Z822" s="1777"/>
      <c r="AA822" s="1777"/>
      <c r="AB822" s="1777"/>
      <c r="AC822" s="177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77"/>
      <c r="X823" s="1777"/>
      <c r="Y823" s="1777"/>
      <c r="Z823" s="1777"/>
      <c r="AA823" s="1777"/>
      <c r="AB823" s="1777"/>
      <c r="AC823" s="1777"/>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2" t="s">
        <v>619</v>
      </c>
      <c r="N824" s="1723"/>
      <c r="O824" s="1723"/>
      <c r="P824" s="1723"/>
      <c r="Q824" s="1723"/>
      <c r="R824" s="1723"/>
      <c r="S824" s="1723"/>
      <c r="T824" s="1723"/>
      <c r="U824" s="1723"/>
      <c r="V824" s="1724"/>
      <c r="W824" s="1777"/>
      <c r="X824" s="1777"/>
      <c r="Y824" s="1777"/>
      <c r="Z824" s="1777"/>
      <c r="AA824" s="1777"/>
      <c r="AB824" s="1777"/>
      <c r="AC824" s="177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32">
        <f>SUM(W820:AC824)</f>
        <v>13748</v>
      </c>
      <c r="X825" s="1733"/>
      <c r="Y825" s="1733"/>
      <c r="Z825" s="1733"/>
      <c r="AA825" s="1733"/>
      <c r="AB825" s="1733"/>
      <c r="AC825" s="173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878" t="s">
        <v>515</v>
      </c>
      <c r="K827" s="1879"/>
      <c r="L827" s="1879"/>
      <c r="M827" s="1879"/>
      <c r="N827" s="1879"/>
      <c r="O827" s="1879"/>
      <c r="P827" s="1879"/>
      <c r="Q827" s="1879"/>
      <c r="R827" s="1879"/>
      <c r="S827" s="1879"/>
      <c r="T827" s="1879"/>
      <c r="U827" s="1879"/>
      <c r="V827" s="1880"/>
      <c r="W827" s="1725">
        <v>53065</v>
      </c>
      <c r="X827" s="1726"/>
      <c r="Y827" s="1726"/>
      <c r="Z827" s="1726"/>
      <c r="AA827" s="1726"/>
      <c r="AB827" s="1726"/>
      <c r="AC827" s="172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2166"/>
      <c r="X829" s="2166"/>
      <c r="Y829" s="2166"/>
      <c r="Z829" s="2166"/>
      <c r="AA829" s="2166"/>
      <c r="AB829" s="2166"/>
      <c r="AC829" s="216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2166"/>
      <c r="X830" s="2166"/>
      <c r="Y830" s="2166"/>
      <c r="Z830" s="2166"/>
      <c r="AA830" s="2166"/>
      <c r="AB830" s="2166"/>
      <c r="AC830" s="216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2166">
        <v>13613</v>
      </c>
      <c r="X831" s="2166"/>
      <c r="Y831" s="2166"/>
      <c r="Z831" s="2166"/>
      <c r="AA831" s="2166"/>
      <c r="AB831" s="2166"/>
      <c r="AC831" s="216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2166">
        <v>40186</v>
      </c>
      <c r="X832" s="2166"/>
      <c r="Y832" s="2166"/>
      <c r="Z832" s="2166"/>
      <c r="AA832" s="2166"/>
      <c r="AB832" s="2166"/>
      <c r="AC832" s="2166"/>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9">
        <f>SUM(W829:AC832)</f>
        <v>53799</v>
      </c>
      <c r="X833" s="2179"/>
      <c r="Y833" s="2179"/>
      <c r="Z833" s="2179"/>
      <c r="AA833" s="2179"/>
      <c r="AB833" s="2179"/>
      <c r="AC833" s="217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87">
        <v>59896</v>
      </c>
      <c r="X835" s="2088"/>
      <c r="Y835" s="2088"/>
      <c r="Z835" s="2088"/>
      <c r="AA835" s="2088"/>
      <c r="AB835" s="2088"/>
      <c r="AC835" s="208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2081"/>
      <c r="U836" s="2082"/>
      <c r="V836" s="208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87"/>
      <c r="X837" s="2088"/>
      <c r="Y837" s="2088"/>
      <c r="Z837" s="2088"/>
      <c r="AA837" s="2088"/>
      <c r="AB837" s="2088"/>
      <c r="AC837" s="208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2081"/>
      <c r="U838" s="2082"/>
      <c r="V838" s="208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2" t="s">
        <v>619</v>
      </c>
      <c r="N839" s="1723"/>
      <c r="O839" s="1723"/>
      <c r="P839" s="1723"/>
      <c r="Q839" s="1723"/>
      <c r="R839" s="1723"/>
      <c r="S839" s="1723"/>
      <c r="T839" s="1723"/>
      <c r="U839" s="1723"/>
      <c r="V839" s="1724"/>
      <c r="W839" s="2087"/>
      <c r="X839" s="2088"/>
      <c r="Y839" s="2088"/>
      <c r="Z839" s="2088"/>
      <c r="AA839" s="2088"/>
      <c r="AB839" s="2088"/>
      <c r="AC839" s="2089"/>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93">
        <f>SUM(W835:AC839)</f>
        <v>59896</v>
      </c>
      <c r="X840" s="1794"/>
      <c r="Y840" s="1794"/>
      <c r="Z840" s="1794"/>
      <c r="AA840" s="1794"/>
      <c r="AB840" s="1794"/>
      <c r="AC840" s="179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87">
        <v>11217</v>
      </c>
      <c r="X841" s="2088"/>
      <c r="Y841" s="2088"/>
      <c r="Z841" s="2088"/>
      <c r="AA841" s="2088"/>
      <c r="AB841" s="2088"/>
      <c r="AC841" s="208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77">
        <v>2723</v>
      </c>
      <c r="X843" s="1777"/>
      <c r="Y843" s="1777"/>
      <c r="Z843" s="1777"/>
      <c r="AA843" s="1777"/>
      <c r="AB843" s="1777"/>
      <c r="AC843" s="177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77">
        <v>50064</v>
      </c>
      <c r="X844" s="1777"/>
      <c r="Y844" s="1777"/>
      <c r="Z844" s="1777"/>
      <c r="AA844" s="1777"/>
      <c r="AB844" s="1777"/>
      <c r="AC844" s="177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77">
        <v>24476</v>
      </c>
      <c r="X845" s="1777"/>
      <c r="Y845" s="1777"/>
      <c r="Z845" s="1777"/>
      <c r="AA845" s="1777"/>
      <c r="AB845" s="1777"/>
      <c r="AC845" s="177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77">
        <v>3267</v>
      </c>
      <c r="X846" s="1777"/>
      <c r="Y846" s="1777"/>
      <c r="Z846" s="1777"/>
      <c r="AA846" s="1777"/>
      <c r="AB846" s="1777"/>
      <c r="AC846" s="177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77"/>
      <c r="X847" s="1777"/>
      <c r="Y847" s="1777"/>
      <c r="Z847" s="1777"/>
      <c r="AA847" s="1777"/>
      <c r="AB847" s="1777"/>
      <c r="AC847" s="177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77"/>
      <c r="X848" s="1777"/>
      <c r="Y848" s="1777"/>
      <c r="Z848" s="1777"/>
      <c r="AA848" s="1777"/>
      <c r="AB848" s="1777"/>
      <c r="AC848" s="1777"/>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2" t="s">
        <v>619</v>
      </c>
      <c r="N849" s="1723"/>
      <c r="O849" s="1723"/>
      <c r="P849" s="1723"/>
      <c r="Q849" s="1723"/>
      <c r="R849" s="1723"/>
      <c r="S849" s="1723"/>
      <c r="T849" s="1723"/>
      <c r="U849" s="1723"/>
      <c r="V849" s="1724"/>
      <c r="W849" s="1777"/>
      <c r="X849" s="1777"/>
      <c r="Y849" s="1777"/>
      <c r="Z849" s="1777"/>
      <c r="AA849" s="1777"/>
      <c r="AB849" s="1777"/>
      <c r="AC849" s="1777"/>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38">
        <f>SUM(W843:AC849)</f>
        <v>80530</v>
      </c>
      <c r="X850" s="1738"/>
      <c r="Y850" s="1738"/>
      <c r="Z850" s="1738"/>
      <c r="AA850" s="1738"/>
      <c r="AB850" s="1738"/>
      <c r="AC850" s="1738"/>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722" t="s">
        <v>619</v>
      </c>
      <c r="N852" s="1723"/>
      <c r="O852" s="1723"/>
      <c r="P852" s="1723"/>
      <c r="Q852" s="1723"/>
      <c r="R852" s="1723"/>
      <c r="S852" s="1723"/>
      <c r="T852" s="1723"/>
      <c r="U852" s="1723"/>
      <c r="V852" s="1724"/>
      <c r="W852" s="1725"/>
      <c r="X852" s="1726"/>
      <c r="Y852" s="1726"/>
      <c r="Z852" s="1726"/>
      <c r="AA852" s="1726"/>
      <c r="AB852" s="1726"/>
      <c r="AC852" s="1727"/>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22" t="s">
        <v>619</v>
      </c>
      <c r="N853" s="1723"/>
      <c r="O853" s="1723"/>
      <c r="P853" s="1723"/>
      <c r="Q853" s="1723"/>
      <c r="R853" s="1723"/>
      <c r="S853" s="1723"/>
      <c r="T853" s="1723"/>
      <c r="U853" s="1723"/>
      <c r="V853" s="1724"/>
      <c r="W853" s="1725"/>
      <c r="X853" s="1726"/>
      <c r="Y853" s="1726"/>
      <c r="Z853" s="1726"/>
      <c r="AA853" s="1726"/>
      <c r="AB853" s="1726"/>
      <c r="AC853" s="1727"/>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2" t="s">
        <v>619</v>
      </c>
      <c r="N854" s="1723"/>
      <c r="O854" s="1723"/>
      <c r="P854" s="1723"/>
      <c r="Q854" s="1723"/>
      <c r="R854" s="1723"/>
      <c r="S854" s="1723"/>
      <c r="T854" s="1723"/>
      <c r="U854" s="1723"/>
      <c r="V854" s="1724"/>
      <c r="W854" s="1725"/>
      <c r="X854" s="1726"/>
      <c r="Y854" s="1726"/>
      <c r="Z854" s="1726"/>
      <c r="AA854" s="1726"/>
      <c r="AB854" s="1726"/>
      <c r="AC854" s="172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2" t="s">
        <v>619</v>
      </c>
      <c r="N855" s="1723"/>
      <c r="O855" s="1723"/>
      <c r="P855" s="1723"/>
      <c r="Q855" s="1723"/>
      <c r="R855" s="1723"/>
      <c r="S855" s="1723"/>
      <c r="T855" s="1723"/>
      <c r="U855" s="1723"/>
      <c r="V855" s="1724"/>
      <c r="W855" s="1725"/>
      <c r="X855" s="1726"/>
      <c r="Y855" s="1726"/>
      <c r="Z855" s="1726"/>
      <c r="AA855" s="1726"/>
      <c r="AB855" s="1726"/>
      <c r="AC855" s="172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2" t="s">
        <v>619</v>
      </c>
      <c r="N856" s="1723"/>
      <c r="O856" s="1723"/>
      <c r="P856" s="1723"/>
      <c r="Q856" s="1723"/>
      <c r="R856" s="1723"/>
      <c r="S856" s="1723"/>
      <c r="T856" s="1723"/>
      <c r="U856" s="1723"/>
      <c r="V856" s="1724"/>
      <c r="W856" s="1725"/>
      <c r="X856" s="1726"/>
      <c r="Y856" s="1726"/>
      <c r="Z856" s="1726"/>
      <c r="AA856" s="1726"/>
      <c r="AB856" s="1726"/>
      <c r="AC856" s="172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32">
        <f>SUM(W852:AC856)</f>
        <v>0</v>
      </c>
      <c r="X857" s="1733"/>
      <c r="Y857" s="1733"/>
      <c r="Z857" s="1733"/>
      <c r="AA857" s="1733"/>
      <c r="AB857" s="1733"/>
      <c r="AC857" s="173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32">
        <f>W825+W833+W840+W841+W850+W857+W827</f>
        <v>272255</v>
      </c>
      <c r="AD861" s="1733"/>
      <c r="AE861" s="1733"/>
      <c r="AF861" s="1733"/>
      <c r="AG861" s="1733"/>
      <c r="AH861" s="1734"/>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75">
        <f>O776+O756+G731</f>
        <v>49</v>
      </c>
      <c r="AD862" s="2176"/>
      <c r="AE862" s="2176"/>
      <c r="AF862" s="2176"/>
      <c r="AG862" s="2176"/>
      <c r="AH862" s="2177"/>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5" t="s">
        <v>384</v>
      </c>
      <c r="F863" s="1836"/>
      <c r="G863" s="1836"/>
      <c r="H863" s="1836"/>
      <c r="I863" s="1836"/>
      <c r="J863" s="1836"/>
      <c r="K863" s="1836"/>
      <c r="L863" s="1836"/>
      <c r="M863" s="1836"/>
      <c r="N863" s="1836"/>
      <c r="O863" s="1836"/>
      <c r="P863" s="1836"/>
      <c r="Q863" s="1836"/>
      <c r="R863" s="1836"/>
      <c r="S863" s="1836"/>
      <c r="T863" s="1836"/>
      <c r="U863" s="1836"/>
      <c r="V863" s="1836"/>
      <c r="W863" s="1836"/>
      <c r="X863" s="1836"/>
      <c r="Y863" s="1836"/>
      <c r="Z863" s="1836"/>
      <c r="AA863" s="1836"/>
      <c r="AB863" s="1837"/>
      <c r="AC863" s="2164">
        <f>IF(ISERROR((ROUNDDOWN(AC861/AC862,0))),0,(ROUNDDOWN(AC861/AC862,0)))</f>
        <v>5556</v>
      </c>
      <c r="AD863" s="2165"/>
      <c r="AE863" s="2165"/>
      <c r="AF863" s="2165"/>
      <c r="AG863" s="2165"/>
      <c r="AH863" s="2165"/>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76">
        <f>+'Sources and Uses Budget'!C74</f>
        <v>163755</v>
      </c>
      <c r="AD864" s="2171"/>
      <c r="AE864" s="2171"/>
      <c r="AF864" s="2171"/>
      <c r="AG864" s="2171"/>
      <c r="AH864" s="2171"/>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27"/>
      <c r="AD865" s="1777"/>
      <c r="AE865" s="1777"/>
      <c r="AF865" s="1777"/>
      <c r="AG865" s="1777"/>
      <c r="AH865" s="1777"/>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25">
        <v>20400</v>
      </c>
      <c r="AD866" s="1726"/>
      <c r="AE866" s="1726"/>
      <c r="AF866" s="1726"/>
      <c r="AG866" s="1726"/>
      <c r="AH866" s="1727"/>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25">
        <v>12250</v>
      </c>
      <c r="AD867" s="1726"/>
      <c r="AE867" s="1726"/>
      <c r="AF867" s="1726"/>
      <c r="AG867" s="1726"/>
      <c r="AH867" s="1727"/>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725"/>
      <c r="AD868" s="1726"/>
      <c r="AE868" s="1726"/>
      <c r="AF868" s="1726"/>
      <c r="AG868" s="1726"/>
      <c r="AH868" s="1727"/>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25"/>
      <c r="AD869" s="1726"/>
      <c r="AE869" s="1726"/>
      <c r="AF869" s="1726"/>
      <c r="AG869" s="1726"/>
      <c r="AH869" s="1727"/>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731"/>
      <c r="AD870" s="1777"/>
      <c r="AE870" s="1777"/>
      <c r="AF870" s="1777"/>
      <c r="AG870" s="1777"/>
      <c r="AH870" s="1777"/>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73" t="s">
        <v>1309</v>
      </c>
      <c r="F871" s="2074"/>
      <c r="G871" s="2074"/>
      <c r="H871" s="2074"/>
      <c r="I871" s="2074"/>
      <c r="J871" s="2074"/>
      <c r="K871" s="2074"/>
      <c r="L871" s="2074"/>
      <c r="M871" s="2074"/>
      <c r="N871" s="2074"/>
      <c r="O871" s="2074"/>
      <c r="P871" s="2074"/>
      <c r="Q871" s="2074"/>
      <c r="R871" s="2074"/>
      <c r="S871" s="2074"/>
      <c r="T871" s="2074"/>
      <c r="U871" s="2074"/>
      <c r="V871" s="2074"/>
      <c r="W871" s="2074"/>
      <c r="X871" s="2074"/>
      <c r="Y871" s="2074"/>
      <c r="Z871" s="2074"/>
      <c r="AA871" s="2074"/>
      <c r="AB871" s="2075"/>
      <c r="AC871" s="1777"/>
      <c r="AD871" s="1777"/>
      <c r="AE871" s="1777"/>
      <c r="AF871" s="1777"/>
      <c r="AG871" s="1777"/>
      <c r="AH871" s="1777"/>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3" t="s">
        <v>1309</v>
      </c>
      <c r="F872" s="2074"/>
      <c r="G872" s="2074"/>
      <c r="H872" s="2074"/>
      <c r="I872" s="2074"/>
      <c r="J872" s="2074"/>
      <c r="K872" s="2074"/>
      <c r="L872" s="2074"/>
      <c r="M872" s="2074"/>
      <c r="N872" s="2074"/>
      <c r="O872" s="2074"/>
      <c r="P872" s="2074"/>
      <c r="Q872" s="2074"/>
      <c r="R872" s="2074"/>
      <c r="S872" s="2074"/>
      <c r="T872" s="2074"/>
      <c r="U872" s="2074"/>
      <c r="V872" s="2074"/>
      <c r="W872" s="2074"/>
      <c r="X872" s="2074"/>
      <c r="Y872" s="2074"/>
      <c r="Z872" s="2074"/>
      <c r="AA872" s="2074"/>
      <c r="AB872" s="2075"/>
      <c r="AC872" s="1777"/>
      <c r="AD872" s="1777"/>
      <c r="AE872" s="1777"/>
      <c r="AF872" s="1777"/>
      <c r="AG872" s="1777"/>
      <c r="AH872" s="1777"/>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0"/>
      <c r="AD873" s="2170"/>
      <c r="AE873" s="2170"/>
      <c r="AF873" s="2170"/>
      <c r="AG873" s="2170"/>
      <c r="AH873" s="2170"/>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59"/>
      <c r="AO874" s="2159"/>
      <c r="AP874" s="1796"/>
      <c r="AQ874" s="1796"/>
      <c r="AR874" s="1796"/>
      <c r="AS874" s="1796"/>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96"/>
      <c r="AQ875" s="1796"/>
      <c r="AR875" s="1796"/>
      <c r="AS875" s="1796"/>
      <c r="AV875" s="1796"/>
      <c r="AW875" s="1796"/>
      <c r="AX875" s="1796"/>
      <c r="AY875" s="1796"/>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25"/>
      <c r="AA876" s="1726"/>
      <c r="AB876" s="1726"/>
      <c r="AC876" s="1726"/>
      <c r="AD876" s="1726"/>
      <c r="AE876" s="172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25"/>
      <c r="AA877" s="1726"/>
      <c r="AB877" s="1726"/>
      <c r="AC877" s="1726"/>
      <c r="AD877" s="1726"/>
      <c r="AE877" s="172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25"/>
      <c r="AA878" s="1726"/>
      <c r="AB878" s="1726"/>
      <c r="AC878" s="1726"/>
      <c r="AD878" s="1726"/>
      <c r="AE878" s="172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32">
        <f>Z876-(Z877+Z878)</f>
        <v>0</v>
      </c>
      <c r="AA879" s="1733"/>
      <c r="AB879" s="1733"/>
      <c r="AC879" s="1733"/>
      <c r="AD879" s="1733"/>
      <c r="AE879" s="173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63"/>
      <c r="AU882" s="1763"/>
      <c r="AV882" s="1763"/>
      <c r="AW882" s="1763"/>
      <c r="AX882" s="1763"/>
      <c r="AY882" s="1763"/>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28" t="s">
        <v>139</v>
      </c>
      <c r="B886" s="1728"/>
      <c r="C886" s="1728"/>
      <c r="D886" s="1728"/>
      <c r="E886" s="1728"/>
      <c r="F886" s="1728"/>
      <c r="G886" s="1728"/>
      <c r="H886" s="1728"/>
      <c r="I886" s="1728"/>
      <c r="J886" s="1728"/>
      <c r="K886" s="1728"/>
      <c r="L886" s="1728"/>
      <c r="M886" s="1728"/>
      <c r="N886" s="1728"/>
      <c r="O886" s="1728"/>
      <c r="P886" s="1728"/>
      <c r="Q886" s="1728"/>
      <c r="R886" s="1728"/>
      <c r="S886" s="1728"/>
      <c r="T886" s="1728"/>
      <c r="U886" s="1728"/>
      <c r="V886" s="1728"/>
      <c r="W886" s="1728"/>
      <c r="X886" s="1728"/>
      <c r="Y886" s="1728"/>
      <c r="Z886" s="1728"/>
      <c r="AA886" s="1728"/>
      <c r="AB886" s="1728"/>
      <c r="AC886" s="1728"/>
      <c r="AD886" s="1728"/>
      <c r="AE886" s="1728"/>
      <c r="AF886" s="1728"/>
      <c r="AG886" s="1728"/>
      <c r="AH886" s="1728"/>
      <c r="AI886" s="1728"/>
      <c r="AJ886" s="1728"/>
      <c r="AK886" s="1728"/>
      <c r="AL886" s="172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28"/>
      <c r="B887" s="1728"/>
      <c r="C887" s="1728"/>
      <c r="D887" s="1728"/>
      <c r="E887" s="1728"/>
      <c r="F887" s="1728"/>
      <c r="G887" s="1728"/>
      <c r="H887" s="1728"/>
      <c r="I887" s="1728"/>
      <c r="J887" s="1728"/>
      <c r="K887" s="1728"/>
      <c r="L887" s="1728"/>
      <c r="M887" s="1728"/>
      <c r="N887" s="1728"/>
      <c r="O887" s="1728"/>
      <c r="P887" s="1728"/>
      <c r="Q887" s="1728"/>
      <c r="R887" s="1728"/>
      <c r="S887" s="1728"/>
      <c r="T887" s="1728"/>
      <c r="U887" s="1728"/>
      <c r="V887" s="1728"/>
      <c r="W887" s="1728"/>
      <c r="X887" s="1728"/>
      <c r="Y887" s="1728"/>
      <c r="Z887" s="1728"/>
      <c r="AA887" s="1728"/>
      <c r="AB887" s="1728"/>
      <c r="AC887" s="1728"/>
      <c r="AD887" s="1728"/>
      <c r="AE887" s="1728"/>
      <c r="AF887" s="1728"/>
      <c r="AG887" s="1728"/>
      <c r="AH887" s="1728"/>
      <c r="AI887" s="1728"/>
      <c r="AJ887" s="1728"/>
      <c r="AK887" s="1728"/>
      <c r="AL887" s="172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2" t="s">
        <v>1044</v>
      </c>
      <c r="G891" s="2173"/>
      <c r="H891" s="2173"/>
      <c r="I891" s="2173"/>
      <c r="J891" s="2173"/>
      <c r="K891" s="2173"/>
      <c r="L891" s="2173"/>
      <c r="M891" s="2173"/>
      <c r="N891" s="2173"/>
      <c r="O891" s="2173"/>
      <c r="P891" s="2173"/>
      <c r="Q891" s="2173"/>
      <c r="R891" s="2173"/>
      <c r="S891" s="2173"/>
      <c r="T891" s="2174"/>
      <c r="U891" s="1829" t="s">
        <v>383</v>
      </c>
      <c r="V891" s="1830"/>
      <c r="W891" s="1830"/>
      <c r="X891" s="1830"/>
      <c r="Y891" s="1830"/>
      <c r="Z891" s="183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1" t="s">
        <v>1126</v>
      </c>
      <c r="G892" s="1832"/>
      <c r="H892" s="1832"/>
      <c r="I892" s="1832"/>
      <c r="J892" s="1832"/>
      <c r="K892" s="1832"/>
      <c r="L892" s="1832"/>
      <c r="M892" s="1832"/>
      <c r="N892" s="1832"/>
      <c r="O892" s="1832"/>
      <c r="P892" s="1832"/>
      <c r="Q892" s="1832"/>
      <c r="R892" s="1832"/>
      <c r="S892" s="1832"/>
      <c r="T892" s="1842"/>
      <c r="U892" s="1831"/>
      <c r="V892" s="1832"/>
      <c r="W892" s="1832"/>
      <c r="X892" s="1832"/>
      <c r="Y892" s="1832"/>
      <c r="Z892" s="183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3"/>
      <c r="G893" s="1834"/>
      <c r="H893" s="1834"/>
      <c r="I893" s="1834"/>
      <c r="J893" s="1834"/>
      <c r="K893" s="1834"/>
      <c r="L893" s="1834"/>
      <c r="M893" s="1834"/>
      <c r="N893" s="1834"/>
      <c r="O893" s="1834"/>
      <c r="P893" s="1834"/>
      <c r="Q893" s="1834"/>
      <c r="R893" s="1834"/>
      <c r="S893" s="1834"/>
      <c r="T893" s="1843"/>
      <c r="U893" s="1833"/>
      <c r="V893" s="1834"/>
      <c r="W893" s="1834"/>
      <c r="X893" s="1834"/>
      <c r="Y893" s="1834"/>
      <c r="Z893" s="1834"/>
      <c r="AA893" s="310"/>
      <c r="AB893" s="2178" t="s">
        <v>61</v>
      </c>
      <c r="AC893" s="2178"/>
      <c r="AD893" s="2178"/>
      <c r="AE893" s="217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51" t="s">
        <v>135</v>
      </c>
      <c r="V894" s="1752"/>
      <c r="W894" s="1752"/>
      <c r="X894" s="1752"/>
      <c r="Y894" s="1752"/>
      <c r="Z894" s="1753"/>
      <c r="AA894" s="1774"/>
      <c r="AB894" s="1775"/>
      <c r="AC894" s="1775"/>
      <c r="AD894" s="1775"/>
      <c r="AE894" s="1775"/>
      <c r="AF894" s="177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51" t="s">
        <v>135</v>
      </c>
      <c r="V895" s="1752"/>
      <c r="W895" s="1752"/>
      <c r="X895" s="1752"/>
      <c r="Y895" s="1752"/>
      <c r="Z895" s="1753"/>
      <c r="AA895" s="1774"/>
      <c r="AB895" s="1775"/>
      <c r="AC895" s="1775"/>
      <c r="AD895" s="1775"/>
      <c r="AE895" s="1775"/>
      <c r="AF895" s="177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51" t="s">
        <v>135</v>
      </c>
      <c r="V896" s="1752"/>
      <c r="W896" s="1752"/>
      <c r="X896" s="1752"/>
      <c r="Y896" s="1752"/>
      <c r="Z896" s="1753"/>
      <c r="AA896" s="1774"/>
      <c r="AB896" s="1775"/>
      <c r="AC896" s="1775"/>
      <c r="AD896" s="1775"/>
      <c r="AE896" s="1775"/>
      <c r="AF896" s="177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51" t="s">
        <v>135</v>
      </c>
      <c r="V897" s="1752"/>
      <c r="W897" s="1752"/>
      <c r="X897" s="1752"/>
      <c r="Y897" s="1752"/>
      <c r="Z897" s="1753"/>
      <c r="AA897" s="1774"/>
      <c r="AB897" s="1775"/>
      <c r="AC897" s="1775"/>
      <c r="AD897" s="1775"/>
      <c r="AE897" s="1775"/>
      <c r="AF897" s="177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51" t="s">
        <v>135</v>
      </c>
      <c r="V898" s="1752"/>
      <c r="W898" s="1752"/>
      <c r="X898" s="1752"/>
      <c r="Y898" s="1752"/>
      <c r="Z898" s="1753"/>
      <c r="AA898" s="1774"/>
      <c r="AB898" s="1775"/>
      <c r="AC898" s="1775"/>
      <c r="AD898" s="1775"/>
      <c r="AE898" s="1775"/>
      <c r="AF898" s="177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51" t="s">
        <v>135</v>
      </c>
      <c r="V899" s="1752"/>
      <c r="W899" s="1752"/>
      <c r="X899" s="1752"/>
      <c r="Y899" s="1752"/>
      <c r="Z899" s="1753"/>
      <c r="AA899" s="1774"/>
      <c r="AB899" s="1775"/>
      <c r="AC899" s="1775"/>
      <c r="AD899" s="1775"/>
      <c r="AE899" s="1775"/>
      <c r="AF899" s="177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51" t="s">
        <v>135</v>
      </c>
      <c r="V900" s="1752"/>
      <c r="W900" s="1752"/>
      <c r="X900" s="1752"/>
      <c r="Y900" s="1752"/>
      <c r="Z900" s="1753"/>
      <c r="AA900" s="1774"/>
      <c r="AB900" s="1775"/>
      <c r="AC900" s="1775"/>
      <c r="AD900" s="1775"/>
      <c r="AE900" s="1775"/>
      <c r="AF900" s="177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51" t="s">
        <v>135</v>
      </c>
      <c r="V901" s="1752"/>
      <c r="W901" s="1752"/>
      <c r="X901" s="1752"/>
      <c r="Y901" s="1752"/>
      <c r="Z901" s="1753"/>
      <c r="AA901" s="1774"/>
      <c r="AB901" s="1775"/>
      <c r="AC901" s="1775"/>
      <c r="AD901" s="1775"/>
      <c r="AE901" s="1775"/>
      <c r="AF901" s="177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51" t="s">
        <v>135</v>
      </c>
      <c r="V902" s="1752"/>
      <c r="W902" s="1752"/>
      <c r="X902" s="1752"/>
      <c r="Y902" s="1752"/>
      <c r="Z902" s="1753"/>
      <c r="AA902" s="1774"/>
      <c r="AB902" s="1775"/>
      <c r="AC902" s="1775"/>
      <c r="AD902" s="1775"/>
      <c r="AE902" s="1775"/>
      <c r="AF902" s="177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51" t="s">
        <v>135</v>
      </c>
      <c r="V903" s="1752"/>
      <c r="W903" s="1752"/>
      <c r="X903" s="1752"/>
      <c r="Y903" s="1752"/>
      <c r="Z903" s="1753"/>
      <c r="AA903" s="1774"/>
      <c r="AB903" s="1775"/>
      <c r="AC903" s="1775"/>
      <c r="AD903" s="1775"/>
      <c r="AE903" s="1775"/>
      <c r="AF903" s="177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39" t="s">
        <v>135</v>
      </c>
      <c r="V904" s="1840"/>
      <c r="W904" s="1840"/>
      <c r="X904" s="1840"/>
      <c r="Y904" s="1840"/>
      <c r="Z904" s="1841"/>
      <c r="AA904" s="1790"/>
      <c r="AB904" s="1791"/>
      <c r="AC904" s="1791"/>
      <c r="AD904" s="1791"/>
      <c r="AE904" s="1791"/>
      <c r="AF904" s="179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51" t="s">
        <v>135</v>
      </c>
      <c r="V905" s="1752"/>
      <c r="W905" s="1752"/>
      <c r="X905" s="1752"/>
      <c r="Y905" s="1752"/>
      <c r="Z905" s="1753"/>
      <c r="AA905" s="1774"/>
      <c r="AB905" s="1775"/>
      <c r="AC905" s="1775"/>
      <c r="AD905" s="1775"/>
      <c r="AE905" s="1775"/>
      <c r="AF905" s="177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51" t="s">
        <v>135</v>
      </c>
      <c r="V906" s="1752"/>
      <c r="W906" s="1752"/>
      <c r="X906" s="1752"/>
      <c r="Y906" s="1752"/>
      <c r="Z906" s="1753"/>
      <c r="AA906" s="1774"/>
      <c r="AB906" s="1775"/>
      <c r="AC906" s="1775"/>
      <c r="AD906" s="1775"/>
      <c r="AE906" s="1775"/>
      <c r="AF906" s="177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51" t="s">
        <v>135</v>
      </c>
      <c r="V907" s="1752"/>
      <c r="W907" s="1752"/>
      <c r="X907" s="1752"/>
      <c r="Y907" s="1752"/>
      <c r="Z907" s="1753"/>
      <c r="AA907" s="1774"/>
      <c r="AB907" s="1775"/>
      <c r="AC907" s="1775"/>
      <c r="AD907" s="1775"/>
      <c r="AE907" s="1775"/>
      <c r="AF907" s="177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800" t="s">
        <v>528</v>
      </c>
      <c r="Q908" s="1752"/>
      <c r="R908" s="1752"/>
      <c r="S908" s="1752"/>
      <c r="T908" s="1753"/>
      <c r="U908" s="1751" t="s">
        <v>135</v>
      </c>
      <c r="V908" s="1752"/>
      <c r="W908" s="1752"/>
      <c r="X908" s="1752"/>
      <c r="Y908" s="1752"/>
      <c r="Z908" s="1753"/>
      <c r="AA908" s="1774"/>
      <c r="AB908" s="1775"/>
      <c r="AC908" s="1775"/>
      <c r="AD908" s="1775"/>
      <c r="AE908" s="1775"/>
      <c r="AF908" s="177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39" t="s">
        <v>619</v>
      </c>
      <c r="J909" s="1740"/>
      <c r="K909" s="1740"/>
      <c r="L909" s="1740"/>
      <c r="M909" s="1740"/>
      <c r="N909" s="1740"/>
      <c r="O909" s="1740"/>
      <c r="P909" s="1740"/>
      <c r="Q909" s="1740"/>
      <c r="R909" s="1740"/>
      <c r="S909" s="1740"/>
      <c r="T909" s="1741"/>
      <c r="U909" s="1751" t="s">
        <v>135</v>
      </c>
      <c r="V909" s="1752"/>
      <c r="W909" s="1752"/>
      <c r="X909" s="1752"/>
      <c r="Y909" s="1752"/>
      <c r="Z909" s="1753"/>
      <c r="AA909" s="1774"/>
      <c r="AB909" s="1775"/>
      <c r="AC909" s="1775"/>
      <c r="AD909" s="1775"/>
      <c r="AE909" s="1775"/>
      <c r="AF909" s="177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838" t="s">
        <v>2450</v>
      </c>
      <c r="J910" s="1740"/>
      <c r="K910" s="1740"/>
      <c r="L910" s="1740"/>
      <c r="M910" s="1740"/>
      <c r="N910" s="1740"/>
      <c r="O910" s="1740"/>
      <c r="P910" s="1740"/>
      <c r="Q910" s="1740"/>
      <c r="R910" s="1740"/>
      <c r="S910" s="1740"/>
      <c r="T910" s="1741"/>
      <c r="U910" s="1800" t="s">
        <v>119</v>
      </c>
      <c r="V910" s="1752"/>
      <c r="W910" s="1752"/>
      <c r="X910" s="1752"/>
      <c r="Y910" s="1752"/>
      <c r="Z910" s="1753"/>
      <c r="AA910" s="1774">
        <v>2000000</v>
      </c>
      <c r="AB910" s="1775"/>
      <c r="AC910" s="1775"/>
      <c r="AD910" s="1775"/>
      <c r="AE910" s="1775"/>
      <c r="AF910" s="177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39" t="s">
        <v>619</v>
      </c>
      <c r="J911" s="1740"/>
      <c r="K911" s="1740"/>
      <c r="L911" s="1740"/>
      <c r="M911" s="1740"/>
      <c r="N911" s="1740"/>
      <c r="O911" s="1740"/>
      <c r="P911" s="1740"/>
      <c r="Q911" s="1740"/>
      <c r="R911" s="1740"/>
      <c r="S911" s="1740"/>
      <c r="T911" s="1741"/>
      <c r="U911" s="1751" t="s">
        <v>135</v>
      </c>
      <c r="V911" s="1752"/>
      <c r="W911" s="1752"/>
      <c r="X911" s="1752"/>
      <c r="Y911" s="1752"/>
      <c r="Z911" s="1753"/>
      <c r="AA911" s="1774"/>
      <c r="AB911" s="1775"/>
      <c r="AC911" s="1775"/>
      <c r="AD911" s="1775"/>
      <c r="AE911" s="1775"/>
      <c r="AF911" s="177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39" t="s">
        <v>619</v>
      </c>
      <c r="J912" s="1740"/>
      <c r="K912" s="1740"/>
      <c r="L912" s="1740"/>
      <c r="M912" s="1740"/>
      <c r="N912" s="1740"/>
      <c r="O912" s="1740"/>
      <c r="P912" s="1740"/>
      <c r="Q912" s="1740"/>
      <c r="R912" s="1740"/>
      <c r="S912" s="1740"/>
      <c r="T912" s="1741"/>
      <c r="U912" s="1751" t="s">
        <v>135</v>
      </c>
      <c r="V912" s="1752"/>
      <c r="W912" s="1752"/>
      <c r="X912" s="1752"/>
      <c r="Y912" s="1752"/>
      <c r="Z912" s="1753"/>
      <c r="AA912" s="1774"/>
      <c r="AB912" s="1775"/>
      <c r="AC912" s="1775"/>
      <c r="AD912" s="1775"/>
      <c r="AE912" s="1775"/>
      <c r="AF912" s="177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23"/>
      <c r="M917" s="1924"/>
      <c r="N917" s="1924"/>
      <c r="O917" s="1924"/>
      <c r="P917" s="1924"/>
      <c r="Q917" s="1924"/>
      <c r="R917" s="1924"/>
      <c r="S917" s="1925"/>
      <c r="U917" s="117" t="s">
        <v>901</v>
      </c>
      <c r="V917" s="91"/>
      <c r="W917" s="91"/>
      <c r="X917" s="91"/>
      <c r="Y917" s="91"/>
      <c r="Z917" s="91"/>
      <c r="AA917" s="91"/>
      <c r="AB917" s="91"/>
      <c r="AC917" s="91"/>
      <c r="AD917" s="92"/>
      <c r="AE917" s="1784"/>
      <c r="AF917" s="1785"/>
      <c r="AG917" s="1785"/>
      <c r="AH917" s="1785"/>
      <c r="AI917" s="1785"/>
      <c r="AJ917" s="1785"/>
      <c r="AK917" s="178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23"/>
      <c r="M918" s="1924"/>
      <c r="N918" s="1924"/>
      <c r="O918" s="1924"/>
      <c r="P918" s="1924"/>
      <c r="Q918" s="1924"/>
      <c r="R918" s="1924"/>
      <c r="S918" s="1925"/>
      <c r="U918" s="117" t="s">
        <v>902</v>
      </c>
      <c r="V918" s="91"/>
      <c r="W918" s="91"/>
      <c r="X918" s="91"/>
      <c r="Y918" s="91"/>
      <c r="Z918" s="91"/>
      <c r="AA918" s="91"/>
      <c r="AB918" s="91"/>
      <c r="AC918" s="91"/>
      <c r="AD918" s="92"/>
      <c r="AE918" s="1787"/>
      <c r="AF918" s="1788"/>
      <c r="AG918" s="1788"/>
      <c r="AH918" s="1788"/>
      <c r="AI918" s="1788"/>
      <c r="AJ918" s="1788"/>
      <c r="AK918" s="178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20" t="s">
        <v>86</v>
      </c>
      <c r="M919" s="1921"/>
      <c r="N919" s="1921"/>
      <c r="O919" s="1921"/>
      <c r="P919" s="1921"/>
      <c r="Q919" s="1921"/>
      <c r="R919" s="1921"/>
      <c r="S919" s="1922"/>
      <c r="U919" s="117" t="s">
        <v>1196</v>
      </c>
      <c r="V919" s="91"/>
      <c r="W919" s="91"/>
      <c r="AE919" s="1754" t="s">
        <v>86</v>
      </c>
      <c r="AF919" s="1755"/>
      <c r="AG919" s="1755"/>
      <c r="AH919" s="1755"/>
      <c r="AI919" s="1755"/>
      <c r="AJ919" s="1755"/>
      <c r="AK919" s="1756"/>
      <c r="AL919" s="119"/>
      <c r="AM919" s="75"/>
      <c r="AN919" s="75"/>
      <c r="AO919" s="75"/>
      <c r="AP919" s="75"/>
      <c r="AQ919" s="75"/>
      <c r="AR919" s="75"/>
      <c r="AS919" s="75"/>
      <c r="AT919" s="75"/>
      <c r="AU919" s="75"/>
      <c r="AV919" s="75"/>
      <c r="AW919" s="66" t="s">
        <v>646</v>
      </c>
      <c r="AX919" s="319">
        <v>20</v>
      </c>
      <c r="AY919" s="1797">
        <f>IF(AD955&gt;0,0.2,0)</f>
        <v>0</v>
      </c>
      <c r="AZ919" s="179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81"/>
      <c r="M920" s="1782"/>
      <c r="N920" s="1782"/>
      <c r="O920" s="1782"/>
      <c r="P920" s="1782"/>
      <c r="Q920" s="1782"/>
      <c r="R920" s="1782"/>
      <c r="S920" s="1783"/>
      <c r="U920" s="117" t="s">
        <v>903</v>
      </c>
      <c r="V920" s="91"/>
      <c r="W920" s="91"/>
      <c r="X920" s="91"/>
      <c r="Y920" s="91"/>
      <c r="Z920" s="91"/>
      <c r="AA920" s="91"/>
      <c r="AB920" s="91"/>
      <c r="AC920" s="91"/>
      <c r="AD920" s="92"/>
      <c r="AE920" s="1781"/>
      <c r="AF920" s="1782"/>
      <c r="AG920" s="1782"/>
      <c r="AH920" s="1782"/>
      <c r="AI920" s="1782"/>
      <c r="AJ920" s="1782"/>
      <c r="AK920" s="1783"/>
      <c r="AL920" s="119"/>
      <c r="AM920" s="75"/>
      <c r="AN920" s="75"/>
      <c r="AO920" s="75"/>
      <c r="AP920" s="75"/>
      <c r="AQ920" s="75"/>
      <c r="AR920" s="75"/>
      <c r="AS920" s="75"/>
      <c r="AT920" s="75"/>
      <c r="AU920" s="75"/>
      <c r="AV920" s="75"/>
      <c r="AX920" s="16">
        <v>5</v>
      </c>
      <c r="AY920" s="1797">
        <f>IF(AD958&gt;0,0.05,0)</f>
        <v>0</v>
      </c>
      <c r="AZ920" s="179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909"/>
      <c r="M921" s="1910"/>
      <c r="N921" s="1910"/>
      <c r="O921" s="1910"/>
      <c r="P921" s="1910"/>
      <c r="Q921" s="1910"/>
      <c r="R921" s="1910"/>
      <c r="S921" s="1911"/>
      <c r="U921" s="117" t="s">
        <v>904</v>
      </c>
      <c r="V921" s="91"/>
      <c r="W921" s="91"/>
      <c r="X921" s="91"/>
      <c r="Y921" s="91"/>
      <c r="Z921" s="91"/>
      <c r="AA921" s="91"/>
      <c r="AB921" s="91"/>
      <c r="AC921" s="91"/>
      <c r="AD921" s="92"/>
      <c r="AE921" s="1912"/>
      <c r="AF921" s="1913"/>
      <c r="AG921" s="1913"/>
      <c r="AH921" s="1913"/>
      <c r="AI921" s="1913"/>
      <c r="AJ921" s="1913"/>
      <c r="AK921" s="1914"/>
      <c r="AL921" s="119"/>
      <c r="AM921" s="75"/>
      <c r="AN921" s="75"/>
      <c r="AO921" s="75"/>
      <c r="AP921" s="75"/>
      <c r="AQ921" s="75"/>
      <c r="AR921" s="75"/>
      <c r="AS921" s="75"/>
      <c r="AT921" s="75"/>
      <c r="AU921" s="75"/>
      <c r="AV921" s="75"/>
      <c r="AW921" s="66" t="s">
        <v>647</v>
      </c>
      <c r="AX921" s="319">
        <v>7</v>
      </c>
      <c r="AY921" s="1887">
        <f>IF(AD962&gt;0,0.07,0)</f>
        <v>0</v>
      </c>
      <c r="AZ921" s="188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25"/>
      <c r="M922" s="1726"/>
      <c r="N922" s="1726"/>
      <c r="O922" s="1726"/>
      <c r="P922" s="1726"/>
      <c r="Q922" s="1726"/>
      <c r="R922" s="1726"/>
      <c r="S922" s="1727"/>
      <c r="U922" s="117" t="s">
        <v>905</v>
      </c>
      <c r="V922" s="91"/>
      <c r="W922" s="91"/>
      <c r="X922" s="91"/>
      <c r="Y922" s="91"/>
      <c r="Z922" s="91"/>
      <c r="AA922" s="91"/>
      <c r="AB922" s="91"/>
      <c r="AC922" s="91"/>
      <c r="AD922" s="92"/>
      <c r="AE922" s="1774"/>
      <c r="AF922" s="1775"/>
      <c r="AG922" s="1775"/>
      <c r="AH922" s="1775"/>
      <c r="AI922" s="1775"/>
      <c r="AJ922" s="1775"/>
      <c r="AK922" s="1776"/>
      <c r="AL922" s="119"/>
      <c r="AM922" s="75"/>
      <c r="AN922" s="75"/>
      <c r="AO922" s="75"/>
      <c r="AP922" s="75"/>
      <c r="AQ922" s="75"/>
      <c r="AR922" s="75"/>
      <c r="AS922" s="75"/>
      <c r="AT922" s="75"/>
      <c r="AU922" s="75"/>
      <c r="AV922" s="75"/>
      <c r="AW922" s="66" t="s">
        <v>163</v>
      </c>
      <c r="AX922" s="319">
        <v>2</v>
      </c>
      <c r="AY922" s="1896">
        <f>IF(AD966&gt;0,0.02,0)</f>
        <v>0</v>
      </c>
      <c r="AZ922" s="189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25"/>
      <c r="M923" s="1726"/>
      <c r="N923" s="1726"/>
      <c r="O923" s="1726"/>
      <c r="P923" s="1726"/>
      <c r="Q923" s="1726"/>
      <c r="R923" s="1726"/>
      <c r="S923" s="1727"/>
      <c r="U923" s="117" t="s">
        <v>906</v>
      </c>
      <c r="V923" s="91"/>
      <c r="W923" s="91"/>
      <c r="X923" s="91"/>
      <c r="Y923" s="91"/>
      <c r="Z923" s="91"/>
      <c r="AA923" s="91"/>
      <c r="AB923" s="91"/>
      <c r="AC923" s="91"/>
      <c r="AD923" s="92"/>
      <c r="AE923" s="1774"/>
      <c r="AF923" s="1775"/>
      <c r="AG923" s="1775"/>
      <c r="AH923" s="1775"/>
      <c r="AI923" s="1775"/>
      <c r="AJ923" s="1775"/>
      <c r="AK923" s="1776"/>
      <c r="AL923" s="119"/>
      <c r="AM923" s="75"/>
      <c r="AN923" s="75"/>
      <c r="AO923" s="75"/>
      <c r="AP923" s="75"/>
      <c r="AQ923" s="75"/>
      <c r="AR923" s="75"/>
      <c r="AS923" s="75"/>
      <c r="AT923" s="75"/>
      <c r="AU923" s="75"/>
      <c r="AV923" s="75"/>
      <c r="AW923" s="66" t="s">
        <v>648</v>
      </c>
      <c r="AX923" s="319">
        <v>2</v>
      </c>
      <c r="AY923" s="1896">
        <f>IF(AD968&gt;0,0.02,0)</f>
        <v>0</v>
      </c>
      <c r="AZ923" s="189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904"/>
      <c r="M924" s="1905"/>
      <c r="N924" s="1905"/>
      <c r="O924" s="1905"/>
      <c r="P924" s="1905"/>
      <c r="Q924" s="1905"/>
      <c r="R924" s="1905"/>
      <c r="S924" s="1906"/>
      <c r="U924" s="117" t="s">
        <v>851</v>
      </c>
      <c r="V924" s="91"/>
      <c r="W924" s="91"/>
      <c r="X924" s="91"/>
      <c r="Y924" s="91"/>
      <c r="Z924" s="91"/>
      <c r="AA924" s="91"/>
      <c r="AB924" s="91"/>
      <c r="AC924" s="91"/>
      <c r="AD924" s="92"/>
      <c r="AE924" s="1904"/>
      <c r="AF924" s="1905"/>
      <c r="AG924" s="1905"/>
      <c r="AH924" s="1905"/>
      <c r="AI924" s="1905"/>
      <c r="AJ924" s="1905"/>
      <c r="AK924" s="1906"/>
      <c r="AL924" s="119"/>
      <c r="AM924" s="75"/>
      <c r="AN924" s="75"/>
      <c r="AO924" s="75"/>
      <c r="AP924" s="75"/>
      <c r="AQ924" s="75"/>
      <c r="AR924" s="75"/>
      <c r="AS924" s="75"/>
      <c r="AT924" s="75"/>
      <c r="AU924" s="75"/>
      <c r="AV924" s="75"/>
      <c r="AW924" s="66" t="s">
        <v>649</v>
      </c>
      <c r="AX924" s="319">
        <v>10</v>
      </c>
      <c r="AY924" s="1894">
        <f>AY932</f>
        <v>0</v>
      </c>
      <c r="AZ924" s="189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6"/>
      <c r="AZ925" s="189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2"/>
      <c r="AZ926" s="1883"/>
      <c r="BA926" s="188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6">
        <f>IF(AD985&gt;0,0.1,0)</f>
        <v>0</v>
      </c>
      <c r="AZ927" s="1897"/>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4">
        <f>SUM(AY919:AY927)</f>
        <v>0</v>
      </c>
      <c r="AZ928" s="1895"/>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29"/>
      <c r="N929" s="1730"/>
      <c r="O929" s="1730"/>
      <c r="P929" s="1730"/>
      <c r="Q929" s="1730"/>
      <c r="R929" s="1730"/>
      <c r="S929" s="1731"/>
      <c r="T929" s="117" t="s">
        <v>1033</v>
      </c>
      <c r="U929" s="91"/>
      <c r="V929" s="91"/>
      <c r="W929" s="91"/>
      <c r="X929" s="91"/>
      <c r="Y929" s="91"/>
      <c r="Z929" s="92"/>
      <c r="AA929" s="1729"/>
      <c r="AB929" s="1730"/>
      <c r="AC929" s="1730"/>
      <c r="AD929" s="1730"/>
      <c r="AE929" s="1730"/>
      <c r="AF929" s="1730"/>
      <c r="AG929" s="173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29"/>
      <c r="N930" s="1730"/>
      <c r="O930" s="1730"/>
      <c r="P930" s="1730"/>
      <c r="Q930" s="1730"/>
      <c r="R930" s="1730"/>
      <c r="S930" s="1731"/>
      <c r="T930" s="117" t="s">
        <v>1032</v>
      </c>
      <c r="U930" s="91"/>
      <c r="V930" s="91"/>
      <c r="W930" s="91"/>
      <c r="X930" s="91"/>
      <c r="Y930" s="91"/>
      <c r="Z930" s="92"/>
      <c r="AA930" s="1729"/>
      <c r="AB930" s="1730"/>
      <c r="AC930" s="1730"/>
      <c r="AD930" s="1730"/>
      <c r="AE930" s="1730"/>
      <c r="AF930" s="1730"/>
      <c r="AG930" s="1731"/>
      <c r="AL930" s="119"/>
      <c r="AM930" s="75"/>
      <c r="AN930" s="75"/>
      <c r="AO930" s="75"/>
      <c r="AP930" s="75"/>
      <c r="AQ930" s="75"/>
      <c r="AR930" s="75"/>
      <c r="AS930" s="75"/>
      <c r="AT930" s="75"/>
      <c r="AU930" s="75"/>
      <c r="AV930" s="75"/>
      <c r="AW930" s="66"/>
      <c r="AX930" s="66"/>
      <c r="AY930" s="1894">
        <f>SUM(AY919:AZ923)+AY927</f>
        <v>0</v>
      </c>
      <c r="AZ930" s="1895"/>
      <c r="BA930" s="1885">
        <v>0.39</v>
      </c>
      <c r="BB930" s="188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49" t="s">
        <v>135</v>
      </c>
      <c r="N931" s="1676"/>
      <c r="O931" s="1676"/>
      <c r="P931" s="1676"/>
      <c r="Q931" s="1676"/>
      <c r="R931" s="1676"/>
      <c r="S931" s="1750"/>
      <c r="T931" s="90" t="s">
        <v>623</v>
      </c>
      <c r="U931" s="91"/>
      <c r="V931" s="91"/>
      <c r="W931" s="91"/>
      <c r="X931" s="91"/>
      <c r="Y931" s="91"/>
      <c r="Z931" s="92"/>
      <c r="AA931" s="1729"/>
      <c r="AB931" s="1730"/>
      <c r="AC931" s="1730"/>
      <c r="AD931" s="1730"/>
      <c r="AE931" s="1730"/>
      <c r="AF931" s="1730"/>
      <c r="AG931" s="173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29"/>
      <c r="N932" s="1730"/>
      <c r="O932" s="1730"/>
      <c r="P932" s="1730"/>
      <c r="Q932" s="1730"/>
      <c r="R932" s="1730"/>
      <c r="S932" s="1731"/>
      <c r="T932" s="90" t="s">
        <v>624</v>
      </c>
      <c r="U932" s="91"/>
      <c r="V932" s="91"/>
      <c r="W932" s="91"/>
      <c r="X932" s="91"/>
      <c r="Y932" s="91"/>
      <c r="Z932" s="92"/>
      <c r="AA932" s="1729"/>
      <c r="AB932" s="1730"/>
      <c r="AC932" s="1730"/>
      <c r="AD932" s="1730"/>
      <c r="AE932" s="1730"/>
      <c r="AF932" s="1730"/>
      <c r="AG932" s="1731"/>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29"/>
      <c r="N933" s="1730"/>
      <c r="O933" s="1730"/>
      <c r="P933" s="1730"/>
      <c r="Q933" s="1730"/>
      <c r="R933" s="1730"/>
      <c r="S933" s="1731"/>
      <c r="T933" s="90" t="s">
        <v>539</v>
      </c>
      <c r="U933" s="91"/>
      <c r="V933" s="91"/>
      <c r="W933" s="91"/>
      <c r="X933" s="91"/>
      <c r="Y933" s="91"/>
      <c r="Z933" s="92"/>
      <c r="AA933" s="1729"/>
      <c r="AB933" s="1730"/>
      <c r="AC933" s="1730"/>
      <c r="AD933" s="1730"/>
      <c r="AE933" s="1730"/>
      <c r="AF933" s="1730"/>
      <c r="AG933" s="173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54" t="s">
        <v>86</v>
      </c>
      <c r="N934" s="1755"/>
      <c r="O934" s="1755"/>
      <c r="P934" s="1755"/>
      <c r="Q934" s="1755"/>
      <c r="R934" s="1755"/>
      <c r="S934" s="1756"/>
      <c r="T934" s="1901"/>
      <c r="U934" s="1902"/>
      <c r="V934" s="1902"/>
      <c r="W934" s="1902"/>
      <c r="X934" s="1902"/>
      <c r="Y934" s="1902"/>
      <c r="Z934" s="1903"/>
      <c r="AA934" s="1729"/>
      <c r="AB934" s="1730"/>
      <c r="AC934" s="1730"/>
      <c r="AD934" s="1730"/>
      <c r="AE934" s="1730"/>
      <c r="AF934" s="1730"/>
      <c r="AG934" s="173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29"/>
      <c r="N935" s="1730"/>
      <c r="O935" s="1730"/>
      <c r="P935" s="1730"/>
      <c r="Q935" s="1730"/>
      <c r="R935" s="1730"/>
      <c r="S935" s="1731"/>
      <c r="T935" s="1901"/>
      <c r="U935" s="1902"/>
      <c r="V935" s="1902"/>
      <c r="W935" s="1902"/>
      <c r="X935" s="1902"/>
      <c r="Y935" s="1902"/>
      <c r="Z935" s="1903"/>
      <c r="AA935" s="1729"/>
      <c r="AB935" s="1730"/>
      <c r="AC935" s="1730"/>
      <c r="AD935" s="1730"/>
      <c r="AE935" s="1730"/>
      <c r="AF935" s="1730"/>
      <c r="AG935" s="173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49" t="s">
        <v>528</v>
      </c>
      <c r="P936" s="1750"/>
      <c r="Q936" s="228"/>
      <c r="R936" s="228"/>
      <c r="S936" s="229"/>
      <c r="T936" s="85" t="s">
        <v>310</v>
      </c>
      <c r="U936" s="86"/>
      <c r="V936" s="86"/>
      <c r="W936" s="1722" t="s">
        <v>619</v>
      </c>
      <c r="X936" s="1723"/>
      <c r="Y936" s="1723"/>
      <c r="Z936" s="1723"/>
      <c r="AA936" s="1723"/>
      <c r="AB936" s="1723"/>
      <c r="AC936" s="1723"/>
      <c r="AD936" s="1723"/>
      <c r="AE936" s="1723"/>
      <c r="AF936" s="1723"/>
      <c r="AG936" s="172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7" t="s">
        <v>251</v>
      </c>
      <c r="G937" s="1908"/>
      <c r="H937" s="1908"/>
      <c r="I937" s="1908"/>
      <c r="J937" s="1908"/>
      <c r="K937" s="1908"/>
      <c r="L937" s="1908"/>
      <c r="M937" s="1729"/>
      <c r="N937" s="1730"/>
      <c r="O937" s="1730"/>
      <c r="P937" s="1730"/>
      <c r="Q937" s="1730"/>
      <c r="R937" s="1730"/>
      <c r="S937" s="1731"/>
      <c r="T937" s="93"/>
      <c r="U937" s="94"/>
      <c r="V937" s="94"/>
      <c r="W937" s="94"/>
      <c r="X937" s="94"/>
      <c r="Y937" s="94"/>
      <c r="Z937" s="351" t="s">
        <v>252</v>
      </c>
      <c r="AA937" s="1898"/>
      <c r="AB937" s="1899"/>
      <c r="AC937" s="1899"/>
      <c r="AD937" s="1899"/>
      <c r="AE937" s="1899"/>
      <c r="AF937" s="1899"/>
      <c r="AG937" s="19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28" t="s">
        <v>140</v>
      </c>
      <c r="B941" s="1728"/>
      <c r="C941" s="1728"/>
      <c r="D941" s="1728"/>
      <c r="E941" s="1728"/>
      <c r="F941" s="1728"/>
      <c r="G941" s="1728"/>
      <c r="H941" s="1728"/>
      <c r="I941" s="1728"/>
      <c r="J941" s="1728"/>
      <c r="K941" s="1728"/>
      <c r="L941" s="1728"/>
      <c r="M941" s="1728"/>
      <c r="N941" s="1728"/>
      <c r="O941" s="1728"/>
      <c r="P941" s="1728"/>
      <c r="Q941" s="1728"/>
      <c r="R941" s="1728"/>
      <c r="S941" s="1728"/>
      <c r="T941" s="1728"/>
      <c r="U941" s="1728"/>
      <c r="V941" s="1728"/>
      <c r="W941" s="1728"/>
      <c r="X941" s="1728"/>
      <c r="Y941" s="1728"/>
      <c r="Z941" s="1728"/>
      <c r="AA941" s="1728"/>
      <c r="AB941" s="1728"/>
      <c r="AC941" s="1728"/>
      <c r="AD941" s="1728"/>
      <c r="AE941" s="1728"/>
      <c r="AF941" s="1728"/>
      <c r="AG941" s="1728"/>
      <c r="AH941" s="1728"/>
      <c r="AI941" s="1728"/>
      <c r="AJ941" s="1728"/>
      <c r="AK941" s="1728"/>
      <c r="AL941" s="172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28"/>
      <c r="B942" s="1728"/>
      <c r="C942" s="1728"/>
      <c r="D942" s="1728"/>
      <c r="E942" s="1728"/>
      <c r="F942" s="1728"/>
      <c r="G942" s="1728"/>
      <c r="H942" s="1728"/>
      <c r="I942" s="1728"/>
      <c r="J942" s="1728"/>
      <c r="K942" s="1728"/>
      <c r="L942" s="1728"/>
      <c r="M942" s="1728"/>
      <c r="N942" s="1728"/>
      <c r="O942" s="1728"/>
      <c r="P942" s="1728"/>
      <c r="Q942" s="1728"/>
      <c r="R942" s="1728"/>
      <c r="S942" s="1728"/>
      <c r="T942" s="1728"/>
      <c r="U942" s="1728"/>
      <c r="V942" s="1728"/>
      <c r="W942" s="1728"/>
      <c r="X942" s="1728"/>
      <c r="Y942" s="1728"/>
      <c r="Z942" s="1728"/>
      <c r="AA942" s="1728"/>
      <c r="AB942" s="1728"/>
      <c r="AC942" s="1728"/>
      <c r="AD942" s="1728"/>
      <c r="AE942" s="1728"/>
      <c r="AF942" s="1728"/>
      <c r="AG942" s="1728"/>
      <c r="AH942" s="1728"/>
      <c r="AI942" s="1728"/>
      <c r="AJ942" s="1728"/>
      <c r="AK942" s="1728"/>
      <c r="AL942" s="172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8" t="s">
        <v>470</v>
      </c>
      <c r="E946" s="1779"/>
      <c r="F946" s="1779"/>
      <c r="G946" s="1779"/>
      <c r="H946" s="1779"/>
      <c r="I946" s="1779"/>
      <c r="J946" s="1779"/>
      <c r="K946" s="1779"/>
      <c r="L946" s="1779"/>
      <c r="M946" s="1779"/>
      <c r="N946" s="1779"/>
      <c r="O946" s="1779"/>
      <c r="P946" s="1779"/>
      <c r="Q946" s="1780"/>
      <c r="R946" s="1778" t="s">
        <v>471</v>
      </c>
      <c r="S946" s="1779"/>
      <c r="T946" s="1779"/>
      <c r="U946" s="1779"/>
      <c r="V946" s="1779"/>
      <c r="W946" s="1779"/>
      <c r="X946" s="1779"/>
      <c r="Y946" s="1779"/>
      <c r="Z946" s="1779"/>
      <c r="AA946" s="1780"/>
      <c r="AB946" s="1778" t="s">
        <v>472</v>
      </c>
      <c r="AC946" s="1779"/>
      <c r="AD946" s="1779"/>
      <c r="AE946" s="1779"/>
      <c r="AF946" s="1779"/>
      <c r="AG946" s="1779"/>
      <c r="AH946" s="1779"/>
      <c r="AI946" s="1780"/>
      <c r="AJ946" s="1778" t="s">
        <v>473</v>
      </c>
      <c r="AK946" s="1779"/>
      <c r="AL946" s="1779"/>
      <c r="AM946" s="1779"/>
      <c r="AN946" s="1779"/>
      <c r="AO946" s="1779"/>
      <c r="AP946" s="1779"/>
      <c r="AQ946" s="1780"/>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70" t="s">
        <v>465</v>
      </c>
      <c r="E947" s="1771"/>
      <c r="F947" s="1771"/>
      <c r="G947" s="1771"/>
      <c r="H947" s="1771"/>
      <c r="I947" s="1771"/>
      <c r="J947" s="1771"/>
      <c r="K947" s="1771"/>
      <c r="L947" s="1771"/>
      <c r="M947" s="1771"/>
      <c r="N947" s="1771"/>
      <c r="O947" s="1771"/>
      <c r="P947" s="1771"/>
      <c r="Q947" s="1772"/>
      <c r="R947" s="1773">
        <f>IF(ISNA(IF($BA$819="4%",(INDEX($BC$833:$BG$890,MATCH($BO$819,$BB$833:$BB$890,0),MATCH(D947,$BC$831:$BG$831,0))),(INDEX($BJ$833:$BN$890,MATCH($BO$819,$BI$833:$BI$890,0),MATCH(D947,$BJ$831:$BN$831,0))))),0,IF($BA$819="4%",(INDEX($BC$833:$BG$890,MATCH($BO$819,$BB$833:$BB$890,0),MATCH(D947,$BC$831:$BG$831,0))),(INDEX($BJ$833:$BN$890,MATCH($BO$819,$BI$833:$BI$890,0),MATCH(D947,$BJ$831:$BN$831,0)))))</f>
        <v>307732</v>
      </c>
      <c r="S947" s="1773"/>
      <c r="T947" s="1773"/>
      <c r="U947" s="1773"/>
      <c r="V947" s="1773"/>
      <c r="W947" s="1773"/>
      <c r="X947" s="1773"/>
      <c r="Y947" s="1773"/>
      <c r="Z947" s="1773"/>
      <c r="AA947" s="1773"/>
      <c r="AB947" s="1888">
        <f>BN652</f>
        <v>12</v>
      </c>
      <c r="AC947" s="1889"/>
      <c r="AD947" s="1889"/>
      <c r="AE947" s="1889"/>
      <c r="AF947" s="1889"/>
      <c r="AG947" s="1889"/>
      <c r="AH947" s="1889"/>
      <c r="AI947" s="1890"/>
      <c r="AJ947" s="1891">
        <f>IF(ISERROR((R947*AB947)),0,(R947*AB947))</f>
        <v>3692784</v>
      </c>
      <c r="AK947" s="1892"/>
      <c r="AL947" s="1892"/>
      <c r="AM947" s="1892"/>
      <c r="AN947" s="1892"/>
      <c r="AO947" s="1892"/>
      <c r="AP947" s="1892"/>
      <c r="AQ947" s="1893"/>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70" t="s">
        <v>488</v>
      </c>
      <c r="E948" s="1771"/>
      <c r="F948" s="1771"/>
      <c r="G948" s="1771"/>
      <c r="H948" s="1771"/>
      <c r="I948" s="1771"/>
      <c r="J948" s="1771"/>
      <c r="K948" s="1771"/>
      <c r="L948" s="1771"/>
      <c r="M948" s="1771"/>
      <c r="N948" s="1771"/>
      <c r="O948" s="1771"/>
      <c r="P948" s="1771"/>
      <c r="Q948" s="1772"/>
      <c r="R948" s="1773">
        <f>IF(ISNA(IF($BA$819="4%",(INDEX($BC$833:$BG$890,MATCH($BO$819,$BB$833:$BB$890,0),MATCH(D948,$BC$831:$BG$831,0))),(INDEX($BJ$833:$BN$890,MATCH($BO$819,$BI$833:$BI$890,0),MATCH(D948,$BJ$831:$BN$831,0))))),0,IF($BA$819="4%",(INDEX($BC$833:$BG$890,MATCH($BO$819,$BB$833:$BB$890,0),MATCH(D948,$BC$831:$BG$831,0))),(INDEX($BJ$833:$BN$890,MATCH($BO$819,$BI$833:$BI$890,0),MATCH(D948,$BJ$831:$BN$831,0)))))</f>
        <v>354812</v>
      </c>
      <c r="S948" s="1773"/>
      <c r="T948" s="1773"/>
      <c r="U948" s="1773"/>
      <c r="V948" s="1773"/>
      <c r="W948" s="1773"/>
      <c r="X948" s="1773"/>
      <c r="Y948" s="1773"/>
      <c r="Z948" s="1773"/>
      <c r="AA948" s="1773"/>
      <c r="AB948" s="1888">
        <f>BS652</f>
        <v>12</v>
      </c>
      <c r="AC948" s="1889"/>
      <c r="AD948" s="1889"/>
      <c r="AE948" s="1889"/>
      <c r="AF948" s="1889"/>
      <c r="AG948" s="1889"/>
      <c r="AH948" s="1889"/>
      <c r="AI948" s="1890"/>
      <c r="AJ948" s="1891">
        <f>IF(ISERROR((R948*AB948)),0,(R948*AB948))</f>
        <v>4257744</v>
      </c>
      <c r="AK948" s="1892"/>
      <c r="AL948" s="1892"/>
      <c r="AM948" s="1892"/>
      <c r="AN948" s="1892"/>
      <c r="AO948" s="1892"/>
      <c r="AP948" s="1892"/>
      <c r="AQ948" s="1893"/>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70" t="s">
        <v>845</v>
      </c>
      <c r="E949" s="1771"/>
      <c r="F949" s="1771"/>
      <c r="G949" s="1771"/>
      <c r="H949" s="1771"/>
      <c r="I949" s="1771"/>
      <c r="J949" s="1771"/>
      <c r="K949" s="1771"/>
      <c r="L949" s="1771"/>
      <c r="M949" s="1771"/>
      <c r="N949" s="1771"/>
      <c r="O949" s="1771"/>
      <c r="P949" s="1771"/>
      <c r="Q949" s="1772"/>
      <c r="R949" s="1773">
        <f>IF(ISNA(IF($BA$819="4%",(INDEX($BC$833:$BG$890,MATCH($BO$819,$BB$833:$BB$890,0),MATCH(D949,$BC$831:$BG$831,0))),(INDEX($BJ$833:$BN$890,MATCH($BO$819,$BI$833:$BI$890,0),MATCH(D949,$BJ$831:$BN$831,0))))),0,IF($BA$819="4%",(INDEX($BC$833:$BG$890,MATCH($BO$819,$BB$833:$BB$890,0),MATCH(D949,$BC$831:$BG$831,0))),(INDEX($BJ$833:$BN$890,MATCH($BO$819,$BI$833:$BI$890,0),MATCH(D949,$BJ$831:$BN$831,0)))))</f>
        <v>428000</v>
      </c>
      <c r="S949" s="1773"/>
      <c r="T949" s="1773"/>
      <c r="U949" s="1773"/>
      <c r="V949" s="1773"/>
      <c r="W949" s="1773"/>
      <c r="X949" s="1773"/>
      <c r="Y949" s="1773"/>
      <c r="Z949" s="1773"/>
      <c r="AA949" s="1773"/>
      <c r="AB949" s="1888">
        <f>BX652</f>
        <v>12</v>
      </c>
      <c r="AC949" s="1889"/>
      <c r="AD949" s="1889"/>
      <c r="AE949" s="1889"/>
      <c r="AF949" s="1889"/>
      <c r="AG949" s="1889"/>
      <c r="AH949" s="1889"/>
      <c r="AI949" s="1890"/>
      <c r="AJ949" s="1891">
        <f>IF(ISERROR((R949*AB949)),0,(R949*AB949))</f>
        <v>5136000</v>
      </c>
      <c r="AK949" s="1892"/>
      <c r="AL949" s="1892"/>
      <c r="AM949" s="1892"/>
      <c r="AN949" s="1892"/>
      <c r="AO949" s="1892"/>
      <c r="AP949" s="1892"/>
      <c r="AQ949" s="1893"/>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70" t="s">
        <v>846</v>
      </c>
      <c r="E950" s="1771"/>
      <c r="F950" s="1771"/>
      <c r="G950" s="1771"/>
      <c r="H950" s="1771"/>
      <c r="I950" s="1771"/>
      <c r="J950" s="1771"/>
      <c r="K950" s="1771"/>
      <c r="L950" s="1771"/>
      <c r="M950" s="1771"/>
      <c r="N950" s="1771"/>
      <c r="O950" s="1771"/>
      <c r="P950" s="1771"/>
      <c r="Q950" s="1772"/>
      <c r="R950" s="1773">
        <f>IF(ISNA(IF($BA$819="4%",(INDEX($BC$833:$BG$890,MATCH($BO$819,$BB$833:$BB$890,0),MATCH(D950,$BC$831:$BG$831,0))),(INDEX($BJ$833:$BN$890,MATCH($BO$819,$BI$833:$BI$890,0),MATCH(D950,$BJ$831:$BN$831,0))))),0,IF($BA$819="4%",(INDEX($BC$833:$BG$890,MATCH($BO$819,$BB$833:$BB$890,0),MATCH(D950,$BC$831:$BG$831,0))),(INDEX($BJ$833:$BN$890,MATCH($BO$819,$BI$833:$BI$890,0),MATCH(D950,$BJ$831:$BN$831,0)))))</f>
        <v>547840</v>
      </c>
      <c r="S950" s="1773"/>
      <c r="T950" s="1773"/>
      <c r="U950" s="1773"/>
      <c r="V950" s="1773"/>
      <c r="W950" s="1773"/>
      <c r="X950" s="1773"/>
      <c r="Y950" s="1773"/>
      <c r="Z950" s="1773"/>
      <c r="AA950" s="1773"/>
      <c r="AB950" s="1888">
        <f>CC652</f>
        <v>13</v>
      </c>
      <c r="AC950" s="1889"/>
      <c r="AD950" s="1889"/>
      <c r="AE950" s="1889"/>
      <c r="AF950" s="1889"/>
      <c r="AG950" s="1889"/>
      <c r="AH950" s="1889"/>
      <c r="AI950" s="1890"/>
      <c r="AJ950" s="1891">
        <f>IF(ISERROR((R950*AB950)),0,(R950*AB950))</f>
        <v>7121920</v>
      </c>
      <c r="AK950" s="1892"/>
      <c r="AL950" s="1892"/>
      <c r="AM950" s="1892"/>
      <c r="AN950" s="1892"/>
      <c r="AO950" s="1892"/>
      <c r="AP950" s="1892"/>
      <c r="AQ950" s="1893"/>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70" t="s">
        <v>859</v>
      </c>
      <c r="E951" s="1771"/>
      <c r="F951" s="1771"/>
      <c r="G951" s="1771"/>
      <c r="H951" s="1771"/>
      <c r="I951" s="1771"/>
      <c r="J951" s="1771"/>
      <c r="K951" s="1771"/>
      <c r="L951" s="1771"/>
      <c r="M951" s="1771"/>
      <c r="N951" s="1771"/>
      <c r="O951" s="1771"/>
      <c r="P951" s="1771"/>
      <c r="Q951" s="1772"/>
      <c r="R951" s="1773">
        <f>IF(ISNA(IF($BA$819="4%",(INDEX($BC$833:$BG$890,MATCH($BO$819,$BB$833:$BB$890,0),MATCH(D951,$BC$831:$BG$831,0))),(INDEX($BJ$833:$BN$890,MATCH($BO$819,$BI$833:$BI$890,0),MATCH(D951,$BJ$831:$BN$831,0))))),0,IF($BA$819="4%",(INDEX($BC$833:$BG$890,MATCH($BO$819,$BB$833:$BB$890,0),MATCH(D951,$BC$831:$BG$831,0))),(INDEX($BJ$833:$BN$890,MATCH($BO$819,$BI$833:$BI$890,0),MATCH(D951,$BJ$831:$BN$831,0)))))</f>
        <v>610328</v>
      </c>
      <c r="S951" s="1773"/>
      <c r="T951" s="1773"/>
      <c r="U951" s="1773"/>
      <c r="V951" s="1773"/>
      <c r="W951" s="1773"/>
      <c r="X951" s="1773"/>
      <c r="Y951" s="1773"/>
      <c r="Z951" s="1773"/>
      <c r="AA951" s="1773"/>
      <c r="AB951" s="1888">
        <f>CM652+CH652</f>
        <v>0</v>
      </c>
      <c r="AC951" s="1889"/>
      <c r="AD951" s="1889"/>
      <c r="AE951" s="1889"/>
      <c r="AF951" s="1889"/>
      <c r="AG951" s="1889"/>
      <c r="AH951" s="1889"/>
      <c r="AI951" s="1890"/>
      <c r="AJ951" s="1891">
        <f>IF(ISERROR((R951*AB951)),0,(R951*AB951))</f>
        <v>0</v>
      </c>
      <c r="AK951" s="1892"/>
      <c r="AL951" s="1892"/>
      <c r="AM951" s="1892"/>
      <c r="AN951" s="1892"/>
      <c r="AO951" s="1892"/>
      <c r="AP951" s="1892"/>
      <c r="AQ951" s="1893"/>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8" t="s">
        <v>1043</v>
      </c>
      <c r="C952" s="2199"/>
      <c r="D952" s="2199"/>
      <c r="E952" s="2199"/>
      <c r="F952" s="2199"/>
      <c r="G952" s="2199"/>
      <c r="H952" s="2199"/>
      <c r="I952" s="2199"/>
      <c r="J952" s="2199"/>
      <c r="K952" s="2199"/>
      <c r="L952" s="2199"/>
      <c r="M952" s="2199"/>
      <c r="N952" s="2199"/>
      <c r="O952" s="2199"/>
      <c r="P952" s="2199"/>
      <c r="Q952" s="2199"/>
      <c r="R952" s="2199"/>
      <c r="S952" s="2199"/>
      <c r="T952" s="2199"/>
      <c r="U952" s="2199"/>
      <c r="V952" s="2199"/>
      <c r="W952" s="2199"/>
      <c r="X952" s="2199"/>
      <c r="Y952" s="2199"/>
      <c r="Z952" s="2199"/>
      <c r="AA952" s="2200"/>
      <c r="AB952" s="1888">
        <f>SUM(AB947:AI951)</f>
        <v>49</v>
      </c>
      <c r="AC952" s="1889"/>
      <c r="AD952" s="1889"/>
      <c r="AE952" s="1889"/>
      <c r="AF952" s="1889"/>
      <c r="AG952" s="1889"/>
      <c r="AH952" s="1889"/>
      <c r="AI952" s="1890"/>
      <c r="AJ952" s="1891"/>
      <c r="AK952" s="1892"/>
      <c r="AL952" s="1892"/>
      <c r="AM952" s="1892"/>
      <c r="AN952" s="1892"/>
      <c r="AO952" s="1892"/>
      <c r="AP952" s="1892"/>
      <c r="AQ952" s="1893"/>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01" t="s">
        <v>811</v>
      </c>
      <c r="C953" s="2202"/>
      <c r="D953" s="2202"/>
      <c r="E953" s="2202"/>
      <c r="F953" s="2202"/>
      <c r="G953" s="2202"/>
      <c r="H953" s="2202"/>
      <c r="I953" s="2202"/>
      <c r="J953" s="2202"/>
      <c r="K953" s="2202"/>
      <c r="L953" s="2202"/>
      <c r="M953" s="2202"/>
      <c r="N953" s="2202"/>
      <c r="O953" s="2202"/>
      <c r="P953" s="2202"/>
      <c r="Q953" s="2202"/>
      <c r="R953" s="2202"/>
      <c r="S953" s="2202"/>
      <c r="T953" s="2202"/>
      <c r="U953" s="2202"/>
      <c r="V953" s="2202"/>
      <c r="W953" s="2202"/>
      <c r="X953" s="2202"/>
      <c r="Y953" s="2202"/>
      <c r="Z953" s="2202"/>
      <c r="AA953" s="2202"/>
      <c r="AB953" s="2202"/>
      <c r="AC953" s="2202"/>
      <c r="AD953" s="2202"/>
      <c r="AE953" s="2202"/>
      <c r="AF953" s="2202"/>
      <c r="AG953" s="2202"/>
      <c r="AH953" s="2202"/>
      <c r="AI953" s="2203"/>
      <c r="AJ953" s="1891">
        <f>SUM(AJ947:AQ951)</f>
        <v>20208448</v>
      </c>
      <c r="AK953" s="1892"/>
      <c r="AL953" s="1892"/>
      <c r="AM953" s="1892"/>
      <c r="AN953" s="1892"/>
      <c r="AO953" s="1892"/>
      <c r="AP953" s="1892"/>
      <c r="AQ953" s="1893"/>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04"/>
      <c r="C954" s="2205"/>
      <c r="D954" s="2205"/>
      <c r="E954" s="2205"/>
      <c r="F954" s="2205"/>
      <c r="G954" s="2205"/>
      <c r="H954" s="2205"/>
      <c r="I954" s="2205"/>
      <c r="J954" s="2205"/>
      <c r="K954" s="2205"/>
      <c r="L954" s="2205"/>
      <c r="M954" s="2205"/>
      <c r="N954" s="2205"/>
      <c r="O954" s="2205"/>
      <c r="P954" s="2205"/>
      <c r="Q954" s="2205"/>
      <c r="R954" s="2205"/>
      <c r="S954" s="2205"/>
      <c r="T954" s="2205"/>
      <c r="U954" s="2205"/>
      <c r="V954" s="2205"/>
      <c r="W954" s="2205"/>
      <c r="X954" s="2205"/>
      <c r="Y954" s="2205"/>
      <c r="Z954" s="2205"/>
      <c r="AA954" s="2205"/>
      <c r="AB954" s="2205"/>
      <c r="AC954" s="2205"/>
      <c r="AD954" s="2205"/>
      <c r="AE954" s="2206"/>
      <c r="AF954" s="2207" t="s">
        <v>525</v>
      </c>
      <c r="AG954" s="2208"/>
      <c r="AH954" s="2208"/>
      <c r="AI954" s="2209"/>
      <c r="AJ954" s="2204"/>
      <c r="AK954" s="2205"/>
      <c r="AL954" s="2205"/>
      <c r="AM954" s="2205"/>
      <c r="AN954" s="2205"/>
      <c r="AO954" s="2205"/>
      <c r="AP954" s="2205"/>
      <c r="AQ954" s="22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54" t="s">
        <v>2088</v>
      </c>
      <c r="E955" s="1955"/>
      <c r="F955" s="1955"/>
      <c r="G955" s="1955"/>
      <c r="H955" s="1955"/>
      <c r="I955" s="1955"/>
      <c r="J955" s="1955"/>
      <c r="K955" s="1955"/>
      <c r="L955" s="1955"/>
      <c r="M955" s="1955"/>
      <c r="N955" s="1955"/>
      <c r="O955" s="1955"/>
      <c r="P955" s="1955"/>
      <c r="Q955" s="1955"/>
      <c r="R955" s="1955"/>
      <c r="S955" s="1955"/>
      <c r="T955" s="1955"/>
      <c r="U955" s="1955"/>
      <c r="V955" s="1955"/>
      <c r="W955" s="1955"/>
      <c r="X955" s="1955"/>
      <c r="Y955" s="1955"/>
      <c r="Z955" s="1955"/>
      <c r="AA955" s="1955"/>
      <c r="AB955" s="1955"/>
      <c r="AC955" s="1955"/>
      <c r="AD955" s="1955"/>
      <c r="AE955" s="1956"/>
      <c r="AF955" s="128"/>
      <c r="AG955" s="2196" t="s">
        <v>528</v>
      </c>
      <c r="AH955" s="2197"/>
      <c r="AI955" s="131"/>
      <c r="AJ955" s="1931">
        <f>ROUND(IF(AND(AG955="yes",D957&gt;0),AJ953*0.2,0),0)</f>
        <v>0</v>
      </c>
      <c r="AK955" s="1932"/>
      <c r="AL955" s="1932"/>
      <c r="AM955" s="1932"/>
      <c r="AN955" s="1932"/>
      <c r="AO955" s="1932"/>
      <c r="AP955" s="1932"/>
      <c r="AQ955" s="193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64" t="s">
        <v>2215</v>
      </c>
      <c r="E956" s="1765"/>
      <c r="F956" s="1765"/>
      <c r="G956" s="1765"/>
      <c r="H956" s="1765"/>
      <c r="I956" s="1765"/>
      <c r="J956" s="1765"/>
      <c r="K956" s="1765"/>
      <c r="L956" s="1765"/>
      <c r="M956" s="1765"/>
      <c r="N956" s="1765"/>
      <c r="O956" s="1765"/>
      <c r="P956" s="1765"/>
      <c r="Q956" s="1765"/>
      <c r="R956" s="1765"/>
      <c r="S956" s="1765"/>
      <c r="T956" s="1765"/>
      <c r="U956" s="1765"/>
      <c r="V956" s="1765"/>
      <c r="W956" s="1765"/>
      <c r="X956" s="1765"/>
      <c r="Y956" s="1765"/>
      <c r="Z956" s="1765"/>
      <c r="AA956" s="1765"/>
      <c r="AB956" s="1765"/>
      <c r="AC956" s="1765"/>
      <c r="AD956" s="1765"/>
      <c r="AE956" s="1766"/>
      <c r="AF956" s="124"/>
      <c r="AG956" s="125"/>
      <c r="AH956" s="125"/>
      <c r="AI956" s="129"/>
      <c r="AJ956" s="1937"/>
      <c r="AK956" s="1938"/>
      <c r="AL956" s="1938"/>
      <c r="AM956" s="1938"/>
      <c r="AN956" s="1938"/>
      <c r="AO956" s="1938"/>
      <c r="AP956" s="1938"/>
      <c r="AQ956" s="193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46"/>
      <c r="E957" s="1947"/>
      <c r="F957" s="1947"/>
      <c r="G957" s="1947"/>
      <c r="H957" s="1947"/>
      <c r="I957" s="1947"/>
      <c r="J957" s="1947"/>
      <c r="K957" s="1947"/>
      <c r="L957" s="1947"/>
      <c r="M957" s="1947"/>
      <c r="N957" s="1947"/>
      <c r="O957" s="1947"/>
      <c r="P957" s="1947"/>
      <c r="Q957" s="1947"/>
      <c r="R957" s="1947"/>
      <c r="S957" s="1947"/>
      <c r="T957" s="1947"/>
      <c r="U957" s="1947"/>
      <c r="V957" s="1947"/>
      <c r="W957" s="1947"/>
      <c r="X957" s="1947"/>
      <c r="Y957" s="1947"/>
      <c r="Z957" s="1947"/>
      <c r="AA957" s="1947"/>
      <c r="AB957" s="1947"/>
      <c r="AC957" s="1947"/>
      <c r="AD957" s="1947"/>
      <c r="AE957" s="1948"/>
      <c r="AF957" s="126"/>
      <c r="AG957" s="15"/>
      <c r="AH957" s="15"/>
      <c r="AI957" s="127"/>
      <c r="AJ957" s="1934"/>
      <c r="AK957" s="1935"/>
      <c r="AL957" s="1935"/>
      <c r="AM957" s="1935"/>
      <c r="AN957" s="1935"/>
      <c r="AO957" s="1935"/>
      <c r="AP957" s="1935"/>
      <c r="AQ957" s="193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26" t="s">
        <v>2216</v>
      </c>
      <c r="E958" s="1927"/>
      <c r="F958" s="1927"/>
      <c r="G958" s="1927"/>
      <c r="H958" s="1927"/>
      <c r="I958" s="1927"/>
      <c r="J958" s="1927"/>
      <c r="K958" s="1927"/>
      <c r="L958" s="1927"/>
      <c r="M958" s="1927"/>
      <c r="N958" s="1927"/>
      <c r="O958" s="1927"/>
      <c r="P958" s="1927"/>
      <c r="Q958" s="1927"/>
      <c r="R958" s="1927"/>
      <c r="S958" s="1927"/>
      <c r="T958" s="1927"/>
      <c r="U958" s="1927"/>
      <c r="V958" s="1927"/>
      <c r="W958" s="1927"/>
      <c r="X958" s="1927"/>
      <c r="Y958" s="1927"/>
      <c r="Z958" s="1927"/>
      <c r="AA958" s="1927"/>
      <c r="AB958" s="1927"/>
      <c r="AC958" s="1927"/>
      <c r="AD958" s="1927"/>
      <c r="AE958" s="1928"/>
      <c r="AF958" s="128"/>
      <c r="AG958" s="1929" t="s">
        <v>528</v>
      </c>
      <c r="AH958" s="1930"/>
      <c r="AI958" s="131"/>
      <c r="AJ958" s="1931">
        <f>ROUND(IF(AG958="yes",AJ953*0.05,0),0)</f>
        <v>0</v>
      </c>
      <c r="AK958" s="1932"/>
      <c r="AL958" s="1932"/>
      <c r="AM958" s="1932"/>
      <c r="AN958" s="1932"/>
      <c r="AO958" s="1932"/>
      <c r="AP958" s="1932"/>
      <c r="AQ958" s="193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64" t="s">
        <v>2089</v>
      </c>
      <c r="E959" s="1765"/>
      <c r="F959" s="1765"/>
      <c r="G959" s="1765"/>
      <c r="H959" s="1765"/>
      <c r="I959" s="1765"/>
      <c r="J959" s="1765"/>
      <c r="K959" s="1765"/>
      <c r="L959" s="1765"/>
      <c r="M959" s="1765"/>
      <c r="N959" s="1765"/>
      <c r="O959" s="1765"/>
      <c r="P959" s="1765"/>
      <c r="Q959" s="1765"/>
      <c r="R959" s="1765"/>
      <c r="S959" s="1765"/>
      <c r="T959" s="1765"/>
      <c r="U959" s="1765"/>
      <c r="V959" s="1765"/>
      <c r="W959" s="1765"/>
      <c r="X959" s="1765"/>
      <c r="Y959" s="1765"/>
      <c r="Z959" s="1765"/>
      <c r="AA959" s="1765"/>
      <c r="AB959" s="1765"/>
      <c r="AC959" s="1765"/>
      <c r="AD959" s="1765"/>
      <c r="AE959" s="1766"/>
      <c r="AF959" s="124"/>
      <c r="AG959" s="125"/>
      <c r="AH959" s="125"/>
      <c r="AI959" s="129"/>
      <c r="AJ959" s="1937"/>
      <c r="AK959" s="1938"/>
      <c r="AL959" s="1938"/>
      <c r="AM959" s="1938"/>
      <c r="AN959" s="1938"/>
      <c r="AO959" s="1938"/>
      <c r="AP959" s="1938"/>
      <c r="AQ959" s="1939"/>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64"/>
      <c r="E960" s="1765"/>
      <c r="F960" s="1765"/>
      <c r="G960" s="1765"/>
      <c r="H960" s="1765"/>
      <c r="I960" s="1765"/>
      <c r="J960" s="1765"/>
      <c r="K960" s="1765"/>
      <c r="L960" s="1765"/>
      <c r="M960" s="1765"/>
      <c r="N960" s="1765"/>
      <c r="O960" s="1765"/>
      <c r="P960" s="1765"/>
      <c r="Q960" s="1765"/>
      <c r="R960" s="1765"/>
      <c r="S960" s="1765"/>
      <c r="T960" s="1765"/>
      <c r="U960" s="1765"/>
      <c r="V960" s="1765"/>
      <c r="W960" s="1765"/>
      <c r="X960" s="1765"/>
      <c r="Y960" s="1765"/>
      <c r="Z960" s="1765"/>
      <c r="AA960" s="1765"/>
      <c r="AB960" s="1765"/>
      <c r="AC960" s="1765"/>
      <c r="AD960" s="1765"/>
      <c r="AE960" s="1766"/>
      <c r="AF960" s="124"/>
      <c r="AG960" s="125"/>
      <c r="AH960" s="125"/>
      <c r="AI960" s="129"/>
      <c r="AJ960" s="1937"/>
      <c r="AK960" s="1938"/>
      <c r="AL960" s="1938"/>
      <c r="AM960" s="1938"/>
      <c r="AN960" s="1938"/>
      <c r="AO960" s="1938"/>
      <c r="AP960" s="1938"/>
      <c r="AQ960" s="193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64"/>
      <c r="E961" s="1765"/>
      <c r="F961" s="1765"/>
      <c r="G961" s="1765"/>
      <c r="H961" s="1765"/>
      <c r="I961" s="1765"/>
      <c r="J961" s="1765"/>
      <c r="K961" s="1765"/>
      <c r="L961" s="1765"/>
      <c r="M961" s="1765"/>
      <c r="N961" s="1765"/>
      <c r="O961" s="1765"/>
      <c r="P961" s="1765"/>
      <c r="Q961" s="1765"/>
      <c r="R961" s="1765"/>
      <c r="S961" s="1765"/>
      <c r="T961" s="1765"/>
      <c r="U961" s="1765"/>
      <c r="V961" s="1765"/>
      <c r="W961" s="1765"/>
      <c r="X961" s="1765"/>
      <c r="Y961" s="1765"/>
      <c r="Z961" s="1765"/>
      <c r="AA961" s="1765"/>
      <c r="AB961" s="1765"/>
      <c r="AC961" s="1765"/>
      <c r="AD961" s="1765"/>
      <c r="AE961" s="1766"/>
      <c r="AF961" s="124"/>
      <c r="AG961" s="125"/>
      <c r="AH961" s="125"/>
      <c r="AI961" s="129"/>
      <c r="AJ961" s="1937"/>
      <c r="AK961" s="1938"/>
      <c r="AL961" s="1938"/>
      <c r="AM961" s="1938"/>
      <c r="AN961" s="1938"/>
      <c r="AO961" s="1938"/>
      <c r="AP961" s="1938"/>
      <c r="AQ961" s="193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64"/>
      <c r="E962" s="1765"/>
      <c r="F962" s="1765"/>
      <c r="G962" s="1765"/>
      <c r="H962" s="1765"/>
      <c r="I962" s="1765"/>
      <c r="J962" s="1765"/>
      <c r="K962" s="1765"/>
      <c r="L962" s="1765"/>
      <c r="M962" s="1765"/>
      <c r="N962" s="1765"/>
      <c r="O962" s="1765"/>
      <c r="P962" s="1765"/>
      <c r="Q962" s="1765"/>
      <c r="R962" s="1765"/>
      <c r="S962" s="1765"/>
      <c r="T962" s="1765"/>
      <c r="U962" s="1765"/>
      <c r="V962" s="1765"/>
      <c r="W962" s="1765"/>
      <c r="X962" s="1765"/>
      <c r="Y962" s="1765"/>
      <c r="Z962" s="1765"/>
      <c r="AA962" s="1765"/>
      <c r="AB962" s="1765"/>
      <c r="AC962" s="1765"/>
      <c r="AD962" s="1765"/>
      <c r="AE962" s="1766"/>
      <c r="AF962" s="124"/>
      <c r="AG962" s="125"/>
      <c r="AH962" s="125"/>
      <c r="AI962" s="129"/>
      <c r="AJ962" s="1937"/>
      <c r="AK962" s="1938"/>
      <c r="AL962" s="1938"/>
      <c r="AM962" s="1938"/>
      <c r="AN962" s="1938"/>
      <c r="AO962" s="1938"/>
      <c r="AP962" s="1938"/>
      <c r="AQ962" s="193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67"/>
      <c r="E963" s="1768"/>
      <c r="F963" s="1768"/>
      <c r="G963" s="1768"/>
      <c r="H963" s="1768"/>
      <c r="I963" s="1768"/>
      <c r="J963" s="1768"/>
      <c r="K963" s="1768"/>
      <c r="L963" s="1768"/>
      <c r="M963" s="1768"/>
      <c r="N963" s="1768"/>
      <c r="O963" s="1768"/>
      <c r="P963" s="1768"/>
      <c r="Q963" s="1768"/>
      <c r="R963" s="1768"/>
      <c r="S963" s="1768"/>
      <c r="T963" s="1768"/>
      <c r="U963" s="1768"/>
      <c r="V963" s="1768"/>
      <c r="W963" s="1768"/>
      <c r="X963" s="1768"/>
      <c r="Y963" s="1768"/>
      <c r="Z963" s="1768"/>
      <c r="AA963" s="1768"/>
      <c r="AB963" s="1768"/>
      <c r="AC963" s="1768"/>
      <c r="AD963" s="1768"/>
      <c r="AE963" s="1769"/>
      <c r="AF963" s="126"/>
      <c r="AG963" s="15"/>
      <c r="AH963" s="15"/>
      <c r="AI963" s="127"/>
      <c r="AJ963" s="1934"/>
      <c r="AK963" s="1935"/>
      <c r="AL963" s="1935"/>
      <c r="AM963" s="1935"/>
      <c r="AN963" s="1935"/>
      <c r="AO963" s="1935"/>
      <c r="AP963" s="1935"/>
      <c r="AQ963" s="193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26" t="s">
        <v>2217</v>
      </c>
      <c r="E964" s="1927"/>
      <c r="F964" s="1927"/>
      <c r="G964" s="1927"/>
      <c r="H964" s="1927"/>
      <c r="I964" s="1927"/>
      <c r="J964" s="1927"/>
      <c r="K964" s="1927"/>
      <c r="L964" s="1927"/>
      <c r="M964" s="1927"/>
      <c r="N964" s="1927"/>
      <c r="O964" s="1927"/>
      <c r="P964" s="1927"/>
      <c r="Q964" s="1927"/>
      <c r="R964" s="1927"/>
      <c r="S964" s="1927"/>
      <c r="T964" s="1927"/>
      <c r="U964" s="1927"/>
      <c r="V964" s="1927"/>
      <c r="W964" s="1927"/>
      <c r="X964" s="1927"/>
      <c r="Y964" s="1927"/>
      <c r="Z964" s="1927"/>
      <c r="AA964" s="1927"/>
      <c r="AB964" s="1927"/>
      <c r="AC964" s="1927"/>
      <c r="AD964" s="1927"/>
      <c r="AE964" s="1928"/>
      <c r="AF964" s="130"/>
      <c r="AG964" s="1929" t="s">
        <v>528</v>
      </c>
      <c r="AH964" s="1930"/>
      <c r="AI964" s="131"/>
      <c r="AJ964" s="1931">
        <f>ROUND(IF(AG964="yes",AJ953*0.1,0),0)</f>
        <v>0</v>
      </c>
      <c r="AK964" s="1932"/>
      <c r="AL964" s="1932"/>
      <c r="AM964" s="1932"/>
      <c r="AN964" s="1932"/>
      <c r="AO964" s="1932"/>
      <c r="AP964" s="1932"/>
      <c r="AQ964" s="193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40" t="s">
        <v>2218</v>
      </c>
      <c r="E965" s="1941"/>
      <c r="F965" s="1941"/>
      <c r="G965" s="1941"/>
      <c r="H965" s="1941"/>
      <c r="I965" s="1941"/>
      <c r="J965" s="1941"/>
      <c r="K965" s="1941"/>
      <c r="L965" s="1941"/>
      <c r="M965" s="1941"/>
      <c r="N965" s="1941"/>
      <c r="O965" s="1941"/>
      <c r="P965" s="1941"/>
      <c r="Q965" s="1941"/>
      <c r="R965" s="1941"/>
      <c r="S965" s="1941"/>
      <c r="T965" s="1941"/>
      <c r="U965" s="1941"/>
      <c r="V965" s="1941"/>
      <c r="W965" s="1941"/>
      <c r="X965" s="1941"/>
      <c r="Y965" s="1941"/>
      <c r="Z965" s="1941"/>
      <c r="AA965" s="1941"/>
      <c r="AB965" s="1941"/>
      <c r="AC965" s="1941"/>
      <c r="AD965" s="1941"/>
      <c r="AE965" s="1942"/>
      <c r="AF965" s="124"/>
      <c r="AG965" s="35"/>
      <c r="AH965" s="35"/>
      <c r="AI965" s="129"/>
      <c r="AJ965" s="1937"/>
      <c r="AK965" s="1938"/>
      <c r="AL965" s="1938"/>
      <c r="AM965" s="1938"/>
      <c r="AN965" s="1938"/>
      <c r="AO965" s="1938"/>
      <c r="AP965" s="1938"/>
      <c r="AQ965" s="193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40"/>
      <c r="E966" s="1941"/>
      <c r="F966" s="1941"/>
      <c r="G966" s="1941"/>
      <c r="H966" s="1941"/>
      <c r="I966" s="1941"/>
      <c r="J966" s="1941"/>
      <c r="K966" s="1941"/>
      <c r="L966" s="1941"/>
      <c r="M966" s="1941"/>
      <c r="N966" s="1941"/>
      <c r="O966" s="1941"/>
      <c r="P966" s="1941"/>
      <c r="Q966" s="1941"/>
      <c r="R966" s="1941"/>
      <c r="S966" s="1941"/>
      <c r="T966" s="1941"/>
      <c r="U966" s="1941"/>
      <c r="V966" s="1941"/>
      <c r="W966" s="1941"/>
      <c r="X966" s="1941"/>
      <c r="Y966" s="1941"/>
      <c r="Z966" s="1941"/>
      <c r="AA966" s="1941"/>
      <c r="AB966" s="1941"/>
      <c r="AC966" s="1941"/>
      <c r="AD966" s="1941"/>
      <c r="AE966" s="1942"/>
      <c r="AF966" s="124"/>
      <c r="AG966" s="125"/>
      <c r="AH966" s="125"/>
      <c r="AI966" s="129"/>
      <c r="AJ966" s="1937"/>
      <c r="AK966" s="1938"/>
      <c r="AL966" s="1938"/>
      <c r="AM966" s="1938"/>
      <c r="AN966" s="1938"/>
      <c r="AO966" s="1938"/>
      <c r="AP966" s="1938"/>
      <c r="AQ966" s="193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43"/>
      <c r="E967" s="1944"/>
      <c r="F967" s="1944"/>
      <c r="G967" s="1944"/>
      <c r="H967" s="1944"/>
      <c r="I967" s="1944"/>
      <c r="J967" s="1944"/>
      <c r="K967" s="1944"/>
      <c r="L967" s="1944"/>
      <c r="M967" s="1944"/>
      <c r="N967" s="1944"/>
      <c r="O967" s="1944"/>
      <c r="P967" s="1944"/>
      <c r="Q967" s="1944"/>
      <c r="R967" s="1944"/>
      <c r="S967" s="1944"/>
      <c r="T967" s="1944"/>
      <c r="U967" s="1944"/>
      <c r="V967" s="1944"/>
      <c r="W967" s="1944"/>
      <c r="X967" s="1944"/>
      <c r="Y967" s="1944"/>
      <c r="Z967" s="1944"/>
      <c r="AA967" s="1944"/>
      <c r="AB967" s="1944"/>
      <c r="AC967" s="1944"/>
      <c r="AD967" s="1944"/>
      <c r="AE967" s="1945"/>
      <c r="AF967" s="126"/>
      <c r="AG967" s="15"/>
      <c r="AH967" s="15"/>
      <c r="AI967" s="127"/>
      <c r="AJ967" s="1934"/>
      <c r="AK967" s="1935"/>
      <c r="AL967" s="1935"/>
      <c r="AM967" s="1935"/>
      <c r="AN967" s="1935"/>
      <c r="AO967" s="1935"/>
      <c r="AP967" s="1935"/>
      <c r="AQ967" s="193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26" t="s">
        <v>2090</v>
      </c>
      <c r="E968" s="1927"/>
      <c r="F968" s="1927"/>
      <c r="G968" s="1927"/>
      <c r="H968" s="1927"/>
      <c r="I968" s="1927"/>
      <c r="J968" s="1927"/>
      <c r="K968" s="1927"/>
      <c r="L968" s="1927"/>
      <c r="M968" s="1927"/>
      <c r="N968" s="1927"/>
      <c r="O968" s="1927"/>
      <c r="P968" s="1927"/>
      <c r="Q968" s="1927"/>
      <c r="R968" s="1927"/>
      <c r="S968" s="1927"/>
      <c r="T968" s="1927"/>
      <c r="U968" s="1927"/>
      <c r="V968" s="1927"/>
      <c r="W968" s="1927"/>
      <c r="X968" s="1927"/>
      <c r="Y968" s="1927"/>
      <c r="Z968" s="1927"/>
      <c r="AA968" s="1927"/>
      <c r="AB968" s="1927"/>
      <c r="AC968" s="1927"/>
      <c r="AD968" s="1927"/>
      <c r="AE968" s="1928"/>
      <c r="AF968" s="128"/>
      <c r="AG968" s="1929" t="s">
        <v>528</v>
      </c>
      <c r="AH968" s="1930"/>
      <c r="AI968" s="131"/>
      <c r="AJ968" s="1931">
        <f>ROUND(IF(AG968="yes",AJ953*0.02,0),0)</f>
        <v>0</v>
      </c>
      <c r="AK968" s="1932"/>
      <c r="AL968" s="1932"/>
      <c r="AM968" s="1932"/>
      <c r="AN968" s="1932"/>
      <c r="AO968" s="1932"/>
      <c r="AP968" s="1932"/>
      <c r="AQ968" s="193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43" t="s">
        <v>2091</v>
      </c>
      <c r="E969" s="1944"/>
      <c r="F969" s="1944"/>
      <c r="G969" s="1944"/>
      <c r="H969" s="1944"/>
      <c r="I969" s="1944"/>
      <c r="J969" s="1944"/>
      <c r="K969" s="1944"/>
      <c r="L969" s="1944"/>
      <c r="M969" s="1944"/>
      <c r="N969" s="1944"/>
      <c r="O969" s="1944"/>
      <c r="P969" s="1944"/>
      <c r="Q969" s="1944"/>
      <c r="R969" s="1944"/>
      <c r="S969" s="1944"/>
      <c r="T969" s="1944"/>
      <c r="U969" s="1944"/>
      <c r="V969" s="1944"/>
      <c r="W969" s="1944"/>
      <c r="X969" s="1944"/>
      <c r="Y969" s="1944"/>
      <c r="Z969" s="1944"/>
      <c r="AA969" s="1944"/>
      <c r="AB969" s="1944"/>
      <c r="AC969" s="1944"/>
      <c r="AD969" s="1944"/>
      <c r="AE969" s="1945"/>
      <c r="AF969" s="126"/>
      <c r="AG969" s="15"/>
      <c r="AH969" s="15"/>
      <c r="AI969" s="127"/>
      <c r="AJ969" s="1934"/>
      <c r="AK969" s="1935"/>
      <c r="AL969" s="1935"/>
      <c r="AM969" s="1935"/>
      <c r="AN969" s="1935"/>
      <c r="AO969" s="1935"/>
      <c r="AP969" s="1935"/>
      <c r="AQ969" s="193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26" t="s">
        <v>2092</v>
      </c>
      <c r="E970" s="1927"/>
      <c r="F970" s="1927"/>
      <c r="G970" s="1927"/>
      <c r="H970" s="1927"/>
      <c r="I970" s="1927"/>
      <c r="J970" s="1927"/>
      <c r="K970" s="1927"/>
      <c r="L970" s="1927"/>
      <c r="M970" s="1927"/>
      <c r="N970" s="1927"/>
      <c r="O970" s="1927"/>
      <c r="P970" s="1927"/>
      <c r="Q970" s="1927"/>
      <c r="R970" s="1927"/>
      <c r="S970" s="1927"/>
      <c r="T970" s="1927"/>
      <c r="U970" s="1927"/>
      <c r="V970" s="1927"/>
      <c r="W970" s="1927"/>
      <c r="X970" s="1927"/>
      <c r="Y970" s="1927"/>
      <c r="Z970" s="1927"/>
      <c r="AA970" s="1927"/>
      <c r="AB970" s="1927"/>
      <c r="AC970" s="1927"/>
      <c r="AD970" s="1927"/>
      <c r="AE970" s="1928"/>
      <c r="AF970" s="128"/>
      <c r="AG970" s="1929" t="s">
        <v>528</v>
      </c>
      <c r="AH970" s="1930"/>
      <c r="AI970" s="128"/>
      <c r="AJ970" s="1931">
        <f>ROUND(IF(AG970="yes",AJ953*0.02,0),0)</f>
        <v>0</v>
      </c>
      <c r="AK970" s="1932"/>
      <c r="AL970" s="1932"/>
      <c r="AM970" s="1932"/>
      <c r="AN970" s="1932"/>
      <c r="AO970" s="1932"/>
      <c r="AP970" s="1932"/>
      <c r="AQ970" s="193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40" t="s">
        <v>2093</v>
      </c>
      <c r="E971" s="1941"/>
      <c r="F971" s="1941"/>
      <c r="G971" s="1941"/>
      <c r="H971" s="1941"/>
      <c r="I971" s="1941"/>
      <c r="J971" s="1941"/>
      <c r="K971" s="1941"/>
      <c r="L971" s="1941"/>
      <c r="M971" s="1941"/>
      <c r="N971" s="1941"/>
      <c r="O971" s="1941"/>
      <c r="P971" s="1941"/>
      <c r="Q971" s="1941"/>
      <c r="R971" s="1941"/>
      <c r="S971" s="1941"/>
      <c r="T971" s="1941"/>
      <c r="U971" s="1941"/>
      <c r="V971" s="1941"/>
      <c r="W971" s="1941"/>
      <c r="X971" s="1941"/>
      <c r="Y971" s="1941"/>
      <c r="Z971" s="1941"/>
      <c r="AA971" s="1941"/>
      <c r="AB971" s="1941"/>
      <c r="AC971" s="1941"/>
      <c r="AD971" s="1941"/>
      <c r="AE971" s="1942"/>
      <c r="AF971" s="124"/>
      <c r="AG971" s="35"/>
      <c r="AH971" s="35"/>
      <c r="AI971" s="125"/>
      <c r="AJ971" s="1937"/>
      <c r="AK971" s="1938"/>
      <c r="AL971" s="1938"/>
      <c r="AM971" s="1938"/>
      <c r="AN971" s="1938"/>
      <c r="AO971" s="1938"/>
      <c r="AP971" s="1938"/>
      <c r="AQ971" s="193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43"/>
      <c r="E972" s="1944"/>
      <c r="F972" s="1944"/>
      <c r="G972" s="1944"/>
      <c r="H972" s="1944"/>
      <c r="I972" s="1944"/>
      <c r="J972" s="1944"/>
      <c r="K972" s="1944"/>
      <c r="L972" s="1944"/>
      <c r="M972" s="1944"/>
      <c r="N972" s="1944"/>
      <c r="O972" s="1944"/>
      <c r="P972" s="1944"/>
      <c r="Q972" s="1944"/>
      <c r="R972" s="1944"/>
      <c r="S972" s="1944"/>
      <c r="T972" s="1944"/>
      <c r="U972" s="1944"/>
      <c r="V972" s="1944"/>
      <c r="W972" s="1944"/>
      <c r="X972" s="1944"/>
      <c r="Y972" s="1944"/>
      <c r="Z972" s="1944"/>
      <c r="AA972" s="1944"/>
      <c r="AB972" s="1944"/>
      <c r="AC972" s="1944"/>
      <c r="AD972" s="1944"/>
      <c r="AE972" s="1945"/>
      <c r="AF972" s="126"/>
      <c r="AG972" s="15"/>
      <c r="AH972" s="15"/>
      <c r="AI972" s="127"/>
      <c r="AJ972" s="1934"/>
      <c r="AK972" s="1935"/>
      <c r="AL972" s="1935"/>
      <c r="AM972" s="1935"/>
      <c r="AN972" s="1935"/>
      <c r="AO972" s="1935"/>
      <c r="AP972" s="1935"/>
      <c r="AQ972" s="193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54" t="s">
        <v>2094</v>
      </c>
      <c r="E973" s="1955"/>
      <c r="F973" s="1955"/>
      <c r="G973" s="1955"/>
      <c r="H973" s="1955"/>
      <c r="I973" s="1955"/>
      <c r="J973" s="1955"/>
      <c r="K973" s="1955"/>
      <c r="L973" s="1955"/>
      <c r="M973" s="1955"/>
      <c r="N973" s="1955"/>
      <c r="O973" s="1955"/>
      <c r="P973" s="1955"/>
      <c r="Q973" s="1955"/>
      <c r="R973" s="1955"/>
      <c r="S973" s="1955"/>
      <c r="T973" s="1955"/>
      <c r="U973" s="1955"/>
      <c r="V973" s="1955"/>
      <c r="W973" s="1955"/>
      <c r="X973" s="1955"/>
      <c r="Y973" s="1955"/>
      <c r="Z973" s="1955"/>
      <c r="AA973" s="1955"/>
      <c r="AB973" s="1955"/>
      <c r="AC973" s="1955"/>
      <c r="AD973" s="1955"/>
      <c r="AE973" s="1956"/>
      <c r="AF973" s="128"/>
      <c r="AG973" s="1929" t="s">
        <v>528</v>
      </c>
      <c r="AH973" s="1930"/>
      <c r="AI973" s="131"/>
      <c r="AJ973" s="1931">
        <f>IF(AG973="yes",AJ953*AY932,0)</f>
        <v>0</v>
      </c>
      <c r="AK973" s="1932"/>
      <c r="AL973" s="1932"/>
      <c r="AM973" s="1932"/>
      <c r="AN973" s="1932"/>
      <c r="AO973" s="1932"/>
      <c r="AP973" s="1932"/>
      <c r="AQ973" s="193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40" t="s">
        <v>2219</v>
      </c>
      <c r="E974" s="1941"/>
      <c r="F974" s="1941"/>
      <c r="G974" s="1941"/>
      <c r="H974" s="1941"/>
      <c r="I974" s="1941"/>
      <c r="J974" s="1941"/>
      <c r="K974" s="1941"/>
      <c r="L974" s="1941"/>
      <c r="M974" s="1941"/>
      <c r="N974" s="1941"/>
      <c r="O974" s="1941"/>
      <c r="P974" s="1941"/>
      <c r="Q974" s="1941"/>
      <c r="R974" s="1941"/>
      <c r="S974" s="1941"/>
      <c r="T974" s="1941"/>
      <c r="U974" s="1941"/>
      <c r="V974" s="1941"/>
      <c r="W974" s="1941"/>
      <c r="X974" s="1941"/>
      <c r="Y974" s="1941"/>
      <c r="Z974" s="1941"/>
      <c r="AA974" s="1941"/>
      <c r="AB974" s="1941"/>
      <c r="AC974" s="1941"/>
      <c r="AD974" s="1941"/>
      <c r="AE974" s="1942"/>
      <c r="AF974" s="124"/>
      <c r="AG974" s="125"/>
      <c r="AH974" s="125"/>
      <c r="AI974" s="129"/>
      <c r="AJ974" s="1937"/>
      <c r="AK974" s="1938"/>
      <c r="AL974" s="1938"/>
      <c r="AM974" s="1938"/>
      <c r="AN974" s="1938"/>
      <c r="AO974" s="1938"/>
      <c r="AP974" s="1938"/>
      <c r="AQ974" s="193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40"/>
      <c r="E975" s="1941"/>
      <c r="F975" s="1941"/>
      <c r="G975" s="1941"/>
      <c r="H975" s="1941"/>
      <c r="I975" s="1941"/>
      <c r="J975" s="1941"/>
      <c r="K975" s="1941"/>
      <c r="L975" s="1941"/>
      <c r="M975" s="1941"/>
      <c r="N975" s="1941"/>
      <c r="O975" s="1941"/>
      <c r="P975" s="1941"/>
      <c r="Q975" s="1941"/>
      <c r="R975" s="1941"/>
      <c r="S975" s="1941"/>
      <c r="T975" s="1941"/>
      <c r="U975" s="1941"/>
      <c r="V975" s="1941"/>
      <c r="W975" s="1941"/>
      <c r="X975" s="1941"/>
      <c r="Y975" s="1941"/>
      <c r="Z975" s="1941"/>
      <c r="AA975" s="1941"/>
      <c r="AB975" s="1941"/>
      <c r="AC975" s="1941"/>
      <c r="AD975" s="1941"/>
      <c r="AE975" s="1942"/>
      <c r="AF975" s="124"/>
      <c r="AG975" s="125"/>
      <c r="AH975" s="125"/>
      <c r="AI975" s="129"/>
      <c r="AJ975" s="1937"/>
      <c r="AK975" s="1938"/>
      <c r="AL975" s="1938"/>
      <c r="AM975" s="1938"/>
      <c r="AN975" s="1938"/>
      <c r="AO975" s="1938"/>
      <c r="AP975" s="1938"/>
      <c r="AQ975" s="193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43"/>
      <c r="E976" s="1944"/>
      <c r="F976" s="1944"/>
      <c r="G976" s="1944"/>
      <c r="H976" s="1944"/>
      <c r="I976" s="1944"/>
      <c r="J976" s="1944"/>
      <c r="K976" s="1944"/>
      <c r="L976" s="1944"/>
      <c r="M976" s="1944"/>
      <c r="N976" s="1944"/>
      <c r="O976" s="1944"/>
      <c r="P976" s="1944"/>
      <c r="Q976" s="1944"/>
      <c r="R976" s="1944"/>
      <c r="S976" s="1944"/>
      <c r="T976" s="1944"/>
      <c r="U976" s="1944"/>
      <c r="V976" s="1944"/>
      <c r="W976" s="1944"/>
      <c r="X976" s="1944"/>
      <c r="Y976" s="1944"/>
      <c r="Z976" s="1944"/>
      <c r="AA976" s="1944"/>
      <c r="AB976" s="1944"/>
      <c r="AC976" s="1944"/>
      <c r="AD976" s="1944"/>
      <c r="AE976" s="1945"/>
      <c r="AF976" s="126"/>
      <c r="AG976" s="15"/>
      <c r="AH976" s="15"/>
      <c r="AI976" s="127"/>
      <c r="AJ976" s="1934"/>
      <c r="AK976" s="1935"/>
      <c r="AL976" s="1935"/>
      <c r="AM976" s="1935"/>
      <c r="AN976" s="1935"/>
      <c r="AO976" s="1935"/>
      <c r="AP976" s="1935"/>
      <c r="AQ976" s="193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87" t="s">
        <v>2095</v>
      </c>
      <c r="E977" s="2188"/>
      <c r="F977" s="2188"/>
      <c r="G977" s="2188"/>
      <c r="H977" s="2188"/>
      <c r="I977" s="2188"/>
      <c r="J977" s="2188"/>
      <c r="K977" s="2188"/>
      <c r="L977" s="2188"/>
      <c r="M977" s="2188"/>
      <c r="N977" s="2188"/>
      <c r="O977" s="2188"/>
      <c r="P977" s="2188"/>
      <c r="Q977" s="2188"/>
      <c r="R977" s="2188"/>
      <c r="S977" s="2188"/>
      <c r="T977" s="2188"/>
      <c r="U977" s="2188"/>
      <c r="V977" s="2188"/>
      <c r="W977" s="2188"/>
      <c r="X977" s="2188"/>
      <c r="Y977" s="2188"/>
      <c r="Z977" s="2188"/>
      <c r="AA977" s="2188"/>
      <c r="AB977" s="2188"/>
      <c r="AC977" s="2188"/>
      <c r="AD977" s="2188"/>
      <c r="AE977" s="2189"/>
      <c r="AF977" s="128"/>
      <c r="AG977" s="1929" t="s">
        <v>528</v>
      </c>
      <c r="AH977" s="1930"/>
      <c r="AI977" s="131"/>
      <c r="AJ977" s="1931">
        <f>ROUND(IF(AG977="Yes",AF980,0),0)</f>
        <v>0</v>
      </c>
      <c r="AK977" s="1932"/>
      <c r="AL977" s="1932"/>
      <c r="AM977" s="1932"/>
      <c r="AN977" s="1932"/>
      <c r="AO977" s="1932"/>
      <c r="AP977" s="1932"/>
      <c r="AQ977" s="193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90"/>
      <c r="E978" s="2191"/>
      <c r="F978" s="2191"/>
      <c r="G978" s="2191"/>
      <c r="H978" s="2191"/>
      <c r="I978" s="2191"/>
      <c r="J978" s="2191"/>
      <c r="K978" s="2191"/>
      <c r="L978" s="2191"/>
      <c r="M978" s="2191"/>
      <c r="N978" s="2191"/>
      <c r="O978" s="2191"/>
      <c r="P978" s="2191"/>
      <c r="Q978" s="2191"/>
      <c r="R978" s="2191"/>
      <c r="S978" s="2191"/>
      <c r="T978" s="2191"/>
      <c r="U978" s="2191"/>
      <c r="V978" s="2191"/>
      <c r="W978" s="2191"/>
      <c r="X978" s="2191"/>
      <c r="Y978" s="2191"/>
      <c r="Z978" s="2191"/>
      <c r="AA978" s="2191"/>
      <c r="AB978" s="2191"/>
      <c r="AC978" s="2191"/>
      <c r="AD978" s="2191"/>
      <c r="AE978" s="2192"/>
      <c r="AF978" s="1742">
        <f>IF(AG977="yes","Please Select Type and Enter Amount:",0)</f>
        <v>0</v>
      </c>
      <c r="AG978" s="1743"/>
      <c r="AH978" s="1743"/>
      <c r="AI978" s="1744"/>
      <c r="AJ978" s="1937"/>
      <c r="AK978" s="1938"/>
      <c r="AL978" s="1938"/>
      <c r="AM978" s="1938"/>
      <c r="AN978" s="1938"/>
      <c r="AO978" s="1938"/>
      <c r="AP978" s="1938"/>
      <c r="AQ978" s="193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40" t="s">
        <v>2096</v>
      </c>
      <c r="E979" s="1941"/>
      <c r="F979" s="1941"/>
      <c r="G979" s="1941"/>
      <c r="H979" s="1941"/>
      <c r="I979" s="1941"/>
      <c r="J979" s="1941"/>
      <c r="K979" s="1941"/>
      <c r="L979" s="1941"/>
      <c r="M979" s="1941"/>
      <c r="N979" s="1941"/>
      <c r="O979" s="1941"/>
      <c r="P979" s="1941"/>
      <c r="Q979" s="1941"/>
      <c r="R979" s="1941"/>
      <c r="S979" s="1941"/>
      <c r="T979" s="1941"/>
      <c r="U979" s="1941"/>
      <c r="V979" s="1941"/>
      <c r="W979" s="1941"/>
      <c r="X979" s="1941"/>
      <c r="Y979" s="1941"/>
      <c r="Z979" s="1941"/>
      <c r="AA979" s="1941"/>
      <c r="AB979" s="1941"/>
      <c r="AC979" s="1941"/>
      <c r="AD979" s="1941"/>
      <c r="AE979" s="1942"/>
      <c r="AF979" s="1742"/>
      <c r="AG979" s="1743"/>
      <c r="AH979" s="1743"/>
      <c r="AI979" s="1744"/>
      <c r="AJ979" s="1937"/>
      <c r="AK979" s="1938"/>
      <c r="AL979" s="1938"/>
      <c r="AM979" s="1938"/>
      <c r="AN979" s="1938"/>
      <c r="AO979" s="1938"/>
      <c r="AP979" s="1938"/>
      <c r="AQ979" s="193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40"/>
      <c r="E980" s="1941"/>
      <c r="F980" s="1941"/>
      <c r="G980" s="1941"/>
      <c r="H980" s="1941"/>
      <c r="I980" s="1941"/>
      <c r="J980" s="1941"/>
      <c r="K980" s="1941"/>
      <c r="L980" s="1941"/>
      <c r="M980" s="1941"/>
      <c r="N980" s="1941"/>
      <c r="O980" s="1941"/>
      <c r="P980" s="1941"/>
      <c r="Q980" s="1941"/>
      <c r="R980" s="1941"/>
      <c r="S980" s="1941"/>
      <c r="T980" s="1941"/>
      <c r="U980" s="1941"/>
      <c r="V980" s="1941"/>
      <c r="W980" s="1941"/>
      <c r="X980" s="1941"/>
      <c r="Y980" s="1941"/>
      <c r="Z980" s="1941"/>
      <c r="AA980" s="1941"/>
      <c r="AB980" s="1941"/>
      <c r="AC980" s="1941"/>
      <c r="AD980" s="1941"/>
      <c r="AE980" s="1942"/>
      <c r="AF980" s="1745"/>
      <c r="AG980" s="1745"/>
      <c r="AH980" s="1745"/>
      <c r="AI980" s="1745"/>
      <c r="AJ980" s="1937"/>
      <c r="AK980" s="1938"/>
      <c r="AL980" s="1938"/>
      <c r="AM980" s="1938"/>
      <c r="AN980" s="1938"/>
      <c r="AO980" s="1938"/>
      <c r="AP980" s="1938"/>
      <c r="AQ980" s="193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93" t="s">
        <v>135</v>
      </c>
      <c r="K981" s="2194"/>
      <c r="L981" s="2194"/>
      <c r="M981" s="2194"/>
      <c r="N981" s="2194"/>
      <c r="O981" s="2194"/>
      <c r="P981" s="2194"/>
      <c r="Q981" s="2194"/>
      <c r="R981" s="2194"/>
      <c r="S981" s="2194"/>
      <c r="T981" s="2194"/>
      <c r="U981" s="2194"/>
      <c r="V981" s="2194"/>
      <c r="W981" s="2194"/>
      <c r="X981" s="2194"/>
      <c r="Y981" s="2194"/>
      <c r="Z981" s="2194"/>
      <c r="AA981" s="2194"/>
      <c r="AB981" s="2194"/>
      <c r="AC981" s="2194"/>
      <c r="AD981" s="2194"/>
      <c r="AE981" s="2195"/>
      <c r="AF981" s="1745"/>
      <c r="AG981" s="1745"/>
      <c r="AH981" s="1745"/>
      <c r="AI981" s="1745"/>
      <c r="AJ981" s="1934"/>
      <c r="AK981" s="1935"/>
      <c r="AL981" s="1935"/>
      <c r="AM981" s="1935"/>
      <c r="AN981" s="1935"/>
      <c r="AO981" s="1935"/>
      <c r="AP981" s="1935"/>
      <c r="AQ981" s="193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26" t="s">
        <v>2097</v>
      </c>
      <c r="E982" s="1927"/>
      <c r="F982" s="1927"/>
      <c r="G982" s="1927"/>
      <c r="H982" s="1927"/>
      <c r="I982" s="1927"/>
      <c r="J982" s="1927"/>
      <c r="K982" s="1927"/>
      <c r="L982" s="1927"/>
      <c r="M982" s="1927"/>
      <c r="N982" s="1927"/>
      <c r="O982" s="1927"/>
      <c r="P982" s="1927"/>
      <c r="Q982" s="1927"/>
      <c r="R982" s="1927"/>
      <c r="S982" s="1927"/>
      <c r="T982" s="1927"/>
      <c r="U982" s="1927"/>
      <c r="V982" s="1927"/>
      <c r="W982" s="1927"/>
      <c r="X982" s="1927"/>
      <c r="Y982" s="1927"/>
      <c r="Z982" s="1927"/>
      <c r="AA982" s="1927"/>
      <c r="AB982" s="1927"/>
      <c r="AC982" s="1927"/>
      <c r="AD982" s="1927"/>
      <c r="AE982" s="1928"/>
      <c r="AF982" s="128"/>
      <c r="AG982" s="1929" t="s">
        <v>119</v>
      </c>
      <c r="AH982" s="1930"/>
      <c r="AI982" s="131"/>
      <c r="AJ982" s="1931">
        <f>ROUND(IF(AG982="Yes",AF984,0),0)</f>
        <v>2052077</v>
      </c>
      <c r="AK982" s="1932"/>
      <c r="AL982" s="1932"/>
      <c r="AM982" s="1932"/>
      <c r="AN982" s="1932"/>
      <c r="AO982" s="1932"/>
      <c r="AP982" s="1932"/>
      <c r="AQ982" s="193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40" t="s">
        <v>2220</v>
      </c>
      <c r="E983" s="1941"/>
      <c r="F983" s="1941"/>
      <c r="G983" s="1941"/>
      <c r="H983" s="1941"/>
      <c r="I983" s="1941"/>
      <c r="J983" s="1941"/>
      <c r="K983" s="1941"/>
      <c r="L983" s="1941"/>
      <c r="M983" s="1941"/>
      <c r="N983" s="1941"/>
      <c r="O983" s="1941"/>
      <c r="P983" s="1941"/>
      <c r="Q983" s="1941"/>
      <c r="R983" s="1941"/>
      <c r="S983" s="1941"/>
      <c r="T983" s="1941"/>
      <c r="U983" s="1941"/>
      <c r="V983" s="1941"/>
      <c r="W983" s="1941"/>
      <c r="X983" s="1941"/>
      <c r="Y983" s="1941"/>
      <c r="Z983" s="1941"/>
      <c r="AA983" s="1941"/>
      <c r="AB983" s="1941"/>
      <c r="AC983" s="1941"/>
      <c r="AD983" s="1941"/>
      <c r="AE983" s="1942"/>
      <c r="AF983" s="1746" t="str">
        <f>IF(AG982="yes","Please Enter Amount:",0)</f>
        <v>Please Enter Amount:</v>
      </c>
      <c r="AG983" s="1747"/>
      <c r="AH983" s="1747"/>
      <c r="AI983" s="1748"/>
      <c r="AJ983" s="1937"/>
      <c r="AK983" s="1938"/>
      <c r="AL983" s="1938"/>
      <c r="AM983" s="1938"/>
      <c r="AN983" s="1938"/>
      <c r="AO983" s="1938"/>
      <c r="AP983" s="1938"/>
      <c r="AQ983" s="193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40"/>
      <c r="E984" s="1941"/>
      <c r="F984" s="1941"/>
      <c r="G984" s="1941"/>
      <c r="H984" s="1941"/>
      <c r="I984" s="1941"/>
      <c r="J984" s="1941"/>
      <c r="K984" s="1941"/>
      <c r="L984" s="1941"/>
      <c r="M984" s="1941"/>
      <c r="N984" s="1941"/>
      <c r="O984" s="1941"/>
      <c r="P984" s="1941"/>
      <c r="Q984" s="1941"/>
      <c r="R984" s="1941"/>
      <c r="S984" s="1941"/>
      <c r="T984" s="1941"/>
      <c r="U984" s="1941"/>
      <c r="V984" s="1941"/>
      <c r="W984" s="1941"/>
      <c r="X984" s="1941"/>
      <c r="Y984" s="1941"/>
      <c r="Z984" s="1941"/>
      <c r="AA984" s="1941"/>
      <c r="AB984" s="1941"/>
      <c r="AC984" s="1941"/>
      <c r="AD984" s="1941"/>
      <c r="AE984" s="1942"/>
      <c r="AF984" s="1745">
        <f>+'Sources and Uses Budget'!B84</f>
        <v>2052077</v>
      </c>
      <c r="AG984" s="1745"/>
      <c r="AH984" s="1745"/>
      <c r="AI984" s="1745"/>
      <c r="AJ984" s="1937"/>
      <c r="AK984" s="1938"/>
      <c r="AL984" s="1938"/>
      <c r="AM984" s="1938"/>
      <c r="AN984" s="1938"/>
      <c r="AO984" s="1938"/>
      <c r="AP984" s="1938"/>
      <c r="AQ984" s="193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43"/>
      <c r="E985" s="1944"/>
      <c r="F985" s="1944"/>
      <c r="G985" s="1944"/>
      <c r="H985" s="1944"/>
      <c r="I985" s="1944"/>
      <c r="J985" s="1944"/>
      <c r="K985" s="1944"/>
      <c r="L985" s="1944"/>
      <c r="M985" s="1944"/>
      <c r="N985" s="1944"/>
      <c r="O985" s="1944"/>
      <c r="P985" s="1944"/>
      <c r="Q985" s="1944"/>
      <c r="R985" s="1944"/>
      <c r="S985" s="1944"/>
      <c r="T985" s="1944"/>
      <c r="U985" s="1944"/>
      <c r="V985" s="1944"/>
      <c r="W985" s="1944"/>
      <c r="X985" s="1944"/>
      <c r="Y985" s="1944"/>
      <c r="Z985" s="1944"/>
      <c r="AA985" s="1944"/>
      <c r="AB985" s="1944"/>
      <c r="AC985" s="1944"/>
      <c r="AD985" s="1944"/>
      <c r="AE985" s="1945"/>
      <c r="AF985" s="1745"/>
      <c r="AG985" s="1745"/>
      <c r="AH985" s="1745"/>
      <c r="AI985" s="1745"/>
      <c r="AJ985" s="1934"/>
      <c r="AK985" s="1935"/>
      <c r="AL985" s="1935"/>
      <c r="AM985" s="1935"/>
      <c r="AN985" s="1935"/>
      <c r="AO985" s="1935"/>
      <c r="AP985" s="1935"/>
      <c r="AQ985" s="1936"/>
    </row>
    <row r="986" spans="1:97" ht="12.75" customHeight="1">
      <c r="A986" s="65"/>
      <c r="B986" s="128"/>
      <c r="C986" s="858" t="s">
        <v>635</v>
      </c>
      <c r="D986" s="1954" t="s">
        <v>2098</v>
      </c>
      <c r="E986" s="1955"/>
      <c r="F986" s="1955"/>
      <c r="G986" s="1955"/>
      <c r="H986" s="1955"/>
      <c r="I986" s="1955"/>
      <c r="J986" s="1955"/>
      <c r="K986" s="1955"/>
      <c r="L986" s="1955"/>
      <c r="M986" s="1955"/>
      <c r="N986" s="1955"/>
      <c r="O986" s="1955"/>
      <c r="P986" s="1955"/>
      <c r="Q986" s="1955"/>
      <c r="R986" s="1955"/>
      <c r="S986" s="1955"/>
      <c r="T986" s="1955"/>
      <c r="U986" s="1955"/>
      <c r="V986" s="1955"/>
      <c r="W986" s="1955"/>
      <c r="X986" s="1955"/>
      <c r="Y986" s="1955"/>
      <c r="Z986" s="1955"/>
      <c r="AA986" s="1955"/>
      <c r="AB986" s="1955"/>
      <c r="AC986" s="1955"/>
      <c r="AD986" s="1955"/>
      <c r="AE986" s="1956"/>
      <c r="AF986" s="128"/>
      <c r="AG986" s="1929" t="s">
        <v>528</v>
      </c>
      <c r="AH986" s="1930"/>
      <c r="AI986" s="131"/>
      <c r="AJ986" s="1931">
        <f>ROUND(IF(AG986="yes",(AJ953*0.1),0),0)</f>
        <v>0</v>
      </c>
      <c r="AK986" s="1932"/>
      <c r="AL986" s="1932"/>
      <c r="AM986" s="1932"/>
      <c r="AN986" s="1932"/>
      <c r="AO986" s="1932"/>
      <c r="AP986" s="1932"/>
      <c r="AQ986" s="1933"/>
    </row>
    <row r="987" spans="1:97" ht="12.75" customHeight="1">
      <c r="A987" s="65"/>
      <c r="B987" s="124"/>
      <c r="C987" s="859"/>
      <c r="D987" s="1940" t="s">
        <v>2099</v>
      </c>
      <c r="E987" s="1941"/>
      <c r="F987" s="1941"/>
      <c r="G987" s="1941"/>
      <c r="H987" s="1941"/>
      <c r="I987" s="1941"/>
      <c r="J987" s="1941"/>
      <c r="K987" s="1941"/>
      <c r="L987" s="1941"/>
      <c r="M987" s="1941"/>
      <c r="N987" s="1941"/>
      <c r="O987" s="1941"/>
      <c r="P987" s="1941"/>
      <c r="Q987" s="1941"/>
      <c r="R987" s="1941"/>
      <c r="S987" s="1941"/>
      <c r="T987" s="1941"/>
      <c r="U987" s="1941"/>
      <c r="V987" s="1941"/>
      <c r="W987" s="1941"/>
      <c r="X987" s="1941"/>
      <c r="Y987" s="1941"/>
      <c r="Z987" s="1941"/>
      <c r="AA987" s="1941"/>
      <c r="AB987" s="1941"/>
      <c r="AC987" s="1941"/>
      <c r="AD987" s="1941"/>
      <c r="AE987" s="1942"/>
      <c r="AF987" s="124"/>
      <c r="AG987" s="125"/>
      <c r="AH987" s="125"/>
      <c r="AI987" s="129"/>
      <c r="AJ987" s="1937"/>
      <c r="AK987" s="1938"/>
      <c r="AL987" s="1938"/>
      <c r="AM987" s="1938"/>
      <c r="AN987" s="1938"/>
      <c r="AO987" s="1938"/>
      <c r="AP987" s="1938"/>
      <c r="AQ987" s="1939"/>
    </row>
    <row r="988" spans="1:97" ht="12.75" customHeight="1">
      <c r="A988" s="857"/>
      <c r="B988" s="126"/>
      <c r="C988" s="859"/>
      <c r="D988" s="1943"/>
      <c r="E988" s="1944"/>
      <c r="F988" s="1944"/>
      <c r="G988" s="1944"/>
      <c r="H988" s="1944"/>
      <c r="I988" s="1944"/>
      <c r="J988" s="1944"/>
      <c r="K988" s="1944"/>
      <c r="L988" s="1944"/>
      <c r="M988" s="1944"/>
      <c r="N988" s="1944"/>
      <c r="O988" s="1944"/>
      <c r="P988" s="1944"/>
      <c r="Q988" s="1944"/>
      <c r="R988" s="1944"/>
      <c r="S988" s="1944"/>
      <c r="T988" s="1944"/>
      <c r="U988" s="1944"/>
      <c r="V988" s="1944"/>
      <c r="W988" s="1944"/>
      <c r="X988" s="1944"/>
      <c r="Y988" s="1944"/>
      <c r="Z988" s="1944"/>
      <c r="AA988" s="1944"/>
      <c r="AB988" s="1944"/>
      <c r="AC988" s="1944"/>
      <c r="AD988" s="1944"/>
      <c r="AE988" s="1945"/>
      <c r="AF988" s="124"/>
      <c r="AG988" s="125"/>
      <c r="AH988" s="125"/>
      <c r="AI988" s="129"/>
      <c r="AJ988" s="1934"/>
      <c r="AK988" s="1935"/>
      <c r="AL988" s="1935"/>
      <c r="AM988" s="1935"/>
      <c r="AN988" s="1935"/>
      <c r="AO988" s="1935"/>
      <c r="AP988" s="1935"/>
      <c r="AQ988" s="1936"/>
    </row>
    <row r="989" spans="1:97" ht="17.649999999999999" customHeight="1">
      <c r="A989" s="857"/>
      <c r="B989" s="124"/>
      <c r="C989" s="858" t="s">
        <v>638</v>
      </c>
      <c r="D989" s="1926" t="s">
        <v>2221</v>
      </c>
      <c r="E989" s="1927"/>
      <c r="F989" s="1927"/>
      <c r="G989" s="1927"/>
      <c r="H989" s="1927"/>
      <c r="I989" s="1927"/>
      <c r="J989" s="1927"/>
      <c r="K989" s="1927"/>
      <c r="L989" s="1927"/>
      <c r="M989" s="1927"/>
      <c r="N989" s="1927"/>
      <c r="O989" s="1927"/>
      <c r="P989" s="1927"/>
      <c r="Q989" s="1927"/>
      <c r="R989" s="1927"/>
      <c r="S989" s="1927"/>
      <c r="T989" s="1927"/>
      <c r="U989" s="1927"/>
      <c r="V989" s="1927"/>
      <c r="W989" s="1927"/>
      <c r="X989" s="1927"/>
      <c r="Y989" s="1927"/>
      <c r="Z989" s="1927"/>
      <c r="AA989" s="1927"/>
      <c r="AB989" s="1927"/>
      <c r="AC989" s="1927"/>
      <c r="AD989" s="1927"/>
      <c r="AE989" s="1928"/>
      <c r="AF989" s="128"/>
      <c r="AG989" s="1929" t="s">
        <v>528</v>
      </c>
      <c r="AH989" s="1930"/>
      <c r="AI989" s="131"/>
      <c r="AJ989" s="1931">
        <f>ROUND(IF(AG989="yes",(AJ953*0.15),0),0)</f>
        <v>0</v>
      </c>
      <c r="AK989" s="1932"/>
      <c r="AL989" s="1932"/>
      <c r="AM989" s="1932"/>
      <c r="AN989" s="1932"/>
      <c r="AO989" s="1932"/>
      <c r="AP989" s="1932"/>
      <c r="AQ989" s="1933"/>
    </row>
    <row r="990" spans="1:97" ht="12.75" customHeight="1">
      <c r="A990" s="857"/>
      <c r="B990" s="124"/>
      <c r="C990" s="859"/>
      <c r="D990" s="2182" t="s">
        <v>2222</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83"/>
      <c r="AF990" s="1430"/>
      <c r="AG990" s="1431"/>
      <c r="AH990" s="1431"/>
      <c r="AI990" s="1432"/>
      <c r="AJ990" s="1937"/>
      <c r="AK990" s="1938"/>
      <c r="AL990" s="1938"/>
      <c r="AM990" s="1938"/>
      <c r="AN990" s="1938"/>
      <c r="AO990" s="1938"/>
      <c r="AP990" s="1938"/>
      <c r="AQ990" s="193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82"/>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83"/>
      <c r="AF991" s="1430"/>
      <c r="AG991" s="1431"/>
      <c r="AH991" s="1431"/>
      <c r="AI991" s="1432"/>
      <c r="AJ991" s="1937"/>
      <c r="AK991" s="1938"/>
      <c r="AL991" s="1938"/>
      <c r="AM991" s="1938"/>
      <c r="AN991" s="1938"/>
      <c r="AO991" s="1938"/>
      <c r="AP991" s="1938"/>
      <c r="AQ991" s="193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84"/>
      <c r="E992" s="2185"/>
      <c r="F992" s="2185"/>
      <c r="G992" s="2185"/>
      <c r="H992" s="2185"/>
      <c r="I992" s="2185"/>
      <c r="J992" s="2185"/>
      <c r="K992" s="2185"/>
      <c r="L992" s="2185"/>
      <c r="M992" s="2185"/>
      <c r="N992" s="2185"/>
      <c r="O992" s="2185"/>
      <c r="P992" s="2185"/>
      <c r="Q992" s="2185"/>
      <c r="R992" s="2185"/>
      <c r="S992" s="2185"/>
      <c r="T992" s="2185"/>
      <c r="U992" s="2185"/>
      <c r="V992" s="2185"/>
      <c r="W992" s="2185"/>
      <c r="X992" s="2185"/>
      <c r="Y992" s="2185"/>
      <c r="Z992" s="2185"/>
      <c r="AA992" s="2185"/>
      <c r="AB992" s="2185"/>
      <c r="AC992" s="2185"/>
      <c r="AD992" s="2185"/>
      <c r="AE992" s="2186"/>
      <c r="AF992" s="1433"/>
      <c r="AG992" s="1434"/>
      <c r="AH992" s="1434"/>
      <c r="AI992" s="1435"/>
      <c r="AJ992" s="1934"/>
      <c r="AK992" s="1935"/>
      <c r="AL992" s="1935"/>
      <c r="AM992" s="1935"/>
      <c r="AN992" s="1935"/>
      <c r="AO992" s="1935"/>
      <c r="AP992" s="1935"/>
      <c r="AQ992" s="193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54" t="s">
        <v>2223</v>
      </c>
      <c r="E993" s="1955"/>
      <c r="F993" s="1955"/>
      <c r="G993" s="1955"/>
      <c r="H993" s="1955"/>
      <c r="I993" s="1955"/>
      <c r="J993" s="1955"/>
      <c r="K993" s="1955"/>
      <c r="L993" s="1955"/>
      <c r="M993" s="1955"/>
      <c r="N993" s="1955"/>
      <c r="O993" s="1955"/>
      <c r="P993" s="1955"/>
      <c r="Q993" s="1955"/>
      <c r="R993" s="1955"/>
      <c r="S993" s="1955"/>
      <c r="T993" s="1955"/>
      <c r="U993" s="1955"/>
      <c r="V993" s="1955"/>
      <c r="W993" s="1955"/>
      <c r="X993" s="1955"/>
      <c r="Y993" s="1955"/>
      <c r="Z993" s="1955"/>
      <c r="AA993" s="1955"/>
      <c r="AB993" s="1955"/>
      <c r="AC993" s="1955"/>
      <c r="AD993" s="1955"/>
      <c r="AE993" s="1956"/>
      <c r="AF993" s="124"/>
      <c r="AG993" s="2180" t="s">
        <v>528</v>
      </c>
      <c r="AH993" s="2181"/>
      <c r="AI993" s="129"/>
      <c r="AJ993" s="1931">
        <f>ROUND(IF(AG993="yes",(AJ953*0.1),0),0)</f>
        <v>0</v>
      </c>
      <c r="AK993" s="1932"/>
      <c r="AL993" s="1932"/>
      <c r="AM993" s="1932"/>
      <c r="AN993" s="1932"/>
      <c r="AO993" s="1932"/>
      <c r="AP993" s="1932"/>
      <c r="AQ993" s="193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82" t="s">
        <v>2224</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83"/>
      <c r="AF994" s="124"/>
      <c r="AG994" s="125"/>
      <c r="AH994" s="125"/>
      <c r="AI994" s="129"/>
      <c r="AJ994" s="1937"/>
      <c r="AK994" s="1938"/>
      <c r="AL994" s="1938"/>
      <c r="AM994" s="1938"/>
      <c r="AN994" s="1938"/>
      <c r="AO994" s="1938"/>
      <c r="AP994" s="1938"/>
      <c r="AQ994" s="1939"/>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82"/>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83"/>
      <c r="AF995" s="124"/>
      <c r="AG995" s="125"/>
      <c r="AH995" s="125"/>
      <c r="AI995" s="129"/>
      <c r="AJ995" s="1937"/>
      <c r="AK995" s="1938"/>
      <c r="AL995" s="1938"/>
      <c r="AM995" s="1938"/>
      <c r="AN995" s="1938"/>
      <c r="AO995" s="1938"/>
      <c r="AP995" s="1938"/>
      <c r="AQ995" s="1939"/>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82"/>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83"/>
      <c r="AF996" s="124"/>
      <c r="AG996" s="125"/>
      <c r="AH996" s="125"/>
      <c r="AI996" s="129"/>
      <c r="AJ996" s="1937"/>
      <c r="AK996" s="1938"/>
      <c r="AL996" s="1938"/>
      <c r="AM996" s="1938"/>
      <c r="AN996" s="1938"/>
      <c r="AO996" s="1938"/>
      <c r="AP996" s="1938"/>
      <c r="AQ996" s="1939"/>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84"/>
      <c r="E997" s="2185"/>
      <c r="F997" s="2185"/>
      <c r="G997" s="2185"/>
      <c r="H997" s="2185"/>
      <c r="I997" s="2185"/>
      <c r="J997" s="2185"/>
      <c r="K997" s="2185"/>
      <c r="L997" s="2185"/>
      <c r="M997" s="2185"/>
      <c r="N997" s="2185"/>
      <c r="O997" s="2185"/>
      <c r="P997" s="2185"/>
      <c r="Q997" s="2185"/>
      <c r="R997" s="2185"/>
      <c r="S997" s="2185"/>
      <c r="T997" s="2185"/>
      <c r="U997" s="2185"/>
      <c r="V997" s="2185"/>
      <c r="W997" s="2185"/>
      <c r="X997" s="2185"/>
      <c r="Y997" s="2185"/>
      <c r="Z997" s="2185"/>
      <c r="AA997" s="2185"/>
      <c r="AB997" s="2185"/>
      <c r="AC997" s="2185"/>
      <c r="AD997" s="2185"/>
      <c r="AE997" s="2186"/>
      <c r="AF997" s="124"/>
      <c r="AG997" s="125"/>
      <c r="AH997" s="125"/>
      <c r="AI997" s="129"/>
      <c r="AJ997" s="1937"/>
      <c r="AK997" s="1938"/>
      <c r="AL997" s="1938"/>
      <c r="AM997" s="1938"/>
      <c r="AN997" s="1938"/>
      <c r="AO997" s="1938"/>
      <c r="AP997" s="1938"/>
      <c r="AQ997" s="1939"/>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26" t="s">
        <v>2100</v>
      </c>
      <c r="E998" s="1927"/>
      <c r="F998" s="1927"/>
      <c r="G998" s="1927"/>
      <c r="H998" s="1927"/>
      <c r="I998" s="1927"/>
      <c r="J998" s="1927"/>
      <c r="K998" s="1927"/>
      <c r="L998" s="1927"/>
      <c r="M998" s="1927"/>
      <c r="N998" s="1927"/>
      <c r="O998" s="1927"/>
      <c r="P998" s="1927"/>
      <c r="Q998" s="1927"/>
      <c r="R998" s="1927"/>
      <c r="S998" s="1927"/>
      <c r="T998" s="1927"/>
      <c r="U998" s="1927"/>
      <c r="V998" s="1927"/>
      <c r="W998" s="1927"/>
      <c r="X998" s="1927"/>
      <c r="Y998" s="1927"/>
      <c r="Z998" s="1927"/>
      <c r="AA998" s="1927"/>
      <c r="AB998" s="1927"/>
      <c r="AC998" s="1927"/>
      <c r="AD998" s="1927"/>
      <c r="AE998" s="1928"/>
      <c r="AF998" s="128"/>
      <c r="AG998" s="1929" t="s">
        <v>528</v>
      </c>
      <c r="AH998" s="1930"/>
      <c r="AI998" s="131"/>
      <c r="AJ998" s="1931">
        <f>ROUND(IF(AG998="yes",(AJ953*0.1),0),0)</f>
        <v>0</v>
      </c>
      <c r="AK998" s="1932"/>
      <c r="AL998" s="1932"/>
      <c r="AM998" s="1932"/>
      <c r="AN998" s="1932"/>
      <c r="AO998" s="1932"/>
      <c r="AP998" s="1932"/>
      <c r="AQ998" s="1933"/>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40" t="s">
        <v>2226</v>
      </c>
      <c r="E999" s="1941"/>
      <c r="F999" s="1941"/>
      <c r="G999" s="1941"/>
      <c r="H999" s="1941"/>
      <c r="I999" s="1941"/>
      <c r="J999" s="1941"/>
      <c r="K999" s="1941"/>
      <c r="L999" s="1941"/>
      <c r="M999" s="1941"/>
      <c r="N999" s="1941"/>
      <c r="O999" s="1941"/>
      <c r="P999" s="1941"/>
      <c r="Q999" s="1941"/>
      <c r="R999" s="1941"/>
      <c r="S999" s="1941"/>
      <c r="T999" s="1941"/>
      <c r="U999" s="1941"/>
      <c r="V999" s="1941"/>
      <c r="W999" s="1941"/>
      <c r="X999" s="1941"/>
      <c r="Y999" s="1941"/>
      <c r="Z999" s="1941"/>
      <c r="AA999" s="1941"/>
      <c r="AB999" s="1941"/>
      <c r="AC999" s="1941"/>
      <c r="AD999" s="1941"/>
      <c r="AE999" s="1942"/>
      <c r="AF999" s="124"/>
      <c r="AG999" s="125"/>
      <c r="AH999" s="125"/>
      <c r="AI999" s="129"/>
      <c r="AJ999" s="1937"/>
      <c r="AK999" s="1938"/>
      <c r="AL999" s="1938"/>
      <c r="AM999" s="1938"/>
      <c r="AN999" s="1938"/>
      <c r="AO999" s="1938"/>
      <c r="AP999" s="1938"/>
      <c r="AQ999" s="1939"/>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40"/>
      <c r="E1000" s="1941"/>
      <c r="F1000" s="1941"/>
      <c r="G1000" s="1941"/>
      <c r="H1000" s="1941"/>
      <c r="I1000" s="1941"/>
      <c r="J1000" s="1941"/>
      <c r="K1000" s="1941"/>
      <c r="L1000" s="1941"/>
      <c r="M1000" s="1941"/>
      <c r="N1000" s="1941"/>
      <c r="O1000" s="1941"/>
      <c r="P1000" s="1941"/>
      <c r="Q1000" s="1941"/>
      <c r="R1000" s="1941"/>
      <c r="S1000" s="1941"/>
      <c r="T1000" s="1941"/>
      <c r="U1000" s="1941"/>
      <c r="V1000" s="1941"/>
      <c r="W1000" s="1941"/>
      <c r="X1000" s="1941"/>
      <c r="Y1000" s="1941"/>
      <c r="Z1000" s="1941"/>
      <c r="AA1000" s="1941"/>
      <c r="AB1000" s="1941"/>
      <c r="AC1000" s="1941"/>
      <c r="AD1000" s="1941"/>
      <c r="AE1000" s="1942"/>
      <c r="AF1000" s="124"/>
      <c r="AG1000" s="125"/>
      <c r="AH1000" s="125"/>
      <c r="AI1000" s="129"/>
      <c r="AJ1000" s="1937"/>
      <c r="AK1000" s="1938"/>
      <c r="AL1000" s="1938"/>
      <c r="AM1000" s="1938"/>
      <c r="AN1000" s="1938"/>
      <c r="AO1000" s="1938"/>
      <c r="AP1000" s="1938"/>
      <c r="AQ1000" s="1939"/>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43"/>
      <c r="E1001" s="1944"/>
      <c r="F1001" s="1944"/>
      <c r="G1001" s="1944"/>
      <c r="H1001" s="1944"/>
      <c r="I1001" s="1944"/>
      <c r="J1001" s="1944"/>
      <c r="K1001" s="1944"/>
      <c r="L1001" s="1944"/>
      <c r="M1001" s="1944"/>
      <c r="N1001" s="1944"/>
      <c r="O1001" s="1944"/>
      <c r="P1001" s="1944"/>
      <c r="Q1001" s="1944"/>
      <c r="R1001" s="1944"/>
      <c r="S1001" s="1944"/>
      <c r="T1001" s="1944"/>
      <c r="U1001" s="1944"/>
      <c r="V1001" s="1944"/>
      <c r="W1001" s="1944"/>
      <c r="X1001" s="1944"/>
      <c r="Y1001" s="1944"/>
      <c r="Z1001" s="1944"/>
      <c r="AA1001" s="1944"/>
      <c r="AB1001" s="1944"/>
      <c r="AC1001" s="1944"/>
      <c r="AD1001" s="1944"/>
      <c r="AE1001" s="1945"/>
      <c r="AF1001" s="124"/>
      <c r="AG1001" s="125"/>
      <c r="AH1001" s="125"/>
      <c r="AI1001" s="129"/>
      <c r="AJ1001" s="1934"/>
      <c r="AK1001" s="1935"/>
      <c r="AL1001" s="1935"/>
      <c r="AM1001" s="1935"/>
      <c r="AN1001" s="1935"/>
      <c r="AO1001" s="1935"/>
      <c r="AP1001" s="1935"/>
      <c r="AQ1001" s="1936"/>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49" t="s">
        <v>812</v>
      </c>
      <c r="E1002" s="1949"/>
      <c r="F1002" s="1949"/>
      <c r="G1002" s="1949"/>
      <c r="H1002" s="1949"/>
      <c r="I1002" s="1949"/>
      <c r="J1002" s="1949"/>
      <c r="K1002" s="1949"/>
      <c r="L1002" s="1949"/>
      <c r="M1002" s="1949"/>
      <c r="N1002" s="1949"/>
      <c r="O1002" s="1949"/>
      <c r="P1002" s="1949"/>
      <c r="Q1002" s="1949"/>
      <c r="R1002" s="1949"/>
      <c r="S1002" s="1949"/>
      <c r="T1002" s="1949"/>
      <c r="U1002" s="1949"/>
      <c r="V1002" s="1949"/>
      <c r="W1002" s="1949"/>
      <c r="X1002" s="1949"/>
      <c r="Y1002" s="1949"/>
      <c r="Z1002" s="1949"/>
      <c r="AA1002" s="1949"/>
      <c r="AB1002" s="1949"/>
      <c r="AC1002" s="1949"/>
      <c r="AD1002" s="1949"/>
      <c r="AE1002" s="1949"/>
      <c r="AF1002" s="1949"/>
      <c r="AG1002" s="1949"/>
      <c r="AH1002" s="1949"/>
      <c r="AI1002" s="1950"/>
      <c r="AJ1002" s="1951">
        <f>SUM(AJ953:AQ1001)</f>
        <v>22260525</v>
      </c>
      <c r="AK1002" s="1952"/>
      <c r="AL1002" s="1952"/>
      <c r="AM1002" s="1952"/>
      <c r="AN1002" s="1952"/>
      <c r="AO1002" s="1952"/>
      <c r="AP1002" s="1952"/>
      <c r="AQ1002" s="1953"/>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19">
        <f>'Sources and Uses Budget'!S106+'Sources and Uses Budget'!T106</f>
        <v>23866844</v>
      </c>
      <c r="Y1006" s="1919"/>
      <c r="Z1006" s="1919"/>
      <c r="AA1006" s="1919"/>
      <c r="AB1006" s="1919"/>
      <c r="AC1006" s="1919"/>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15">
        <f>X1006/AJ1002</f>
        <v>1.072159978257476</v>
      </c>
      <c r="Y1007" s="1916"/>
      <c r="Z1007" s="1916"/>
      <c r="AA1007" s="1916"/>
      <c r="AB1007" s="1916"/>
      <c r="AC1007" s="1917"/>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72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20"/>
      <c r="F1008" s="1720"/>
      <c r="G1008" s="1720"/>
      <c r="H1008" s="1720"/>
      <c r="I1008" s="1720"/>
      <c r="J1008" s="1720"/>
      <c r="K1008" s="1720"/>
      <c r="L1008" s="1720"/>
      <c r="M1008" s="1720"/>
      <c r="N1008" s="1720"/>
      <c r="O1008" s="1720"/>
      <c r="P1008" s="1720"/>
      <c r="Q1008" s="1720"/>
      <c r="R1008" s="1720"/>
      <c r="S1008" s="1720"/>
      <c r="T1008" s="1720"/>
      <c r="U1008" s="1720"/>
      <c r="V1008" s="1720"/>
      <c r="W1008" s="1720"/>
      <c r="X1008" s="1720"/>
      <c r="Y1008" s="1720"/>
      <c r="Z1008" s="1720"/>
      <c r="AA1008" s="1720"/>
      <c r="AB1008" s="1720"/>
      <c r="AC1008" s="1720"/>
      <c r="AD1008" s="1720"/>
      <c r="AE1008" s="1720"/>
      <c r="AF1008" s="1720"/>
      <c r="AG1008" s="1720"/>
      <c r="AH1008" s="1720"/>
      <c r="AI1008" s="1720"/>
      <c r="AJ1008" s="1720"/>
      <c r="AK1008" s="172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720"/>
      <c r="E1009" s="1720"/>
      <c r="F1009" s="1720"/>
      <c r="G1009" s="1720"/>
      <c r="H1009" s="1720"/>
      <c r="I1009" s="1720"/>
      <c r="J1009" s="1720"/>
      <c r="K1009" s="1720"/>
      <c r="L1009" s="1720"/>
      <c r="M1009" s="1720"/>
      <c r="N1009" s="1720"/>
      <c r="O1009" s="1720"/>
      <c r="P1009" s="1720"/>
      <c r="Q1009" s="1720"/>
      <c r="R1009" s="1720"/>
      <c r="S1009" s="1720"/>
      <c r="T1009" s="1720"/>
      <c r="U1009" s="1720"/>
      <c r="V1009" s="1720"/>
      <c r="W1009" s="1720"/>
      <c r="X1009" s="1720"/>
      <c r="Y1009" s="1720"/>
      <c r="Z1009" s="1720"/>
      <c r="AA1009" s="1720"/>
      <c r="AB1009" s="1720"/>
      <c r="AC1009" s="1720"/>
      <c r="AD1009" s="1720"/>
      <c r="AE1009" s="1720"/>
      <c r="AF1009" s="1720"/>
      <c r="AG1009" s="1720"/>
      <c r="AH1009" s="1720"/>
      <c r="AI1009" s="1720"/>
      <c r="AJ1009" s="1720"/>
      <c r="AK1009" s="172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720"/>
      <c r="E1010" s="1720"/>
      <c r="F1010" s="1720"/>
      <c r="G1010" s="1720"/>
      <c r="H1010" s="1720"/>
      <c r="I1010" s="1720"/>
      <c r="J1010" s="1720"/>
      <c r="K1010" s="1720"/>
      <c r="L1010" s="1720"/>
      <c r="M1010" s="1720"/>
      <c r="N1010" s="1720"/>
      <c r="O1010" s="1720"/>
      <c r="P1010" s="1720"/>
      <c r="Q1010" s="1720"/>
      <c r="R1010" s="1720"/>
      <c r="S1010" s="1720"/>
      <c r="T1010" s="1720"/>
      <c r="U1010" s="1720"/>
      <c r="V1010" s="1720"/>
      <c r="W1010" s="1720"/>
      <c r="X1010" s="1720"/>
      <c r="Y1010" s="1720"/>
      <c r="Z1010" s="1720"/>
      <c r="AA1010" s="1720"/>
      <c r="AB1010" s="1720"/>
      <c r="AC1010" s="1720"/>
      <c r="AD1010" s="1720"/>
      <c r="AE1010" s="1720"/>
      <c r="AF1010" s="1720"/>
      <c r="AG1010" s="1720"/>
      <c r="AH1010" s="1720"/>
      <c r="AI1010" s="1720"/>
      <c r="AJ1010" s="1720"/>
      <c r="AK1010" s="172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8"/>
      <c r="D1011" s="1918"/>
      <c r="E1011" s="1918"/>
      <c r="F1011" s="1918"/>
      <c r="G1011" s="1918"/>
      <c r="H1011" s="1918"/>
      <c r="I1011" s="1918"/>
      <c r="J1011" s="1918"/>
      <c r="K1011" s="1918"/>
      <c r="L1011" s="1918"/>
      <c r="M1011" s="1918"/>
      <c r="N1011" s="1918"/>
      <c r="O1011" s="1918"/>
      <c r="P1011" s="1918"/>
      <c r="Q1011" s="1918"/>
      <c r="R1011" s="1918"/>
      <c r="S1011" s="1918"/>
      <c r="T1011" s="1918"/>
      <c r="U1011" s="1918"/>
      <c r="V1011" s="1918"/>
      <c r="W1011" s="1918"/>
      <c r="X1011" s="1918"/>
      <c r="Y1011" s="1918"/>
      <c r="Z1011" s="1918"/>
      <c r="AA1011" s="1918"/>
      <c r="AB1011" s="1918"/>
      <c r="AC1011" s="1918"/>
      <c r="AD1011" s="1918"/>
      <c r="AE1011" s="1918"/>
      <c r="AF1011" s="1918"/>
      <c r="AG1011" s="1918"/>
      <c r="AH1011" s="1918"/>
      <c r="AI1011" s="1918"/>
      <c r="AJ1011" s="1918"/>
      <c r="AK1011" s="191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18"/>
      <c r="C1012" s="1918"/>
      <c r="D1012" s="1918"/>
      <c r="E1012" s="1918"/>
      <c r="F1012" s="1918"/>
      <c r="G1012" s="1918"/>
      <c r="H1012" s="1918"/>
      <c r="I1012" s="1918"/>
      <c r="J1012" s="1918"/>
      <c r="K1012" s="1918"/>
      <c r="L1012" s="1918"/>
      <c r="M1012" s="1918"/>
      <c r="N1012" s="1918"/>
      <c r="O1012" s="1918"/>
      <c r="P1012" s="1918"/>
      <c r="Q1012" s="1918"/>
      <c r="R1012" s="1918"/>
      <c r="S1012" s="1918"/>
      <c r="T1012" s="1918"/>
      <c r="U1012" s="1918"/>
      <c r="V1012" s="1918"/>
      <c r="W1012" s="1918"/>
      <c r="X1012" s="1918"/>
      <c r="Y1012" s="1918"/>
      <c r="Z1012" s="1918"/>
      <c r="AA1012" s="1918"/>
      <c r="AB1012" s="1918"/>
      <c r="AC1012" s="1918"/>
      <c r="AD1012" s="1918"/>
      <c r="AE1012" s="1918"/>
      <c r="AF1012" s="1918"/>
      <c r="AG1012" s="1918"/>
      <c r="AH1012" s="1918"/>
      <c r="AI1012" s="1918"/>
      <c r="AJ1012" s="1918"/>
      <c r="AK1012" s="191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8">
        <f>IF(ISNA(IF((AD975&gt;(AD953*0.15)),"(f) cannot be greater than 15% of unadjusted eligible basis.",0)),"",(IF((AD975&gt;(AD953*0.15)),"(f) cannot be greater than 15% of unadjusted eligible basis.",0)))</f>
        <v>0</v>
      </c>
      <c r="C1013" s="1918"/>
      <c r="D1013" s="1918"/>
      <c r="E1013" s="1918"/>
      <c r="F1013" s="1918"/>
      <c r="G1013" s="1918"/>
      <c r="H1013" s="1918"/>
      <c r="I1013" s="1918"/>
      <c r="J1013" s="1918"/>
      <c r="K1013" s="1918"/>
      <c r="L1013" s="1918"/>
      <c r="M1013" s="1918"/>
      <c r="N1013" s="1918"/>
      <c r="O1013" s="1918"/>
      <c r="P1013" s="1918"/>
      <c r="Q1013" s="1918"/>
      <c r="R1013" s="1918"/>
      <c r="S1013" s="1918"/>
      <c r="T1013" s="1918"/>
      <c r="U1013" s="1918"/>
      <c r="V1013" s="1918"/>
      <c r="W1013" s="1918"/>
      <c r="X1013" s="1918"/>
      <c r="Y1013" s="1918"/>
      <c r="Z1013" s="1918"/>
      <c r="AA1013" s="1918"/>
      <c r="AB1013" s="1918"/>
      <c r="AC1013" s="1918"/>
      <c r="AD1013" s="1918"/>
      <c r="AE1013" s="1918"/>
      <c r="AF1013" s="1918"/>
      <c r="AG1013" s="1918"/>
      <c r="AH1013" s="1918"/>
      <c r="AI1013" s="1918"/>
      <c r="AJ1013" s="1918"/>
      <c r="AK1013" s="191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21" t="s">
        <v>1072</v>
      </c>
      <c r="B1014" s="1721"/>
      <c r="C1014" s="1721"/>
      <c r="D1014" s="1721"/>
      <c r="E1014" s="1721"/>
      <c r="F1014" s="1721"/>
      <c r="G1014" s="1721"/>
      <c r="H1014" s="1721"/>
      <c r="I1014" s="1721"/>
      <c r="J1014" s="1721"/>
      <c r="K1014" s="1721"/>
      <c r="L1014" s="1721"/>
      <c r="M1014" s="1721"/>
      <c r="N1014" s="1721"/>
      <c r="O1014" s="1721"/>
      <c r="P1014" s="1721"/>
      <c r="Q1014" s="1721"/>
      <c r="R1014" s="1721"/>
      <c r="S1014" s="1721"/>
      <c r="T1014" s="1721"/>
      <c r="U1014" s="1721"/>
      <c r="V1014" s="1721"/>
      <c r="W1014" s="1721"/>
      <c r="X1014" s="1721"/>
      <c r="Y1014" s="1721"/>
      <c r="Z1014" s="1721"/>
      <c r="AA1014" s="1721"/>
      <c r="AB1014" s="1721"/>
      <c r="AC1014" s="1721"/>
      <c r="AD1014" s="1721"/>
      <c r="AE1014" s="1721"/>
      <c r="AF1014" s="1721"/>
      <c r="AG1014" s="1721"/>
      <c r="AH1014" s="1721"/>
      <c r="AI1014" s="1721"/>
      <c r="AJ1014" s="1721"/>
      <c r="AK1014" s="172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7" t="s">
        <v>135</v>
      </c>
      <c r="B1018" s="1677"/>
      <c r="C1018" s="17">
        <v>1</v>
      </c>
      <c r="D1018" s="1586" t="s">
        <v>1658</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63"/>
      <c r="AU1020" s="1763"/>
      <c r="AV1020" s="1763"/>
      <c r="AW1020" s="1763"/>
      <c r="AX1020" s="1763"/>
      <c r="AY1020" s="176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77" t="s">
        <v>135</v>
      </c>
      <c r="B1024" s="1677"/>
      <c r="C1024" s="17">
        <v>2</v>
      </c>
      <c r="D1024" s="1585" t="s">
        <v>1659</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7" t="s">
        <v>135</v>
      </c>
      <c r="B1030" s="1677"/>
      <c r="C1030" s="17">
        <v>3</v>
      </c>
      <c r="D1030" s="1585" t="s">
        <v>2276</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7" t="s">
        <v>135</v>
      </c>
      <c r="B1036" s="1677"/>
      <c r="C1036" s="17">
        <v>4</v>
      </c>
      <c r="D1036" s="1585" t="s">
        <v>2271</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77" t="s">
        <v>135</v>
      </c>
      <c r="B1039" s="1677"/>
      <c r="C1039" s="17">
        <v>5</v>
      </c>
      <c r="D1039" s="1585" t="s">
        <v>1886</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7" t="s">
        <v>135</v>
      </c>
      <c r="B1044" s="1677"/>
      <c r="C1044" s="17">
        <v>6</v>
      </c>
      <c r="D1044" s="1586" t="s">
        <v>1660</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7" t="s">
        <v>135</v>
      </c>
      <c r="B1047" s="1677"/>
      <c r="C1047" s="541">
        <v>7</v>
      </c>
      <c r="D1047" s="1586" t="s">
        <v>1662</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7" t="s">
        <v>135</v>
      </c>
      <c r="B1051" s="1677"/>
      <c r="C1051" s="541">
        <v>8</v>
      </c>
      <c r="D1051" s="1585" t="s">
        <v>2240</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719" t="s">
        <v>135</v>
      </c>
      <c r="B1055" s="1719"/>
      <c r="C1055" s="541">
        <v>9</v>
      </c>
      <c r="D1055" s="1586" t="s">
        <v>1661</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AJ970:AQ972"/>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Y810:AB810"/>
    <mergeCell ref="W843:AC843"/>
    <mergeCell ref="W856:AC856"/>
    <mergeCell ref="M839:V839"/>
    <mergeCell ref="W824:AC824"/>
    <mergeCell ref="W833:AC833"/>
    <mergeCell ref="W832:AC832"/>
    <mergeCell ref="AA901:AF901"/>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Q805:T805"/>
    <mergeCell ref="M806:P806"/>
    <mergeCell ref="M808:P808"/>
    <mergeCell ref="AG806:AJ806"/>
    <mergeCell ref="AC807:AF807"/>
    <mergeCell ref="Q810:T810"/>
    <mergeCell ref="Q803:T803"/>
    <mergeCell ref="M803:P803"/>
    <mergeCell ref="M804:P804"/>
    <mergeCell ref="Q804:T804"/>
    <mergeCell ref="AN874:AO874"/>
    <mergeCell ref="AA933:AG933"/>
    <mergeCell ref="D958:AE958"/>
    <mergeCell ref="AG958:AH958"/>
    <mergeCell ref="AJ958:AQ963"/>
    <mergeCell ref="D969:AE969"/>
    <mergeCell ref="D970:AE97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O756:S756"/>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2:N722"/>
    <mergeCell ref="O722:S722"/>
    <mergeCell ref="T722:X722"/>
    <mergeCell ref="Y722:AB722"/>
    <mergeCell ref="AC722:AG722"/>
    <mergeCell ref="AH722:AL722"/>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Y716:AB716"/>
    <mergeCell ref="AC716:AG716"/>
    <mergeCell ref="AH716:AL716"/>
    <mergeCell ref="AC718:AG718"/>
    <mergeCell ref="AH718:AL718"/>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AM708:AO708"/>
    <mergeCell ref="K709:N709"/>
    <mergeCell ref="O709:S709"/>
    <mergeCell ref="T709:X709"/>
    <mergeCell ref="Y709:AB709"/>
    <mergeCell ref="AC709:AG709"/>
    <mergeCell ref="AH709:AL709"/>
    <mergeCell ref="AM709:AO709"/>
    <mergeCell ref="K710:N710"/>
    <mergeCell ref="O710:S710"/>
    <mergeCell ref="T710:X710"/>
    <mergeCell ref="AC710:AG710"/>
    <mergeCell ref="AH710:AL710"/>
    <mergeCell ref="AM710:AO710"/>
    <mergeCell ref="K711:N711"/>
    <mergeCell ref="O711:S711"/>
    <mergeCell ref="T711:X711"/>
    <mergeCell ref="Y711:AB711"/>
    <mergeCell ref="AC711:AG711"/>
    <mergeCell ref="AH711:AL711"/>
    <mergeCell ref="AM711:AO711"/>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84:AK684"/>
    <mergeCell ref="Z680:AK680"/>
    <mergeCell ref="G672:R672"/>
    <mergeCell ref="Z665:AK665"/>
    <mergeCell ref="Z667:AK667"/>
    <mergeCell ref="Z690:AK690"/>
    <mergeCell ref="AG678:AH678"/>
    <mergeCell ref="Z683:AK683"/>
    <mergeCell ref="AI692:AK692"/>
    <mergeCell ref="AG694:AH694"/>
    <mergeCell ref="Z658:AK658"/>
    <mergeCell ref="Z657:AK657"/>
    <mergeCell ref="G692:L692"/>
    <mergeCell ref="Z652:AE652"/>
    <mergeCell ref="C643:N643"/>
    <mergeCell ref="O643:Q643"/>
    <mergeCell ref="R643:T643"/>
    <mergeCell ref="U643:W643"/>
    <mergeCell ref="X643:AB643"/>
    <mergeCell ref="AC643:AE643"/>
    <mergeCell ref="AF643:AJ643"/>
    <mergeCell ref="AK643:AN643"/>
    <mergeCell ref="G650:R650"/>
    <mergeCell ref="G651:R651"/>
    <mergeCell ref="G652:L652"/>
    <mergeCell ref="H653:R653"/>
    <mergeCell ref="G658:R658"/>
    <mergeCell ref="G659:R659"/>
    <mergeCell ref="G657:R657"/>
    <mergeCell ref="G660:L660"/>
    <mergeCell ref="H661:R661"/>
    <mergeCell ref="Z649:AK649"/>
    <mergeCell ref="Z651:AK651"/>
    <mergeCell ref="Z650:AK650"/>
    <mergeCell ref="Z659:AK659"/>
    <mergeCell ref="AI660:AK660"/>
    <mergeCell ref="AC642:AE642"/>
    <mergeCell ref="AF642:AJ642"/>
    <mergeCell ref="AK642:AN642"/>
    <mergeCell ref="AO642:AS642"/>
    <mergeCell ref="AO643:AS643"/>
    <mergeCell ref="AO646:AS646"/>
    <mergeCell ref="K702:N705"/>
    <mergeCell ref="O702:S705"/>
    <mergeCell ref="T702:X705"/>
    <mergeCell ref="Y702:AB705"/>
    <mergeCell ref="AC702:AG705"/>
    <mergeCell ref="AH702:AL705"/>
    <mergeCell ref="AM702:AO705"/>
    <mergeCell ref="G684:L684"/>
    <mergeCell ref="N654:O654"/>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G667:R667"/>
    <mergeCell ref="H669:R669"/>
    <mergeCell ref="G702:J705"/>
    <mergeCell ref="G649:R649"/>
    <mergeCell ref="AI668:AK668"/>
    <mergeCell ref="AO639:AS639"/>
    <mergeCell ref="AC640:AE640"/>
    <mergeCell ref="AF640:AJ640"/>
    <mergeCell ref="AK640:AN640"/>
    <mergeCell ref="AO640:AS640"/>
    <mergeCell ref="X637:AB637"/>
    <mergeCell ref="AC637:AE637"/>
    <mergeCell ref="AF637:AJ637"/>
    <mergeCell ref="AK637:AN637"/>
    <mergeCell ref="C641:N641"/>
    <mergeCell ref="O641:Q641"/>
    <mergeCell ref="R641:T641"/>
    <mergeCell ref="U641:W641"/>
    <mergeCell ref="X641:AB641"/>
    <mergeCell ref="AC641:AE641"/>
    <mergeCell ref="AF641:AJ641"/>
    <mergeCell ref="AK641:AN641"/>
    <mergeCell ref="AO641:AS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W569:Y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C527:AF527"/>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D484:AH484"/>
    <mergeCell ref="Q494:AK494"/>
    <mergeCell ref="Q495:AK495"/>
    <mergeCell ref="AD490:AH490"/>
    <mergeCell ref="AD489:AH489"/>
    <mergeCell ref="T488:X488"/>
    <mergeCell ref="AD488:AH488"/>
    <mergeCell ref="AC507:AF507"/>
    <mergeCell ref="W464:Y464"/>
    <mergeCell ref="AG442:AJ442"/>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AG434:AJ434"/>
    <mergeCell ref="D446:AJ446"/>
    <mergeCell ref="B508:H509"/>
    <mergeCell ref="AG439:AJ439"/>
    <mergeCell ref="AH523:AK523"/>
    <mergeCell ref="AH524:AK524"/>
    <mergeCell ref="Y479:AC480"/>
    <mergeCell ref="D437:AF437"/>
    <mergeCell ref="D432:AF432"/>
    <mergeCell ref="W461:Y461"/>
    <mergeCell ref="AC521:AF521"/>
    <mergeCell ref="AC522:AF522"/>
    <mergeCell ref="AD485:AH485"/>
    <mergeCell ref="AC517:AF517"/>
    <mergeCell ref="AH517:AK517"/>
    <mergeCell ref="AC519:AF519"/>
    <mergeCell ref="AH543:AK543"/>
    <mergeCell ref="AH542:AK542"/>
    <mergeCell ref="AD486:AH486"/>
    <mergeCell ref="O541:AA541"/>
    <mergeCell ref="AH544:AK544"/>
    <mergeCell ref="AC542:AF542"/>
    <mergeCell ref="AH538:AK538"/>
    <mergeCell ref="AH514:AK514"/>
    <mergeCell ref="L515:AB515"/>
    <mergeCell ref="AC512:AF512"/>
    <mergeCell ref="AC508:AF508"/>
    <mergeCell ref="Q493:AK493"/>
    <mergeCell ref="AC513:AF513"/>
    <mergeCell ref="AC520:AF520"/>
    <mergeCell ref="AC524:AF524"/>
    <mergeCell ref="AC525:AF525"/>
    <mergeCell ref="AC523:AF523"/>
    <mergeCell ref="AH522:AK522"/>
    <mergeCell ref="AH520:AK520"/>
    <mergeCell ref="AH521:AK521"/>
    <mergeCell ref="AH525:AK525"/>
    <mergeCell ref="AC515:AF515"/>
    <mergeCell ref="AH515:AK515"/>
    <mergeCell ref="AC516:AF516"/>
    <mergeCell ref="AH516:AK516"/>
    <mergeCell ref="AC530:AF530"/>
    <mergeCell ref="O532:AA532"/>
    <mergeCell ref="AC532:AF532"/>
    <mergeCell ref="AC526:AF526"/>
    <mergeCell ref="Y489:AC489"/>
    <mergeCell ref="T489:X489"/>
    <mergeCell ref="Y490:AC490"/>
    <mergeCell ref="AC528:AF528"/>
    <mergeCell ref="AH529:AK529"/>
    <mergeCell ref="AG440:AJ440"/>
    <mergeCell ref="AC514:AF514"/>
    <mergeCell ref="AH513:AK513"/>
    <mergeCell ref="AH528:AK528"/>
    <mergeCell ref="Y488:AC488"/>
    <mergeCell ref="AH512:AK512"/>
    <mergeCell ref="AH530:AK530"/>
    <mergeCell ref="G719:J719"/>
    <mergeCell ref="G713:J713"/>
    <mergeCell ref="AK635:AN635"/>
    <mergeCell ref="C638:N638"/>
    <mergeCell ref="O638:Q638"/>
    <mergeCell ref="R638:T638"/>
    <mergeCell ref="U638:W638"/>
    <mergeCell ref="X638:AB638"/>
    <mergeCell ref="AC638:AE638"/>
    <mergeCell ref="AI652:AK652"/>
    <mergeCell ref="N620:O620"/>
    <mergeCell ref="W570:Y570"/>
    <mergeCell ref="Z570:AD570"/>
    <mergeCell ref="AE570:AH570"/>
    <mergeCell ref="AI570:AL570"/>
    <mergeCell ref="AC529:AF529"/>
    <mergeCell ref="AC538:AF538"/>
    <mergeCell ref="AC533:AF533"/>
    <mergeCell ref="Z569:AD569"/>
    <mergeCell ref="AE569:AH569"/>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T571:V571"/>
    <mergeCell ref="Z791:AE791"/>
    <mergeCell ref="U808:X808"/>
    <mergeCell ref="J773:N773"/>
    <mergeCell ref="Z591:AK591"/>
    <mergeCell ref="Z578:AE578"/>
    <mergeCell ref="AI578:AK578"/>
    <mergeCell ref="G584:R584"/>
    <mergeCell ref="AG588:AH588"/>
    <mergeCell ref="N588:O588"/>
    <mergeCell ref="Z590:AK590"/>
    <mergeCell ref="P586:R586"/>
    <mergeCell ref="Z583:AK583"/>
    <mergeCell ref="Z584:AK584"/>
    <mergeCell ref="G586:L586"/>
    <mergeCell ref="Z586:AE586"/>
    <mergeCell ref="D1047:AK1050"/>
    <mergeCell ref="AC872:AH872"/>
    <mergeCell ref="T836:V836"/>
    <mergeCell ref="AC809:AF809"/>
    <mergeCell ref="AG803:AJ803"/>
    <mergeCell ref="T770:W770"/>
    <mergeCell ref="X770:AB770"/>
    <mergeCell ref="AC770:AG770"/>
    <mergeCell ref="T771:W771"/>
    <mergeCell ref="X771:AB771"/>
    <mergeCell ref="AC771:AG771"/>
    <mergeCell ref="C740:AK747"/>
    <mergeCell ref="B737:AL738"/>
    <mergeCell ref="G720:J720"/>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AC801:AF802"/>
    <mergeCell ref="U810:X810"/>
    <mergeCell ref="G722:J722"/>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O762:S765"/>
    <mergeCell ref="O774:S774"/>
    <mergeCell ref="L920:S920"/>
    <mergeCell ref="U907:Z907"/>
    <mergeCell ref="AA894:AF894"/>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AO637:AS637"/>
    <mergeCell ref="AK638:AN638"/>
    <mergeCell ref="AO638:AS638"/>
    <mergeCell ref="AF638:AJ638"/>
    <mergeCell ref="C639:N639"/>
    <mergeCell ref="O639:Q639"/>
    <mergeCell ref="R639:T639"/>
    <mergeCell ref="U639:W639"/>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K612:BL612"/>
    <mergeCell ref="BG611:BH611"/>
    <mergeCell ref="BI615:BJ615"/>
    <mergeCell ref="BK615:BL615"/>
    <mergeCell ref="BK606:BL606"/>
    <mergeCell ref="BI625:BJ625"/>
    <mergeCell ref="BG613:BH613"/>
    <mergeCell ref="BG608:BH608"/>
    <mergeCell ref="AO634:AS634"/>
    <mergeCell ref="AO635:AS635"/>
    <mergeCell ref="C636:N636"/>
    <mergeCell ref="O636:Q636"/>
    <mergeCell ref="BE622:BF622"/>
    <mergeCell ref="BG622:BH622"/>
    <mergeCell ref="R635:T635"/>
    <mergeCell ref="AG662:AH662"/>
    <mergeCell ref="Z664:AK664"/>
    <mergeCell ref="P652:R652"/>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BE623:BF623"/>
    <mergeCell ref="BE618:BF618"/>
    <mergeCell ref="BG621:BH621"/>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G619:BH619"/>
    <mergeCell ref="BK620:BL620"/>
    <mergeCell ref="BI626:BJ626"/>
    <mergeCell ref="BI621:BJ621"/>
    <mergeCell ref="BE625:BF625"/>
    <mergeCell ref="BG625:BH625"/>
    <mergeCell ref="BI605:BJ605"/>
    <mergeCell ref="BI619:BJ619"/>
    <mergeCell ref="AH541:AK541"/>
    <mergeCell ref="Z582:AK582"/>
    <mergeCell ref="G582:R582"/>
    <mergeCell ref="AC546:AF546"/>
    <mergeCell ref="O538:AA538"/>
    <mergeCell ref="Z565:AD565"/>
    <mergeCell ref="AE565:AH565"/>
    <mergeCell ref="AI565:AL565"/>
    <mergeCell ref="AC534:AF534"/>
    <mergeCell ref="AH547:AK547"/>
    <mergeCell ref="AA579:AK579"/>
    <mergeCell ref="Z575:AK575"/>
    <mergeCell ref="Z574:AK574"/>
    <mergeCell ref="N580:O580"/>
    <mergeCell ref="Z577:AK577"/>
    <mergeCell ref="P578:R578"/>
    <mergeCell ref="Z576:AK576"/>
    <mergeCell ref="AI569:AL569"/>
    <mergeCell ref="W571:Y571"/>
    <mergeCell ref="Z571:AD571"/>
    <mergeCell ref="AE571:AH571"/>
    <mergeCell ref="C566:P566"/>
    <mergeCell ref="Q566:S566"/>
    <mergeCell ref="T566:V566"/>
    <mergeCell ref="W566:Y566"/>
    <mergeCell ref="Z566:AD566"/>
    <mergeCell ref="AE566:AH566"/>
    <mergeCell ref="AI566:AL566"/>
    <mergeCell ref="B572:AL572"/>
    <mergeCell ref="O529:AA529"/>
    <mergeCell ref="AH536:AK536"/>
    <mergeCell ref="C565:P565"/>
    <mergeCell ref="AG437:AJ437"/>
    <mergeCell ref="O535:AA535"/>
    <mergeCell ref="Q565:S565"/>
    <mergeCell ref="T565:V565"/>
    <mergeCell ref="W565:Y565"/>
    <mergeCell ref="G574:R574"/>
    <mergeCell ref="AH527:AK527"/>
    <mergeCell ref="AG441:AJ441"/>
    <mergeCell ref="T483:X483"/>
    <mergeCell ref="Y482:AC482"/>
    <mergeCell ref="Y484:AC484"/>
    <mergeCell ref="Y487:AC487"/>
    <mergeCell ref="AD482:AH482"/>
    <mergeCell ref="T481:X481"/>
    <mergeCell ref="C570:P570"/>
    <mergeCell ref="Q570:S570"/>
    <mergeCell ref="T570:V570"/>
    <mergeCell ref="AH519:AK519"/>
    <mergeCell ref="AH510:AK510"/>
    <mergeCell ref="W469:Y469"/>
    <mergeCell ref="B526:H548"/>
    <mergeCell ref="AH526:AK526"/>
    <mergeCell ref="AC540:AF540"/>
    <mergeCell ref="AH545:AK545"/>
    <mergeCell ref="AC545:AF545"/>
    <mergeCell ref="AC547:AF547"/>
    <mergeCell ref="AH546:AK546"/>
    <mergeCell ref="AC541:AF541"/>
    <mergeCell ref="AC537:AF53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C447:AF447"/>
    <mergeCell ref="AH509:AK509"/>
    <mergeCell ref="Q500:AK500"/>
    <mergeCell ref="AC509:AF509"/>
    <mergeCell ref="AC506:AK506"/>
    <mergeCell ref="D442:AF442"/>
    <mergeCell ref="AG443:AJ443"/>
    <mergeCell ref="AG388:AJ388"/>
    <mergeCell ref="I414:K414"/>
    <mergeCell ref="AD405:AE405"/>
    <mergeCell ref="S406:T406"/>
    <mergeCell ref="AH507:AK507"/>
    <mergeCell ref="Z427:AA427"/>
    <mergeCell ref="AG433:AJ433"/>
    <mergeCell ref="AG386:AJ386"/>
    <mergeCell ref="Q387:U387"/>
    <mergeCell ref="AG387:AJ387"/>
    <mergeCell ref="D459:V459"/>
    <mergeCell ref="T484:X484"/>
    <mergeCell ref="S394:U394"/>
    <mergeCell ref="AG394:AJ394"/>
    <mergeCell ref="S395:U395"/>
    <mergeCell ref="AE395:AJ395"/>
    <mergeCell ref="D399:AJ400"/>
    <mergeCell ref="T482:X482"/>
    <mergeCell ref="AD483:AH483"/>
    <mergeCell ref="W411:Y411"/>
    <mergeCell ref="AE423:AF423"/>
    <mergeCell ref="I411:K411"/>
    <mergeCell ref="D431:AF431"/>
    <mergeCell ref="D443:AF443"/>
    <mergeCell ref="K396:AJ396"/>
    <mergeCell ref="P417:Q417"/>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A340:AK340"/>
    <mergeCell ref="V370:W370"/>
    <mergeCell ref="P341:R341"/>
    <mergeCell ref="AA313:AK313"/>
    <mergeCell ref="H311:R311"/>
    <mergeCell ref="T280:V280"/>
    <mergeCell ref="H298:R298"/>
    <mergeCell ref="M255:T255"/>
    <mergeCell ref="AA305:AK305"/>
    <mergeCell ref="AA295:AK295"/>
    <mergeCell ref="AA267:AK267"/>
    <mergeCell ref="H290:R290"/>
    <mergeCell ref="W255:X255"/>
    <mergeCell ref="H293:M293"/>
    <mergeCell ref="M263:T263"/>
    <mergeCell ref="AB278:AD278"/>
    <mergeCell ref="AA309:AF309"/>
    <mergeCell ref="J381:U381"/>
    <mergeCell ref="V381:AJ381"/>
    <mergeCell ref="W162:X162"/>
    <mergeCell ref="O160:X160"/>
    <mergeCell ref="M254:AE254"/>
    <mergeCell ref="M264:AE264"/>
    <mergeCell ref="N364:Q364"/>
    <mergeCell ref="A473:AL474"/>
    <mergeCell ref="Y481:AC481"/>
    <mergeCell ref="M349:N349"/>
    <mergeCell ref="J178:K178"/>
    <mergeCell ref="M178:N178"/>
    <mergeCell ref="AD178:AH178"/>
    <mergeCell ref="E187:AE188"/>
    <mergeCell ref="AE215:AF215"/>
    <mergeCell ref="W458:Y458"/>
    <mergeCell ref="AD404:AE404"/>
    <mergeCell ref="Q383:U383"/>
    <mergeCell ref="AG383:AJ383"/>
    <mergeCell ref="H334:M334"/>
    <mergeCell ref="AA337:AK337"/>
    <mergeCell ref="AJ349:AK349"/>
    <mergeCell ref="H337:R337"/>
    <mergeCell ref="AA330:AK330"/>
    <mergeCell ref="AJ351:AK351"/>
    <mergeCell ref="A345:AL346"/>
    <mergeCell ref="AA343:AK343"/>
    <mergeCell ref="M351:N351"/>
    <mergeCell ref="I385:N385"/>
    <mergeCell ref="S385:U385"/>
    <mergeCell ref="AI385:AJ385"/>
    <mergeCell ref="Q386:U386"/>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A314:AK314"/>
    <mergeCell ref="AC255:AE255"/>
    <mergeCell ref="M256:AE256"/>
    <mergeCell ref="U257:W257"/>
    <mergeCell ref="H310:M310"/>
    <mergeCell ref="L281:AD281"/>
    <mergeCell ref="AA259:AK259"/>
    <mergeCell ref="L279:AD279"/>
    <mergeCell ref="X272:AC272"/>
    <mergeCell ref="H289:R289"/>
    <mergeCell ref="M262:AE262"/>
    <mergeCell ref="AA293:AF293"/>
    <mergeCell ref="AA298:AK298"/>
    <mergeCell ref="P293:R293"/>
    <mergeCell ref="AA306:AK306"/>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T487:X487"/>
    <mergeCell ref="AD481:AH481"/>
    <mergeCell ref="W465:Y465"/>
    <mergeCell ref="Y486:AC486"/>
    <mergeCell ref="T486:X486"/>
    <mergeCell ref="Y483:AC483"/>
    <mergeCell ref="AD487:AH487"/>
    <mergeCell ref="AH508:AK508"/>
    <mergeCell ref="AH511:AK511"/>
    <mergeCell ref="Q499:AK499"/>
    <mergeCell ref="L278:S278"/>
    <mergeCell ref="AF261:AK261"/>
    <mergeCell ref="O161:R161"/>
    <mergeCell ref="O156:AH156"/>
    <mergeCell ref="J379:U379"/>
    <mergeCell ref="AC379:AJ379"/>
    <mergeCell ref="J380:U380"/>
    <mergeCell ref="AC380:AJ380"/>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G591:R591"/>
    <mergeCell ref="AI586:AK586"/>
    <mergeCell ref="Z585:AK585"/>
    <mergeCell ref="G585:R585"/>
    <mergeCell ref="G583:R583"/>
    <mergeCell ref="AH548:AK548"/>
    <mergeCell ref="K716:N716"/>
    <mergeCell ref="O716:S716"/>
    <mergeCell ref="T716:X716"/>
    <mergeCell ref="Y710:AB710"/>
    <mergeCell ref="H595:R595"/>
    <mergeCell ref="G598:R598"/>
    <mergeCell ref="G606:R606"/>
    <mergeCell ref="Z602:AE602"/>
    <mergeCell ref="AI602:AK602"/>
    <mergeCell ref="AG596:AH596"/>
    <mergeCell ref="Z608:AK608"/>
    <mergeCell ref="AA603:AK603"/>
    <mergeCell ref="R629:T631"/>
    <mergeCell ref="AC632:AE632"/>
    <mergeCell ref="AF632:AJ632"/>
    <mergeCell ref="AK632:AN632"/>
    <mergeCell ref="C633:N633"/>
    <mergeCell ref="O633:Q633"/>
    <mergeCell ref="C634:N634"/>
    <mergeCell ref="O634:Q634"/>
    <mergeCell ref="R634:T634"/>
    <mergeCell ref="U634:W634"/>
    <mergeCell ref="X634:AB634"/>
    <mergeCell ref="AC634:AE634"/>
    <mergeCell ref="AF634:AJ634"/>
    <mergeCell ref="AK634:AN634"/>
    <mergeCell ref="AK629:AN631"/>
    <mergeCell ref="Z616:AK616"/>
    <mergeCell ref="AI610:AK610"/>
    <mergeCell ref="AA619:AK619"/>
    <mergeCell ref="C635:N635"/>
    <mergeCell ref="O635:Q635"/>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668:L668"/>
    <mergeCell ref="P676:R676"/>
    <mergeCell ref="Z689:AK689"/>
    <mergeCell ref="P692:R692"/>
    <mergeCell ref="H685:R685"/>
    <mergeCell ref="Z688:AK688"/>
    <mergeCell ref="P668:R668"/>
    <mergeCell ref="AA677:AK677"/>
    <mergeCell ref="P684:R684"/>
    <mergeCell ref="B708:F708"/>
    <mergeCell ref="B722:F722"/>
    <mergeCell ref="B731:F731"/>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54:S754"/>
    <mergeCell ref="G712:J712"/>
    <mergeCell ref="B710:F710"/>
    <mergeCell ref="B716:F716"/>
    <mergeCell ref="B714:F714"/>
    <mergeCell ref="B713:F713"/>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E924:AK924"/>
    <mergeCell ref="AA929:AG929"/>
    <mergeCell ref="L921:S921"/>
    <mergeCell ref="AE921:AK921"/>
    <mergeCell ref="Y808:AB808"/>
    <mergeCell ref="Y806:AB806"/>
    <mergeCell ref="C808:H808"/>
    <mergeCell ref="J775:N775"/>
    <mergeCell ref="J776:N776"/>
    <mergeCell ref="O776:S776"/>
    <mergeCell ref="G716:J716"/>
    <mergeCell ref="K706:N706"/>
    <mergeCell ref="AG373:AH373"/>
    <mergeCell ref="Y779:AC779"/>
    <mergeCell ref="G665:R66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H323:R323"/>
    <mergeCell ref="AA323:AK323"/>
    <mergeCell ref="B706:F706"/>
    <mergeCell ref="G715:J715"/>
    <mergeCell ref="Z794:AE794"/>
    <mergeCell ref="O769:S769"/>
    <mergeCell ref="B718:F718"/>
    <mergeCell ref="B712:F712"/>
    <mergeCell ref="H332:R332"/>
    <mergeCell ref="Z599:AK599"/>
    <mergeCell ref="AG604:AH604"/>
    <mergeCell ref="J774:N774"/>
    <mergeCell ref="P317:R317"/>
    <mergeCell ref="G731:J731"/>
    <mergeCell ref="O767:S767"/>
    <mergeCell ref="Z692:AE692"/>
    <mergeCell ref="G711:J711"/>
    <mergeCell ref="G718:J718"/>
    <mergeCell ref="J766:N766"/>
    <mergeCell ref="G721:J721"/>
    <mergeCell ref="AA693:AK693"/>
    <mergeCell ref="O706:S706"/>
    <mergeCell ref="G723:J723"/>
    <mergeCell ref="G724:J724"/>
    <mergeCell ref="AD370:AE370"/>
    <mergeCell ref="S370:T370"/>
    <mergeCell ref="AC363:AF363"/>
    <mergeCell ref="Q384:U384"/>
    <mergeCell ref="M352:N352"/>
    <mergeCell ref="H322:R322"/>
    <mergeCell ref="H324:R324"/>
    <mergeCell ref="H317:M317"/>
    <mergeCell ref="AA318:AF318"/>
    <mergeCell ref="Z601:AK601"/>
    <mergeCell ref="G594:L594"/>
    <mergeCell ref="P594:R594"/>
    <mergeCell ref="H326:M326"/>
    <mergeCell ref="H339:R339"/>
    <mergeCell ref="J762:N765"/>
    <mergeCell ref="O768:S768"/>
    <mergeCell ref="J769:N769"/>
    <mergeCell ref="AI325:AK325"/>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601:R601"/>
    <mergeCell ref="H603:R603"/>
    <mergeCell ref="N596:O596"/>
    <mergeCell ref="N604:O604"/>
    <mergeCell ref="Z656:AK656"/>
    <mergeCell ref="AG620:AH620"/>
    <mergeCell ref="Z618:AE618"/>
    <mergeCell ref="B723:F723"/>
    <mergeCell ref="J758:K758"/>
    <mergeCell ref="G714:J714"/>
    <mergeCell ref="G708:J708"/>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M240:AE240"/>
    <mergeCell ref="D167:Y167"/>
    <mergeCell ref="W237:X237"/>
    <mergeCell ref="M242:AE242"/>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F892:T893"/>
    <mergeCell ref="AA905:AF905"/>
    <mergeCell ref="Z876:AE876"/>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C807:H807"/>
    <mergeCell ref="AC806:AF806"/>
    <mergeCell ref="O734:R734"/>
    <mergeCell ref="AG734:AJ734"/>
    <mergeCell ref="Q809:T809"/>
    <mergeCell ref="B724:F724"/>
    <mergeCell ref="B720:F720"/>
    <mergeCell ref="G725:J725"/>
    <mergeCell ref="B717:F717"/>
    <mergeCell ref="M807:P807"/>
    <mergeCell ref="O773:S773"/>
    <mergeCell ref="Z786:AE786"/>
    <mergeCell ref="O729:S729"/>
    <mergeCell ref="AG809:AJ809"/>
    <mergeCell ref="Z795:AE795"/>
    <mergeCell ref="Y805:AB805"/>
    <mergeCell ref="AG801:AJ802"/>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U801:X802"/>
    <mergeCell ref="Y801:AB802"/>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1:R331"/>
    <mergeCell ref="D272:H272"/>
    <mergeCell ref="H306:R306"/>
    <mergeCell ref="AA289:AK28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A341:AF341"/>
    <mergeCell ref="AA334:AF334"/>
    <mergeCell ref="AA316:AK316"/>
    <mergeCell ref="AA329:AK329"/>
    <mergeCell ref="AA338:AK338"/>
    <mergeCell ref="J360:K360"/>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N366:AF367"/>
    <mergeCell ref="AC378:AJ378"/>
    <mergeCell ref="V375:W375"/>
    <mergeCell ref="AG372:AH372"/>
    <mergeCell ref="AA339:AK339"/>
    <mergeCell ref="H335:R335"/>
    <mergeCell ref="H338:R338"/>
    <mergeCell ref="E361:AH362"/>
    <mergeCell ref="AC364:AF364"/>
    <mergeCell ref="P333:R333"/>
    <mergeCell ref="N365:Q365"/>
    <mergeCell ref="D461:V461"/>
    <mergeCell ref="N363:Q363"/>
    <mergeCell ref="V374:W374"/>
    <mergeCell ref="N371:P371"/>
    <mergeCell ref="H333:M333"/>
    <mergeCell ref="AC635:AE635"/>
    <mergeCell ref="G575:R575"/>
    <mergeCell ref="G576:R576"/>
    <mergeCell ref="G577:R577"/>
    <mergeCell ref="G578:L578"/>
    <mergeCell ref="H579:R579"/>
    <mergeCell ref="AF635:AJ635"/>
    <mergeCell ref="Z598:AK598"/>
    <mergeCell ref="G615:R615"/>
    <mergeCell ref="G648:R648"/>
    <mergeCell ref="G618:L618"/>
    <mergeCell ref="H611:R611"/>
    <mergeCell ref="R632:T632"/>
    <mergeCell ref="U632:W632"/>
    <mergeCell ref="X632:AB632"/>
    <mergeCell ref="AA595:AK595"/>
    <mergeCell ref="AI594:AK594"/>
    <mergeCell ref="Z648:AK648"/>
    <mergeCell ref="G600:R600"/>
    <mergeCell ref="Z615:AK615"/>
    <mergeCell ref="U635:W635"/>
    <mergeCell ref="X635:AB635"/>
    <mergeCell ref="X639:AB639"/>
    <mergeCell ref="G593:R593"/>
    <mergeCell ref="AC639:AE639"/>
    <mergeCell ref="AF639:AJ639"/>
    <mergeCell ref="AK639:AN639"/>
    <mergeCell ref="C642:N642"/>
    <mergeCell ref="O642:Q642"/>
    <mergeCell ref="R642:T642"/>
    <mergeCell ref="U642:W642"/>
    <mergeCell ref="X642:AB642"/>
  </mergeCells>
  <phoneticPr fontId="0" type="noConversion"/>
  <conditionalFormatting sqref="AF990">
    <cfRule type="cellIs" dxfId="121" priority="2" stopIfTrue="1" operator="equal">
      <formula>"Please Enter Amount:"</formula>
    </cfRule>
  </conditionalFormatting>
  <conditionalFormatting sqref="B1013 B1011">
    <cfRule type="cellIs" dxfId="120" priority="7" stopIfTrue="1" operator="equal">
      <formula>#N/A</formula>
    </cfRule>
  </conditionalFormatting>
  <conditionalFormatting sqref="AG434:AJ434">
    <cfRule type="expression" dxfId="119" priority="9" stopIfTrue="1">
      <formula>"iserror(d31)"</formula>
    </cfRule>
  </conditionalFormatting>
  <conditionalFormatting sqref="AF978">
    <cfRule type="cellIs" dxfId="118" priority="3" stopIfTrue="1" operator="equal">
      <formula>"Please Enter Amount:"</formula>
    </cfRule>
  </conditionalFormatting>
  <conditionalFormatting sqref="AF983">
    <cfRule type="cellIs" dxfId="11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37" workbookViewId="0">
      <selection activeCell="A69" sqref="A69"/>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10" t="s">
        <v>200</v>
      </c>
      <c r="G1" s="2211"/>
      <c r="H1" s="2211"/>
      <c r="I1" s="2211"/>
      <c r="J1" s="2211"/>
      <c r="K1" s="2211"/>
      <c r="L1" s="2211"/>
      <c r="M1" s="2211"/>
      <c r="N1" s="2211"/>
      <c r="O1" s="2211"/>
      <c r="P1" s="2211"/>
      <c r="Q1" s="2211"/>
      <c r="R1" s="2212"/>
      <c r="S1" s="314"/>
      <c r="T1" s="313"/>
      <c r="U1" s="315"/>
    </row>
    <row r="2" spans="1:21" s="362" customFormat="1" ht="60" customHeight="1">
      <c r="A2" s="361"/>
      <c r="B2" s="362" t="s">
        <v>868</v>
      </c>
      <c r="C2" s="362" t="s">
        <v>562</v>
      </c>
      <c r="D2" s="432" t="s">
        <v>561</v>
      </c>
      <c r="E2" s="362" t="s">
        <v>869</v>
      </c>
      <c r="F2" s="363" t="str">
        <f>Application!B632&amp;Application!C632</f>
        <v>1)Pacific Western Bank Perm Loan</v>
      </c>
      <c r="G2" s="363" t="str">
        <f>Application!B633&amp;Application!C633</f>
        <v>2)Developer Capital - Excess Land</v>
      </c>
      <c r="H2" s="363" t="str">
        <f>Application!B634&amp;Application!C634</f>
        <v>3)Solar Tax Credit Equity</v>
      </c>
      <c r="I2" s="363" t="str">
        <f>Application!B635&amp;Application!C635</f>
        <v>4)City of Petaluma</v>
      </c>
      <c r="J2" s="363" t="str">
        <f>Application!B636&amp;Application!C636</f>
        <v xml:space="preserve">5)Developer Note </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10630000</v>
      </c>
      <c r="C4" s="371">
        <v>10630000</v>
      </c>
      <c r="D4" s="371"/>
      <c r="E4" s="371">
        <v>5464843</v>
      </c>
      <c r="F4" s="371"/>
      <c r="G4" s="371">
        <v>5165157</v>
      </c>
      <c r="H4" s="371"/>
      <c r="I4" s="371"/>
      <c r="J4" s="371"/>
      <c r="K4" s="371"/>
      <c r="L4" s="371"/>
      <c r="M4" s="371"/>
      <c r="N4" s="371"/>
      <c r="O4" s="371"/>
      <c r="P4" s="371"/>
      <c r="Q4" s="371"/>
      <c r="R4" s="371">
        <f>C4</f>
        <v>10630000</v>
      </c>
      <c r="S4" s="372"/>
      <c r="T4" s="372"/>
      <c r="U4" s="367"/>
    </row>
    <row r="5" spans="1:21" s="368" customFormat="1" ht="13.5">
      <c r="A5" s="464" t="s">
        <v>75</v>
      </c>
      <c r="B5" s="370">
        <f>SUM(C5+D5)</f>
        <v>0</v>
      </c>
      <c r="C5" s="371"/>
      <c r="D5" s="371"/>
      <c r="E5" s="371">
        <v>0</v>
      </c>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v>0</v>
      </c>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v>0</v>
      </c>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10630000</v>
      </c>
      <c r="C8" s="370">
        <f t="shared" ref="C8:R8" si="0">SUM(C4:C7)</f>
        <v>10630000</v>
      </c>
      <c r="D8" s="370">
        <f t="shared" si="0"/>
        <v>0</v>
      </c>
      <c r="E8" s="370">
        <f t="shared" si="0"/>
        <v>5464843</v>
      </c>
      <c r="F8" s="370">
        <f t="shared" si="0"/>
        <v>0</v>
      </c>
      <c r="G8" s="370">
        <f t="shared" si="0"/>
        <v>5165157</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10630000</v>
      </c>
      <c r="S8" s="372"/>
      <c r="T8" s="372"/>
      <c r="U8" s="367"/>
    </row>
    <row r="9" spans="1:21" s="368" customFormat="1">
      <c r="A9" s="369" t="s">
        <v>1885</v>
      </c>
      <c r="B9" s="370">
        <f>SUM(C9+D9)</f>
        <v>0</v>
      </c>
      <c r="C9" s="371">
        <v>0</v>
      </c>
      <c r="D9" s="371"/>
      <c r="E9" s="371">
        <v>0</v>
      </c>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10630000</v>
      </c>
      <c r="C12" s="370">
        <f t="shared" si="2"/>
        <v>10630000</v>
      </c>
      <c r="D12" s="370">
        <f t="shared" si="2"/>
        <v>0</v>
      </c>
      <c r="E12" s="370">
        <f t="shared" si="2"/>
        <v>5464843</v>
      </c>
      <c r="F12" s="370">
        <f t="shared" si="2"/>
        <v>0</v>
      </c>
      <c r="G12" s="370">
        <f t="shared" si="2"/>
        <v>5165157</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10630000</v>
      </c>
      <c r="S12" s="372"/>
      <c r="T12" s="372"/>
      <c r="U12" s="367"/>
    </row>
    <row r="13" spans="1:21" s="368" customFormat="1">
      <c r="A13" s="699" t="s">
        <v>1198</v>
      </c>
      <c r="B13" s="370">
        <f>SUM(C13+D13)</f>
        <v>0</v>
      </c>
      <c r="C13" s="371"/>
      <c r="D13" s="371"/>
      <c r="E13" s="371">
        <v>0</v>
      </c>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v>0</v>
      </c>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v>0</v>
      </c>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v>0</v>
      </c>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v>0</v>
      </c>
      <c r="D18" s="371"/>
      <c r="E18" s="371">
        <v>0</v>
      </c>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v>0</v>
      </c>
      <c r="D19" s="371"/>
      <c r="E19" s="371">
        <v>0</v>
      </c>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v>0</v>
      </c>
      <c r="D20" s="371"/>
      <c r="E20" s="371">
        <v>0</v>
      </c>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v>0</v>
      </c>
      <c r="D21" s="371"/>
      <c r="E21" s="371">
        <v>0</v>
      </c>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v>0</v>
      </c>
      <c r="D22" s="371"/>
      <c r="E22" s="371">
        <v>0</v>
      </c>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v>0</v>
      </c>
      <c r="D23" s="371"/>
      <c r="E23" s="371">
        <v>0</v>
      </c>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v>0</v>
      </c>
      <c r="D25" s="371"/>
      <c r="E25" s="371">
        <v>0</v>
      </c>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v>0</v>
      </c>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2847748</v>
      </c>
      <c r="C29" s="371">
        <v>2847748</v>
      </c>
      <c r="D29" s="371"/>
      <c r="E29" s="371">
        <f>+C29-SUM(F29:Q29)</f>
        <v>2847748</v>
      </c>
      <c r="F29" s="371">
        <v>0</v>
      </c>
      <c r="G29" s="371"/>
      <c r="H29" s="371"/>
      <c r="I29" s="371"/>
      <c r="J29" s="371"/>
      <c r="K29" s="371"/>
      <c r="L29" s="371"/>
      <c r="M29" s="371"/>
      <c r="N29" s="371"/>
      <c r="O29" s="371"/>
      <c r="P29" s="371"/>
      <c r="Q29" s="371"/>
      <c r="R29" s="371">
        <f t="shared" ref="R29:R37" si="7">SUM(E29:Q29)</f>
        <v>2847748</v>
      </c>
      <c r="S29" s="371">
        <f>+R29</f>
        <v>2847748</v>
      </c>
      <c r="T29" s="371"/>
      <c r="U29" s="367"/>
    </row>
    <row r="30" spans="1:21" s="368" customFormat="1">
      <c r="A30" s="369" t="s">
        <v>994</v>
      </c>
      <c r="B30" s="370">
        <f t="shared" si="6"/>
        <v>11350930</v>
      </c>
      <c r="C30" s="371">
        <v>11350930</v>
      </c>
      <c r="D30" s="371"/>
      <c r="E30" s="371">
        <f t="shared" ref="E30:E37" si="8">+C30-SUM(F30:Q30)</f>
        <v>5088640</v>
      </c>
      <c r="F30" s="371">
        <v>6050701</v>
      </c>
      <c r="G30" s="371"/>
      <c r="H30" s="371">
        <v>211589</v>
      </c>
      <c r="I30" s="371"/>
      <c r="J30" s="371"/>
      <c r="K30" s="371"/>
      <c r="L30" s="371"/>
      <c r="M30" s="371"/>
      <c r="N30" s="371"/>
      <c r="O30" s="371"/>
      <c r="P30" s="371"/>
      <c r="Q30" s="371"/>
      <c r="R30" s="371">
        <f t="shared" si="7"/>
        <v>11350930</v>
      </c>
      <c r="S30" s="371">
        <f t="shared" ref="S30:S37" si="9">+R30</f>
        <v>11350930</v>
      </c>
      <c r="T30" s="371"/>
      <c r="U30" s="367"/>
    </row>
    <row r="31" spans="1:21" s="368" customFormat="1">
      <c r="A31" s="369" t="s">
        <v>995</v>
      </c>
      <c r="B31" s="370">
        <f t="shared" si="6"/>
        <v>851921</v>
      </c>
      <c r="C31" s="371">
        <v>851921</v>
      </c>
      <c r="D31" s="371"/>
      <c r="E31" s="371">
        <f t="shared" si="8"/>
        <v>851921</v>
      </c>
      <c r="F31" s="371">
        <v>0</v>
      </c>
      <c r="G31" s="371"/>
      <c r="H31" s="371"/>
      <c r="I31" s="371"/>
      <c r="J31" s="371"/>
      <c r="K31" s="371"/>
      <c r="L31" s="371"/>
      <c r="M31" s="371"/>
      <c r="N31" s="371"/>
      <c r="O31" s="371"/>
      <c r="P31" s="371"/>
      <c r="Q31" s="371"/>
      <c r="R31" s="371">
        <f t="shared" si="7"/>
        <v>851921</v>
      </c>
      <c r="S31" s="371">
        <f t="shared" si="9"/>
        <v>851921</v>
      </c>
      <c r="T31" s="371"/>
      <c r="U31" s="367"/>
    </row>
    <row r="32" spans="1:21" s="368" customFormat="1">
      <c r="A32" s="369" t="s">
        <v>996</v>
      </c>
      <c r="B32" s="370">
        <f t="shared" si="6"/>
        <v>301012</v>
      </c>
      <c r="C32" s="371">
        <v>301012</v>
      </c>
      <c r="D32" s="371"/>
      <c r="E32" s="371">
        <f t="shared" si="8"/>
        <v>301012</v>
      </c>
      <c r="F32" s="371">
        <v>0</v>
      </c>
      <c r="G32" s="371"/>
      <c r="H32" s="371"/>
      <c r="I32" s="371"/>
      <c r="J32" s="371"/>
      <c r="K32" s="371"/>
      <c r="L32" s="371"/>
      <c r="M32" s="371"/>
      <c r="N32" s="371"/>
      <c r="O32" s="371"/>
      <c r="P32" s="371"/>
      <c r="Q32" s="371"/>
      <c r="R32" s="371">
        <f t="shared" si="7"/>
        <v>301012</v>
      </c>
      <c r="S32" s="371">
        <f t="shared" si="9"/>
        <v>301012</v>
      </c>
      <c r="T32" s="371"/>
      <c r="U32" s="367"/>
    </row>
    <row r="33" spans="1:21" s="368" customFormat="1">
      <c r="A33" s="369" t="s">
        <v>997</v>
      </c>
      <c r="B33" s="370">
        <f t="shared" si="6"/>
        <v>903036</v>
      </c>
      <c r="C33" s="371">
        <v>903036</v>
      </c>
      <c r="D33" s="371"/>
      <c r="E33" s="371">
        <f t="shared" si="8"/>
        <v>903036</v>
      </c>
      <c r="F33" s="371">
        <v>0</v>
      </c>
      <c r="G33" s="371"/>
      <c r="H33" s="371"/>
      <c r="I33" s="371"/>
      <c r="J33" s="371"/>
      <c r="K33" s="371"/>
      <c r="L33" s="371"/>
      <c r="M33" s="371"/>
      <c r="N33" s="371"/>
      <c r="O33" s="371"/>
      <c r="P33" s="371"/>
      <c r="Q33" s="371"/>
      <c r="R33" s="371">
        <f t="shared" si="7"/>
        <v>903036</v>
      </c>
      <c r="S33" s="371">
        <f t="shared" si="9"/>
        <v>903036</v>
      </c>
      <c r="T33" s="371"/>
      <c r="U33" s="367"/>
    </row>
    <row r="34" spans="1:21" s="368" customFormat="1">
      <c r="A34" s="369" t="s">
        <v>998</v>
      </c>
      <c r="B34" s="370">
        <f t="shared" si="6"/>
        <v>0</v>
      </c>
      <c r="C34" s="371"/>
      <c r="D34" s="371"/>
      <c r="E34" s="371">
        <f t="shared" si="8"/>
        <v>0</v>
      </c>
      <c r="F34" s="371">
        <v>0</v>
      </c>
      <c r="G34" s="371"/>
      <c r="H34" s="371"/>
      <c r="I34" s="371"/>
      <c r="J34" s="371"/>
      <c r="K34" s="371"/>
      <c r="L34" s="371"/>
      <c r="M34" s="371"/>
      <c r="N34" s="371"/>
      <c r="O34" s="371"/>
      <c r="P34" s="371"/>
      <c r="Q34" s="371"/>
      <c r="R34" s="371">
        <f t="shared" si="7"/>
        <v>0</v>
      </c>
      <c r="S34" s="371">
        <f t="shared" si="9"/>
        <v>0</v>
      </c>
      <c r="T34" s="371"/>
      <c r="U34" s="367"/>
    </row>
    <row r="35" spans="1:21" s="368" customFormat="1">
      <c r="A35" s="369" t="s">
        <v>999</v>
      </c>
      <c r="B35" s="370">
        <f t="shared" si="6"/>
        <v>208059</v>
      </c>
      <c r="C35" s="371">
        <v>208059</v>
      </c>
      <c r="D35" s="371"/>
      <c r="E35" s="371">
        <f t="shared" si="8"/>
        <v>208059</v>
      </c>
      <c r="F35" s="371">
        <v>0</v>
      </c>
      <c r="G35" s="371"/>
      <c r="H35" s="371"/>
      <c r="I35" s="371"/>
      <c r="J35" s="371"/>
      <c r="K35" s="371"/>
      <c r="L35" s="371"/>
      <c r="M35" s="371"/>
      <c r="N35" s="371"/>
      <c r="O35" s="371"/>
      <c r="P35" s="371"/>
      <c r="Q35" s="371"/>
      <c r="R35" s="371">
        <f t="shared" si="7"/>
        <v>208059</v>
      </c>
      <c r="S35" s="371">
        <f t="shared" si="9"/>
        <v>208059</v>
      </c>
      <c r="T35" s="371"/>
      <c r="U35" s="367"/>
    </row>
    <row r="36" spans="1:21" s="368" customFormat="1">
      <c r="A36" s="380" t="s">
        <v>2164</v>
      </c>
      <c r="B36" s="370">
        <f t="shared" si="6"/>
        <v>0</v>
      </c>
      <c r="C36" s="371"/>
      <c r="D36" s="371"/>
      <c r="E36" s="371">
        <f t="shared" si="8"/>
        <v>0</v>
      </c>
      <c r="F36" s="371"/>
      <c r="G36" s="371"/>
      <c r="H36" s="371"/>
      <c r="I36" s="371"/>
      <c r="J36" s="371"/>
      <c r="K36" s="371"/>
      <c r="L36" s="371"/>
      <c r="M36" s="371"/>
      <c r="N36" s="371"/>
      <c r="O36" s="371"/>
      <c r="P36" s="371"/>
      <c r="Q36" s="371"/>
      <c r="R36" s="371">
        <f t="shared" si="7"/>
        <v>0</v>
      </c>
      <c r="S36" s="371">
        <f t="shared" si="9"/>
        <v>0</v>
      </c>
      <c r="T36" s="371"/>
      <c r="U36" s="367"/>
    </row>
    <row r="37" spans="1:21" s="368" customFormat="1">
      <c r="A37" s="376" t="s">
        <v>589</v>
      </c>
      <c r="B37" s="370">
        <f t="shared" si="6"/>
        <v>0</v>
      </c>
      <c r="C37" s="371"/>
      <c r="D37" s="371"/>
      <c r="E37" s="371">
        <f t="shared" si="8"/>
        <v>0</v>
      </c>
      <c r="F37" s="371"/>
      <c r="G37" s="371"/>
      <c r="H37" s="371"/>
      <c r="I37" s="371"/>
      <c r="J37" s="371"/>
      <c r="K37" s="371"/>
      <c r="L37" s="371"/>
      <c r="M37" s="371"/>
      <c r="N37" s="371"/>
      <c r="O37" s="371"/>
      <c r="P37" s="371"/>
      <c r="Q37" s="371"/>
      <c r="R37" s="371">
        <f t="shared" si="7"/>
        <v>0</v>
      </c>
      <c r="S37" s="371">
        <f t="shared" si="9"/>
        <v>0</v>
      </c>
      <c r="T37" s="371"/>
      <c r="U37" s="367"/>
    </row>
    <row r="38" spans="1:21" s="368" customFormat="1">
      <c r="A38" s="373" t="s">
        <v>1002</v>
      </c>
      <c r="B38" s="370">
        <f t="shared" si="6"/>
        <v>16462706</v>
      </c>
      <c r="C38" s="370">
        <f>SUM(C29:C37)</f>
        <v>16462706</v>
      </c>
      <c r="D38" s="370">
        <f>SUM(D29:D37)</f>
        <v>0</v>
      </c>
      <c r="E38" s="370">
        <f>SUM(E29:E37)</f>
        <v>10200416</v>
      </c>
      <c r="F38" s="370">
        <f t="shared" ref="F38:T38" si="10">SUM(F29:F37)</f>
        <v>6050701</v>
      </c>
      <c r="G38" s="370">
        <f t="shared" si="10"/>
        <v>0</v>
      </c>
      <c r="H38" s="370">
        <f t="shared" si="10"/>
        <v>211589</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16462706</v>
      </c>
      <c r="S38" s="374">
        <f t="shared" si="10"/>
        <v>16462706</v>
      </c>
      <c r="T38" s="374">
        <f t="shared" si="10"/>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325094</v>
      </c>
      <c r="C40" s="371">
        <v>325094</v>
      </c>
      <c r="D40" s="371"/>
      <c r="E40" s="371">
        <f t="shared" ref="E40:E41" si="11">+C40-SUM(F40:Q40)</f>
        <v>214221</v>
      </c>
      <c r="F40" s="371"/>
      <c r="G40" s="371"/>
      <c r="H40" s="371"/>
      <c r="I40" s="371">
        <v>110873</v>
      </c>
      <c r="J40" s="371"/>
      <c r="K40" s="371"/>
      <c r="L40" s="371"/>
      <c r="M40" s="371"/>
      <c r="N40" s="371"/>
      <c r="O40" s="371"/>
      <c r="P40" s="371"/>
      <c r="Q40" s="371"/>
      <c r="R40" s="371">
        <f>SUM(E40:Q40)</f>
        <v>325094</v>
      </c>
      <c r="S40" s="371">
        <f>+R40</f>
        <v>325094</v>
      </c>
      <c r="T40" s="371"/>
      <c r="U40" s="367"/>
    </row>
    <row r="41" spans="1:21" s="368" customFormat="1">
      <c r="A41" s="369" t="s">
        <v>1005</v>
      </c>
      <c r="B41" s="370">
        <f>SUM(C41+D41)</f>
        <v>162546</v>
      </c>
      <c r="C41" s="371">
        <v>162546</v>
      </c>
      <c r="D41" s="371"/>
      <c r="E41" s="371">
        <f t="shared" si="11"/>
        <v>162546</v>
      </c>
      <c r="F41" s="371"/>
      <c r="G41" s="371"/>
      <c r="H41" s="371"/>
      <c r="I41" s="371"/>
      <c r="J41" s="371"/>
      <c r="K41" s="371"/>
      <c r="L41" s="371"/>
      <c r="M41" s="371"/>
      <c r="N41" s="371"/>
      <c r="O41" s="371"/>
      <c r="P41" s="371"/>
      <c r="Q41" s="371"/>
      <c r="R41" s="371">
        <f>SUM(E41:Q41)</f>
        <v>162546</v>
      </c>
      <c r="S41" s="371">
        <f>+R41</f>
        <v>162546</v>
      </c>
      <c r="T41" s="371"/>
      <c r="U41" s="367"/>
    </row>
    <row r="42" spans="1:21" s="368" customFormat="1">
      <c r="A42" s="373" t="s">
        <v>1006</v>
      </c>
      <c r="B42" s="370">
        <f>SUM(C42:D42)</f>
        <v>487640</v>
      </c>
      <c r="C42" s="370">
        <f>SUM(C39:C41)</f>
        <v>487640</v>
      </c>
      <c r="D42" s="370">
        <f>SUM(D39:D41)</f>
        <v>0</v>
      </c>
      <c r="E42" s="370">
        <f t="shared" ref="E42:T42" si="12">SUM(E40:E41)</f>
        <v>376767</v>
      </c>
      <c r="F42" s="370">
        <f t="shared" si="12"/>
        <v>0</v>
      </c>
      <c r="G42" s="370">
        <f t="shared" si="12"/>
        <v>0</v>
      </c>
      <c r="H42" s="370">
        <f t="shared" si="12"/>
        <v>0</v>
      </c>
      <c r="I42" s="370">
        <f t="shared" si="12"/>
        <v>110873</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487640</v>
      </c>
      <c r="S42" s="374">
        <f t="shared" si="12"/>
        <v>487640</v>
      </c>
      <c r="T42" s="374">
        <f t="shared" si="12"/>
        <v>0</v>
      </c>
      <c r="U42" s="367"/>
    </row>
    <row r="43" spans="1:21" s="368" customFormat="1">
      <c r="A43" s="373" t="s">
        <v>1007</v>
      </c>
      <c r="B43" s="370">
        <f>SUM(C43:D43)</f>
        <v>500000</v>
      </c>
      <c r="C43" s="371">
        <v>500000</v>
      </c>
      <c r="D43" s="371"/>
      <c r="E43" s="371">
        <v>436626</v>
      </c>
      <c r="F43" s="371"/>
      <c r="G43" s="371"/>
      <c r="H43" s="371"/>
      <c r="I43" s="371">
        <v>63374</v>
      </c>
      <c r="J43" s="371"/>
      <c r="K43" s="371"/>
      <c r="L43" s="371"/>
      <c r="M43" s="371"/>
      <c r="N43" s="371"/>
      <c r="O43" s="371"/>
      <c r="P43" s="371"/>
      <c r="Q43" s="371"/>
      <c r="R43" s="371">
        <f>SUM(E43:Q43)</f>
        <v>500000</v>
      </c>
      <c r="S43" s="371">
        <f>+R43</f>
        <v>500000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3">SUM(C45+D45)</f>
        <v>1432240</v>
      </c>
      <c r="C45" s="371">
        <v>1432240</v>
      </c>
      <c r="D45" s="371"/>
      <c r="E45" s="371">
        <f>+C45-SUM(F45:Q45)</f>
        <v>1432240</v>
      </c>
      <c r="F45" s="371">
        <v>0</v>
      </c>
      <c r="G45" s="371"/>
      <c r="H45" s="371"/>
      <c r="I45" s="371"/>
      <c r="J45" s="371"/>
      <c r="K45" s="371"/>
      <c r="L45" s="371"/>
      <c r="M45" s="371"/>
      <c r="N45" s="371"/>
      <c r="O45" s="371"/>
      <c r="P45" s="371"/>
      <c r="Q45" s="371"/>
      <c r="R45" s="371">
        <f t="shared" ref="R45:R52" si="14">SUM(E45:Q45)</f>
        <v>1432240</v>
      </c>
      <c r="S45" s="371">
        <v>528680</v>
      </c>
      <c r="T45" s="371"/>
      <c r="U45" s="367"/>
    </row>
    <row r="46" spans="1:21" s="368" customFormat="1">
      <c r="A46" s="369" t="s">
        <v>1010</v>
      </c>
      <c r="B46" s="370">
        <f t="shared" si="13"/>
        <v>202937</v>
      </c>
      <c r="C46" s="371">
        <v>202937</v>
      </c>
      <c r="D46" s="371"/>
      <c r="E46" s="371">
        <f t="shared" ref="E46:E51" si="15">+C46-SUM(F46:Q46)</f>
        <v>43487</v>
      </c>
      <c r="F46" s="371"/>
      <c r="G46" s="371"/>
      <c r="H46" s="371"/>
      <c r="I46" s="371">
        <v>159450</v>
      </c>
      <c r="J46" s="371"/>
      <c r="K46" s="371"/>
      <c r="L46" s="371"/>
      <c r="M46" s="371"/>
      <c r="N46" s="371"/>
      <c r="O46" s="371"/>
      <c r="P46" s="371"/>
      <c r="Q46" s="371"/>
      <c r="R46" s="371">
        <f t="shared" si="14"/>
        <v>202937</v>
      </c>
      <c r="S46" s="371">
        <f>+R46</f>
        <v>202937</v>
      </c>
      <c r="T46" s="371"/>
      <c r="U46" s="367"/>
    </row>
    <row r="47" spans="1:21" s="368" customFormat="1" ht="12" customHeight="1">
      <c r="A47" s="369" t="s">
        <v>1011</v>
      </c>
      <c r="B47" s="370">
        <f t="shared" si="13"/>
        <v>35000</v>
      </c>
      <c r="C47" s="371">
        <v>35000</v>
      </c>
      <c r="D47" s="371"/>
      <c r="E47" s="371">
        <f t="shared" si="15"/>
        <v>35000</v>
      </c>
      <c r="F47" s="371"/>
      <c r="G47" s="371"/>
      <c r="H47" s="371"/>
      <c r="I47" s="371"/>
      <c r="J47" s="371"/>
      <c r="K47" s="371"/>
      <c r="L47" s="371"/>
      <c r="M47" s="371"/>
      <c r="N47" s="371"/>
      <c r="O47" s="371"/>
      <c r="P47" s="371"/>
      <c r="Q47" s="371"/>
      <c r="R47" s="371">
        <f t="shared" si="14"/>
        <v>35000</v>
      </c>
      <c r="S47" s="371">
        <f t="shared" ref="S47:S52" si="16">+R47</f>
        <v>35000</v>
      </c>
      <c r="T47" s="371"/>
      <c r="U47" s="367"/>
    </row>
    <row r="48" spans="1:21" s="368" customFormat="1">
      <c r="A48" s="369" t="s">
        <v>1012</v>
      </c>
      <c r="B48" s="370">
        <f t="shared" si="13"/>
        <v>0</v>
      </c>
      <c r="C48" s="371"/>
      <c r="D48" s="371"/>
      <c r="E48" s="371">
        <f t="shared" si="15"/>
        <v>0</v>
      </c>
      <c r="F48" s="371"/>
      <c r="G48" s="371"/>
      <c r="H48" s="371"/>
      <c r="I48" s="371"/>
      <c r="J48" s="371"/>
      <c r="K48" s="371"/>
      <c r="L48" s="371"/>
      <c r="M48" s="371"/>
      <c r="N48" s="371"/>
      <c r="O48" s="371"/>
      <c r="P48" s="371"/>
      <c r="Q48" s="371"/>
      <c r="R48" s="371">
        <f t="shared" si="14"/>
        <v>0</v>
      </c>
      <c r="S48" s="371">
        <f t="shared" si="16"/>
        <v>0</v>
      </c>
      <c r="T48" s="371"/>
      <c r="U48" s="367"/>
    </row>
    <row r="49" spans="1:21" s="368" customFormat="1">
      <c r="A49" s="369" t="s">
        <v>1015</v>
      </c>
      <c r="B49" s="370">
        <f t="shared" si="13"/>
        <v>40000</v>
      </c>
      <c r="C49" s="371">
        <v>40000</v>
      </c>
      <c r="D49" s="371"/>
      <c r="E49" s="371">
        <f t="shared" si="15"/>
        <v>30000</v>
      </c>
      <c r="F49" s="371"/>
      <c r="G49" s="371"/>
      <c r="H49" s="371"/>
      <c r="I49" s="371">
        <v>10000</v>
      </c>
      <c r="J49" s="371"/>
      <c r="K49" s="371"/>
      <c r="L49" s="371"/>
      <c r="M49" s="371"/>
      <c r="N49" s="371"/>
      <c r="O49" s="371"/>
      <c r="P49" s="371"/>
      <c r="Q49" s="371"/>
      <c r="R49" s="371">
        <f t="shared" si="14"/>
        <v>40000</v>
      </c>
      <c r="S49" s="371">
        <f t="shared" si="16"/>
        <v>40000</v>
      </c>
      <c r="T49" s="371"/>
      <c r="U49" s="367"/>
    </row>
    <row r="50" spans="1:21" s="368" customFormat="1">
      <c r="A50" s="369" t="s">
        <v>1013</v>
      </c>
      <c r="B50" s="370">
        <f t="shared" si="13"/>
        <v>212600</v>
      </c>
      <c r="C50" s="371">
        <v>212600</v>
      </c>
      <c r="D50" s="371"/>
      <c r="E50" s="371">
        <f t="shared" si="15"/>
        <v>212600</v>
      </c>
      <c r="F50" s="371"/>
      <c r="G50" s="371"/>
      <c r="H50" s="371"/>
      <c r="I50" s="371"/>
      <c r="J50" s="371"/>
      <c r="K50" s="371"/>
      <c r="L50" s="371"/>
      <c r="M50" s="371"/>
      <c r="N50" s="371"/>
      <c r="O50" s="371"/>
      <c r="P50" s="371"/>
      <c r="Q50" s="371"/>
      <c r="R50" s="371">
        <f t="shared" si="14"/>
        <v>212600</v>
      </c>
      <c r="S50" s="371">
        <f t="shared" si="16"/>
        <v>212600</v>
      </c>
      <c r="T50" s="371"/>
      <c r="U50" s="367"/>
    </row>
    <row r="51" spans="1:21" s="368" customFormat="1">
      <c r="A51" s="369" t="s">
        <v>1014</v>
      </c>
      <c r="B51" s="370">
        <f t="shared" si="13"/>
        <v>0</v>
      </c>
      <c r="C51" s="371"/>
      <c r="D51" s="371"/>
      <c r="E51" s="371">
        <f t="shared" si="15"/>
        <v>0</v>
      </c>
      <c r="F51" s="371"/>
      <c r="G51" s="371"/>
      <c r="H51" s="371"/>
      <c r="I51" s="371"/>
      <c r="J51" s="371"/>
      <c r="K51" s="371"/>
      <c r="L51" s="371"/>
      <c r="M51" s="371"/>
      <c r="N51" s="371"/>
      <c r="O51" s="371"/>
      <c r="P51" s="371"/>
      <c r="Q51" s="371"/>
      <c r="R51" s="371">
        <f t="shared" si="14"/>
        <v>0</v>
      </c>
      <c r="S51" s="371">
        <f t="shared" si="16"/>
        <v>0</v>
      </c>
      <c r="T51" s="371"/>
      <c r="U51" s="367"/>
    </row>
    <row r="52" spans="1:21" s="368" customFormat="1">
      <c r="A52" s="376" t="s">
        <v>2476</v>
      </c>
      <c r="B52" s="370">
        <f t="shared" si="13"/>
        <v>20000</v>
      </c>
      <c r="C52" s="371">
        <v>20000</v>
      </c>
      <c r="D52" s="371"/>
      <c r="E52" s="371">
        <f>+C52-SUM(F52:Q52)</f>
        <v>20000</v>
      </c>
      <c r="F52" s="371"/>
      <c r="G52" s="371"/>
      <c r="H52" s="371"/>
      <c r="I52" s="371"/>
      <c r="J52" s="371"/>
      <c r="K52" s="371"/>
      <c r="L52" s="371"/>
      <c r="M52" s="371"/>
      <c r="N52" s="371"/>
      <c r="O52" s="371"/>
      <c r="P52" s="371"/>
      <c r="Q52" s="371"/>
      <c r="R52" s="371">
        <f t="shared" si="14"/>
        <v>20000</v>
      </c>
      <c r="S52" s="371">
        <f t="shared" si="16"/>
        <v>20000</v>
      </c>
      <c r="T52" s="371"/>
      <c r="U52" s="367"/>
    </row>
    <row r="53" spans="1:21" s="378" customFormat="1">
      <c r="A53" s="373" t="s">
        <v>1016</v>
      </c>
      <c r="B53" s="374">
        <f>SUM(C53:D53)</f>
        <v>1942777</v>
      </c>
      <c r="C53" s="374">
        <f t="shared" ref="C53:T53" si="17">SUM(C45:C52)</f>
        <v>1942777</v>
      </c>
      <c r="D53" s="374">
        <f t="shared" si="17"/>
        <v>0</v>
      </c>
      <c r="E53" s="374">
        <f t="shared" si="17"/>
        <v>1773327</v>
      </c>
      <c r="F53" s="374">
        <f t="shared" si="17"/>
        <v>0</v>
      </c>
      <c r="G53" s="374">
        <f t="shared" si="17"/>
        <v>0</v>
      </c>
      <c r="H53" s="374">
        <f t="shared" si="17"/>
        <v>0</v>
      </c>
      <c r="I53" s="374">
        <f t="shared" si="17"/>
        <v>169450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1942777</v>
      </c>
      <c r="S53" s="374">
        <f t="shared" si="17"/>
        <v>1039217</v>
      </c>
      <c r="T53" s="374">
        <f t="shared" si="17"/>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8">SUM(C55+D55)</f>
        <v>0</v>
      </c>
      <c r="C55" s="371">
        <v>0</v>
      </c>
      <c r="D55" s="371"/>
      <c r="E55" s="371">
        <f t="shared" ref="E55:E60" si="19">+C55-SUM(F55:Q55)</f>
        <v>0</v>
      </c>
      <c r="F55" s="371"/>
      <c r="G55" s="371"/>
      <c r="H55" s="371"/>
      <c r="I55" s="371"/>
      <c r="J55" s="371"/>
      <c r="K55" s="371"/>
      <c r="L55" s="371"/>
      <c r="M55" s="371"/>
      <c r="N55" s="371"/>
      <c r="O55" s="371"/>
      <c r="P55" s="371"/>
      <c r="Q55" s="371"/>
      <c r="R55" s="371">
        <f t="shared" ref="R55:R60" si="20">SUM(E55:Q55)</f>
        <v>0</v>
      </c>
      <c r="S55" s="372"/>
      <c r="T55" s="372"/>
      <c r="U55" s="367"/>
    </row>
    <row r="56" spans="1:21" s="368" customFormat="1" ht="12" customHeight="1">
      <c r="A56" s="369" t="s">
        <v>1011</v>
      </c>
      <c r="B56" s="370">
        <f t="shared" si="18"/>
        <v>10000</v>
      </c>
      <c r="C56" s="371">
        <v>10000</v>
      </c>
      <c r="D56" s="371"/>
      <c r="E56" s="371">
        <f t="shared" si="19"/>
        <v>10000</v>
      </c>
      <c r="F56" s="371"/>
      <c r="G56" s="371"/>
      <c r="H56" s="371"/>
      <c r="I56" s="371"/>
      <c r="J56" s="371"/>
      <c r="K56" s="371"/>
      <c r="L56" s="371"/>
      <c r="M56" s="371"/>
      <c r="N56" s="371"/>
      <c r="O56" s="371"/>
      <c r="P56" s="371"/>
      <c r="Q56" s="371"/>
      <c r="R56" s="371">
        <f t="shared" si="20"/>
        <v>10000</v>
      </c>
      <c r="S56" s="372"/>
      <c r="T56" s="372"/>
      <c r="U56" s="367"/>
    </row>
    <row r="57" spans="1:21" s="368" customFormat="1">
      <c r="A57" s="369" t="s">
        <v>1015</v>
      </c>
      <c r="B57" s="370">
        <f t="shared" si="18"/>
        <v>5000</v>
      </c>
      <c r="C57" s="371">
        <v>5000</v>
      </c>
      <c r="D57" s="371"/>
      <c r="E57" s="371">
        <f t="shared" si="19"/>
        <v>5000</v>
      </c>
      <c r="F57" s="371"/>
      <c r="G57" s="371"/>
      <c r="H57" s="371"/>
      <c r="I57" s="371"/>
      <c r="J57" s="371"/>
      <c r="K57" s="371"/>
      <c r="L57" s="371"/>
      <c r="M57" s="371"/>
      <c r="N57" s="371"/>
      <c r="O57" s="371"/>
      <c r="P57" s="371"/>
      <c r="Q57" s="371"/>
      <c r="R57" s="371">
        <f t="shared" si="20"/>
        <v>5000</v>
      </c>
      <c r="S57" s="372"/>
      <c r="T57" s="372"/>
      <c r="U57" s="367"/>
    </row>
    <row r="58" spans="1:21" s="368" customFormat="1">
      <c r="A58" s="369" t="s">
        <v>1013</v>
      </c>
      <c r="B58" s="370">
        <f t="shared" si="18"/>
        <v>0</v>
      </c>
      <c r="C58" s="371"/>
      <c r="D58" s="371"/>
      <c r="E58" s="371">
        <f t="shared" si="19"/>
        <v>0</v>
      </c>
      <c r="F58" s="371"/>
      <c r="G58" s="371"/>
      <c r="H58" s="371"/>
      <c r="I58" s="371"/>
      <c r="J58" s="371"/>
      <c r="K58" s="371"/>
      <c r="L58" s="371"/>
      <c r="M58" s="371"/>
      <c r="N58" s="371"/>
      <c r="O58" s="371"/>
      <c r="P58" s="371"/>
      <c r="Q58" s="371"/>
      <c r="R58" s="371">
        <f t="shared" si="20"/>
        <v>0</v>
      </c>
      <c r="S58" s="372"/>
      <c r="T58" s="372"/>
      <c r="U58" s="367"/>
    </row>
    <row r="59" spans="1:21" s="368" customFormat="1">
      <c r="A59" s="369" t="s">
        <v>1014</v>
      </c>
      <c r="B59" s="370">
        <f t="shared" si="18"/>
        <v>0</v>
      </c>
      <c r="C59" s="371"/>
      <c r="D59" s="371"/>
      <c r="E59" s="371">
        <f t="shared" si="19"/>
        <v>0</v>
      </c>
      <c r="F59" s="371"/>
      <c r="G59" s="371"/>
      <c r="H59" s="371"/>
      <c r="I59" s="371"/>
      <c r="J59" s="371"/>
      <c r="K59" s="371"/>
      <c r="L59" s="371"/>
      <c r="M59" s="371"/>
      <c r="N59" s="371"/>
      <c r="O59" s="371"/>
      <c r="P59" s="371"/>
      <c r="Q59" s="371"/>
      <c r="R59" s="371">
        <f t="shared" si="20"/>
        <v>0</v>
      </c>
      <c r="S59" s="372"/>
      <c r="T59" s="372"/>
      <c r="U59" s="367"/>
    </row>
    <row r="60" spans="1:21" s="368" customFormat="1">
      <c r="A60" s="376" t="s">
        <v>589</v>
      </c>
      <c r="B60" s="370">
        <f t="shared" si="18"/>
        <v>0</v>
      </c>
      <c r="C60" s="371">
        <v>0</v>
      </c>
      <c r="D60" s="371"/>
      <c r="E60" s="371">
        <f t="shared" si="19"/>
        <v>0</v>
      </c>
      <c r="F60" s="371">
        <v>0</v>
      </c>
      <c r="G60" s="371"/>
      <c r="H60" s="371"/>
      <c r="I60" s="371"/>
      <c r="J60" s="371"/>
      <c r="K60" s="371"/>
      <c r="L60" s="371"/>
      <c r="M60" s="371"/>
      <c r="N60" s="371"/>
      <c r="O60" s="371"/>
      <c r="P60" s="371"/>
      <c r="Q60" s="371"/>
      <c r="R60" s="371">
        <f t="shared" si="20"/>
        <v>0</v>
      </c>
      <c r="S60" s="372"/>
      <c r="T60" s="372"/>
      <c r="U60" s="367"/>
    </row>
    <row r="61" spans="1:21" s="368" customFormat="1" ht="13.9" customHeight="1">
      <c r="A61" s="373" t="s">
        <v>546</v>
      </c>
      <c r="B61" s="370">
        <f>SUM(C61:D61)</f>
        <v>15000</v>
      </c>
      <c r="C61" s="370">
        <f t="shared" ref="C61:R61" si="21">SUM(C55:C60)</f>
        <v>15000</v>
      </c>
      <c r="D61" s="370">
        <f t="shared" si="21"/>
        <v>0</v>
      </c>
      <c r="E61" s="370">
        <f t="shared" si="21"/>
        <v>15000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15000</v>
      </c>
      <c r="S61" s="372"/>
      <c r="T61" s="372"/>
      <c r="U61" s="367"/>
    </row>
    <row r="62" spans="1:21" s="368" customFormat="1">
      <c r="A62" s="379" t="s">
        <v>547</v>
      </c>
      <c r="B62" s="370">
        <f>SUM(C62:D62)</f>
        <v>30038123</v>
      </c>
      <c r="C62" s="370">
        <f t="shared" ref="C62:R62" si="22">SUM(C8+C11+C13+C14+C15+C26+C27+C38+C42+C43+C53+C61)</f>
        <v>30038123</v>
      </c>
      <c r="D62" s="370">
        <f t="shared" si="22"/>
        <v>0</v>
      </c>
      <c r="E62" s="370">
        <f t="shared" si="22"/>
        <v>18266979</v>
      </c>
      <c r="F62" s="370">
        <f t="shared" si="22"/>
        <v>6050701</v>
      </c>
      <c r="G62" s="370">
        <f t="shared" si="22"/>
        <v>5165157</v>
      </c>
      <c r="H62" s="370">
        <f t="shared" si="22"/>
        <v>211589</v>
      </c>
      <c r="I62" s="370">
        <f t="shared" si="22"/>
        <v>343697</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30038123</v>
      </c>
      <c r="S62" s="370">
        <f>SUM(S10+S13+S14+S15+S26+S27+S38+S42+S43+S53)</f>
        <v>18489563</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65000</v>
      </c>
      <c r="C64" s="371">
        <v>65000</v>
      </c>
      <c r="D64" s="371"/>
      <c r="E64" s="371">
        <f t="shared" ref="E64:E68" si="23">+C64-SUM(F64:Q64)</f>
        <v>65000</v>
      </c>
      <c r="F64" s="371"/>
      <c r="G64" s="371"/>
      <c r="H64" s="371"/>
      <c r="I64" s="371"/>
      <c r="J64" s="371"/>
      <c r="K64" s="371"/>
      <c r="L64" s="371"/>
      <c r="M64" s="371"/>
      <c r="N64" s="371"/>
      <c r="O64" s="371"/>
      <c r="P64" s="371"/>
      <c r="Q64" s="371"/>
      <c r="R64" s="371">
        <f>SUM(E64:Q64)</f>
        <v>65000</v>
      </c>
      <c r="S64" s="371">
        <f>+R64</f>
        <v>65000</v>
      </c>
      <c r="T64" s="371"/>
      <c r="U64" s="367"/>
    </row>
    <row r="65" spans="1:21" s="368" customFormat="1" ht="24">
      <c r="A65" s="369" t="s">
        <v>2166</v>
      </c>
      <c r="B65" s="370">
        <f>SUM(C65+D65)</f>
        <v>0</v>
      </c>
      <c r="C65" s="371"/>
      <c r="D65" s="371"/>
      <c r="E65" s="371">
        <f t="shared" si="23"/>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c r="A68" s="376" t="s">
        <v>2477</v>
      </c>
      <c r="B68" s="370">
        <f>SUM(C68+D68)</f>
        <v>50000</v>
      </c>
      <c r="C68" s="371">
        <v>50000</v>
      </c>
      <c r="D68" s="371"/>
      <c r="E68" s="371">
        <f t="shared" si="23"/>
        <v>27500</v>
      </c>
      <c r="F68" s="371"/>
      <c r="G68" s="371"/>
      <c r="H68" s="371"/>
      <c r="I68" s="371">
        <v>22500</v>
      </c>
      <c r="J68" s="371"/>
      <c r="K68" s="371"/>
      <c r="L68" s="371"/>
      <c r="M68" s="371"/>
      <c r="N68" s="371"/>
      <c r="O68" s="371"/>
      <c r="P68" s="371"/>
      <c r="Q68" s="371"/>
      <c r="R68" s="371">
        <f>SUM(E68:Q68)</f>
        <v>50000</v>
      </c>
      <c r="S68" s="371">
        <f>+R68</f>
        <v>50000</v>
      </c>
      <c r="T68" s="371"/>
      <c r="U68" s="367"/>
    </row>
    <row r="69" spans="1:21" s="368" customFormat="1">
      <c r="A69" s="373" t="s">
        <v>2169</v>
      </c>
      <c r="B69" s="370">
        <f>SUM(C69:D69)</f>
        <v>115000</v>
      </c>
      <c r="C69" s="370">
        <f>SUM(C63:C68)</f>
        <v>115000</v>
      </c>
      <c r="D69" s="370">
        <f>SUM(D63:D68)</f>
        <v>0</v>
      </c>
      <c r="E69" s="370">
        <f t="shared" ref="E69:T69" si="24">SUM(E64:E68)</f>
        <v>92500</v>
      </c>
      <c r="F69" s="370">
        <f t="shared" si="24"/>
        <v>0</v>
      </c>
      <c r="G69" s="370">
        <f t="shared" si="24"/>
        <v>0</v>
      </c>
      <c r="H69" s="370">
        <f t="shared" si="24"/>
        <v>0</v>
      </c>
      <c r="I69" s="370">
        <f t="shared" si="24"/>
        <v>22500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115000</v>
      </c>
      <c r="S69" s="374">
        <f t="shared" si="24"/>
        <v>115000</v>
      </c>
      <c r="T69" s="374">
        <f t="shared" si="24"/>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30000</v>
      </c>
      <c r="C71" s="371">
        <v>30000</v>
      </c>
      <c r="D71" s="371"/>
      <c r="E71" s="371">
        <f t="shared" ref="E71:E75" si="25">+C71-SUM(F71:Q71)</f>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314</v>
      </c>
      <c r="B72" s="370">
        <f>SUM(C72+D72)</f>
        <v>0</v>
      </c>
      <c r="C72" s="371">
        <v>0</v>
      </c>
      <c r="D72" s="371"/>
      <c r="E72" s="371">
        <f t="shared" si="25"/>
        <v>0</v>
      </c>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163755</v>
      </c>
      <c r="C74" s="371">
        <v>163755</v>
      </c>
      <c r="D74" s="371"/>
      <c r="E74" s="371">
        <f t="shared" si="25"/>
        <v>163755</v>
      </c>
      <c r="F74" s="371"/>
      <c r="G74" s="371"/>
      <c r="H74" s="371"/>
      <c r="I74" s="371"/>
      <c r="J74" s="371"/>
      <c r="K74" s="371"/>
      <c r="L74" s="371"/>
      <c r="M74" s="371"/>
      <c r="N74" s="371"/>
      <c r="O74" s="371"/>
      <c r="P74" s="371"/>
      <c r="Q74" s="371"/>
      <c r="R74" s="371">
        <f>SUM(E74:Q74)</f>
        <v>163755</v>
      </c>
      <c r="S74" s="372"/>
      <c r="T74" s="372"/>
      <c r="U74" s="367"/>
    </row>
    <row r="75" spans="1:21" s="368" customFormat="1">
      <c r="A75" s="376" t="s">
        <v>589</v>
      </c>
      <c r="B75" s="370">
        <f>SUM(C75+D75)</f>
        <v>0</v>
      </c>
      <c r="C75" s="371">
        <v>0</v>
      </c>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193755</v>
      </c>
      <c r="C76" s="370">
        <f t="shared" ref="C76:Q76" si="26">SUM(C71:C75)</f>
        <v>193755</v>
      </c>
      <c r="D76" s="370">
        <f t="shared" si="26"/>
        <v>0</v>
      </c>
      <c r="E76" s="370">
        <f>SUM(E71:E75)</f>
        <v>193755</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193755</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773135</v>
      </c>
      <c r="C78" s="371">
        <f>823135-50000</f>
        <v>773135</v>
      </c>
      <c r="D78" s="371"/>
      <c r="E78" s="371">
        <f t="shared" ref="E78:E79" si="27">+C78-SUM(F78:Q78)</f>
        <v>773135</v>
      </c>
      <c r="F78" s="371"/>
      <c r="G78" s="371"/>
      <c r="H78" s="371"/>
      <c r="I78" s="371"/>
      <c r="J78" s="371"/>
      <c r="K78" s="371"/>
      <c r="L78" s="371"/>
      <c r="M78" s="371"/>
      <c r="N78" s="371"/>
      <c r="O78" s="371"/>
      <c r="P78" s="371"/>
      <c r="Q78" s="371"/>
      <c r="R78" s="371">
        <f>SUM(E78:Q78)</f>
        <v>773135</v>
      </c>
      <c r="S78" s="371">
        <f>+R78</f>
        <v>773135</v>
      </c>
      <c r="T78" s="371"/>
      <c r="U78" s="367"/>
    </row>
    <row r="79" spans="1:21" s="368" customFormat="1">
      <c r="A79" s="369" t="s">
        <v>594</v>
      </c>
      <c r="B79" s="370">
        <f>SUM(C79+D79)</f>
        <v>117569</v>
      </c>
      <c r="C79" s="371">
        <v>117569</v>
      </c>
      <c r="D79" s="371"/>
      <c r="E79" s="371">
        <f t="shared" si="27"/>
        <v>117569</v>
      </c>
      <c r="F79" s="371"/>
      <c r="G79" s="371"/>
      <c r="H79" s="371"/>
      <c r="I79" s="371"/>
      <c r="J79" s="371"/>
      <c r="K79" s="371"/>
      <c r="L79" s="371"/>
      <c r="M79" s="371"/>
      <c r="N79" s="371"/>
      <c r="O79" s="371"/>
      <c r="P79" s="371"/>
      <c r="Q79" s="371"/>
      <c r="R79" s="371">
        <f>SUM(E79:Q79)</f>
        <v>117569</v>
      </c>
      <c r="S79" s="371">
        <f>+R79</f>
        <v>117569</v>
      </c>
      <c r="T79" s="371"/>
      <c r="U79" s="367"/>
    </row>
    <row r="80" spans="1:21" s="368" customFormat="1">
      <c r="A80" s="373" t="s">
        <v>1908</v>
      </c>
      <c r="B80" s="370">
        <f>SUM(C80:D80)</f>
        <v>890704</v>
      </c>
      <c r="C80" s="1074">
        <f>SUM(C78:C79)</f>
        <v>890704</v>
      </c>
      <c r="D80" s="1074">
        <f t="shared" ref="D80:R80" si="28">SUM(D78:D79)</f>
        <v>0</v>
      </c>
      <c r="E80" s="1074">
        <f t="shared" si="28"/>
        <v>890704</v>
      </c>
      <c r="F80" s="1074">
        <f t="shared" si="28"/>
        <v>0</v>
      </c>
      <c r="G80" s="1074">
        <f t="shared" si="28"/>
        <v>0</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890704</v>
      </c>
      <c r="S80" s="1074">
        <f>SUM(S78:S79)</f>
        <v>890704</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111822</v>
      </c>
      <c r="C82" s="371">
        <v>111822</v>
      </c>
      <c r="D82" s="371"/>
      <c r="E82" s="371">
        <f t="shared" ref="E82:E94" si="29">+C82-SUM(F82:Q82)</f>
        <v>111822</v>
      </c>
      <c r="F82" s="371"/>
      <c r="G82" s="371"/>
      <c r="H82" s="371"/>
      <c r="I82" s="371"/>
      <c r="J82" s="371"/>
      <c r="K82" s="371"/>
      <c r="L82" s="371"/>
      <c r="M82" s="371"/>
      <c r="N82" s="371"/>
      <c r="O82" s="371"/>
      <c r="P82" s="371"/>
      <c r="Q82" s="371"/>
      <c r="R82" s="371">
        <f>SUM(E82:Q82)</f>
        <v>111822</v>
      </c>
      <c r="S82" s="372"/>
      <c r="T82" s="372"/>
      <c r="U82" s="367"/>
    </row>
    <row r="83" spans="1:21" s="368" customFormat="1">
      <c r="A83" s="369" t="s">
        <v>572</v>
      </c>
      <c r="B83" s="370">
        <f t="shared" ref="B83:B93" si="30">SUM(C83+D83)</f>
        <v>7000</v>
      </c>
      <c r="C83" s="371">
        <v>7000</v>
      </c>
      <c r="D83" s="371"/>
      <c r="E83" s="371">
        <f t="shared" si="29"/>
        <v>7000</v>
      </c>
      <c r="F83" s="371"/>
      <c r="G83" s="371"/>
      <c r="H83" s="371"/>
      <c r="I83" s="371"/>
      <c r="J83" s="371"/>
      <c r="K83" s="371"/>
      <c r="L83" s="371"/>
      <c r="M83" s="371"/>
      <c r="N83" s="371"/>
      <c r="O83" s="371"/>
      <c r="P83" s="371"/>
      <c r="Q83" s="371"/>
      <c r="R83" s="371">
        <f t="shared" ref="R83:R93" si="31">SUM(E83:Q83)</f>
        <v>7000</v>
      </c>
      <c r="S83" s="371">
        <f>+R83</f>
        <v>7000</v>
      </c>
      <c r="T83" s="371"/>
      <c r="U83" s="367"/>
    </row>
    <row r="84" spans="1:21" s="368" customFormat="1">
      <c r="A84" s="369" t="s">
        <v>573</v>
      </c>
      <c r="B84" s="370">
        <f t="shared" si="30"/>
        <v>2052077</v>
      </c>
      <c r="C84" s="371">
        <f>1565109+486968</f>
        <v>2052077</v>
      </c>
      <c r="D84" s="371"/>
      <c r="E84" s="371">
        <f>+C84-SUM(F84:L84)</f>
        <v>612077</v>
      </c>
      <c r="F84" s="371"/>
      <c r="G84" s="371"/>
      <c r="H84" s="371"/>
      <c r="I84" s="371">
        <v>1440000</v>
      </c>
      <c r="J84" s="371"/>
      <c r="K84" s="371"/>
      <c r="L84" s="371"/>
      <c r="M84" s="371"/>
      <c r="N84" s="371"/>
      <c r="O84" s="371"/>
      <c r="P84" s="371"/>
      <c r="Q84" s="371"/>
      <c r="R84" s="371">
        <f t="shared" si="31"/>
        <v>2052077</v>
      </c>
      <c r="S84" s="371">
        <f t="shared" ref="S84:S86" si="32">+R84</f>
        <v>2052077</v>
      </c>
      <c r="T84" s="371"/>
      <c r="U84" s="367"/>
    </row>
    <row r="85" spans="1:21" s="368" customFormat="1">
      <c r="A85" s="369" t="s">
        <v>574</v>
      </c>
      <c r="B85" s="370">
        <f t="shared" si="30"/>
        <v>0</v>
      </c>
      <c r="C85" s="371">
        <v>0</v>
      </c>
      <c r="D85" s="371"/>
      <c r="E85" s="371">
        <f>+C85-SUM(F85:L85)</f>
        <v>-182303</v>
      </c>
      <c r="F85" s="371"/>
      <c r="G85" s="371"/>
      <c r="H85" s="371"/>
      <c r="I85" s="371">
        <v>182303</v>
      </c>
      <c r="J85" s="371"/>
      <c r="K85" s="371"/>
      <c r="L85" s="371"/>
      <c r="M85" s="371"/>
      <c r="N85" s="371"/>
      <c r="O85" s="371"/>
      <c r="P85" s="371"/>
      <c r="Q85" s="371"/>
      <c r="R85" s="371">
        <f t="shared" si="31"/>
        <v>0</v>
      </c>
      <c r="S85" s="371">
        <f t="shared" si="32"/>
        <v>0</v>
      </c>
      <c r="T85" s="371"/>
      <c r="U85" s="367"/>
    </row>
    <row r="86" spans="1:21" s="368" customFormat="1">
      <c r="A86" s="369" t="s">
        <v>575</v>
      </c>
      <c r="B86" s="370">
        <f t="shared" si="30"/>
        <v>0</v>
      </c>
      <c r="C86" s="371"/>
      <c r="D86" s="371"/>
      <c r="E86" s="371">
        <f t="shared" si="29"/>
        <v>0</v>
      </c>
      <c r="F86" s="371"/>
      <c r="G86" s="371"/>
      <c r="H86" s="371"/>
      <c r="I86" s="371"/>
      <c r="J86" s="371"/>
      <c r="K86" s="371"/>
      <c r="L86" s="371"/>
      <c r="M86" s="371"/>
      <c r="N86" s="371"/>
      <c r="O86" s="371"/>
      <c r="P86" s="371"/>
      <c r="Q86" s="371"/>
      <c r="R86" s="371">
        <f t="shared" si="31"/>
        <v>0</v>
      </c>
      <c r="S86" s="371">
        <f t="shared" si="32"/>
        <v>0</v>
      </c>
      <c r="T86" s="371"/>
      <c r="U86" s="367"/>
    </row>
    <row r="87" spans="1:21" s="368" customFormat="1">
      <c r="A87" s="369" t="s">
        <v>576</v>
      </c>
      <c r="B87" s="370">
        <f t="shared" si="30"/>
        <v>30120</v>
      </c>
      <c r="C87" s="371">
        <v>30120</v>
      </c>
      <c r="D87" s="371"/>
      <c r="E87" s="371">
        <f t="shared" si="29"/>
        <v>30120</v>
      </c>
      <c r="F87" s="371"/>
      <c r="G87" s="371"/>
      <c r="H87" s="371"/>
      <c r="I87" s="371"/>
      <c r="J87" s="371"/>
      <c r="K87" s="371"/>
      <c r="L87" s="371"/>
      <c r="M87" s="371"/>
      <c r="N87" s="371"/>
      <c r="O87" s="371"/>
      <c r="P87" s="371"/>
      <c r="Q87" s="371"/>
      <c r="R87" s="371">
        <f t="shared" si="31"/>
        <v>30120</v>
      </c>
      <c r="S87" s="372"/>
      <c r="T87" s="372"/>
      <c r="U87" s="367"/>
    </row>
    <row r="88" spans="1:21" s="368" customFormat="1">
      <c r="A88" s="369" t="s">
        <v>577</v>
      </c>
      <c r="B88" s="370">
        <f t="shared" si="30"/>
        <v>50000</v>
      </c>
      <c r="C88" s="371">
        <v>50000</v>
      </c>
      <c r="D88" s="371"/>
      <c r="E88" s="371">
        <f t="shared" si="29"/>
        <v>50000</v>
      </c>
      <c r="F88" s="371"/>
      <c r="G88" s="371"/>
      <c r="H88" s="371"/>
      <c r="I88" s="371"/>
      <c r="J88" s="371"/>
      <c r="K88" s="371"/>
      <c r="L88" s="371"/>
      <c r="M88" s="371"/>
      <c r="N88" s="371"/>
      <c r="O88" s="371"/>
      <c r="P88" s="371"/>
      <c r="Q88" s="371"/>
      <c r="R88" s="371">
        <f t="shared" si="31"/>
        <v>50000</v>
      </c>
      <c r="S88" s="371">
        <f>+R88</f>
        <v>50000</v>
      </c>
      <c r="T88" s="371"/>
      <c r="U88" s="367"/>
    </row>
    <row r="89" spans="1:21" s="368" customFormat="1">
      <c r="A89" s="369" t="s">
        <v>578</v>
      </c>
      <c r="B89" s="370">
        <f t="shared" si="30"/>
        <v>10000</v>
      </c>
      <c r="C89" s="371">
        <v>10000</v>
      </c>
      <c r="D89" s="371"/>
      <c r="E89" s="371">
        <f t="shared" si="29"/>
        <v>0</v>
      </c>
      <c r="F89" s="371"/>
      <c r="G89" s="371"/>
      <c r="H89" s="371"/>
      <c r="I89" s="371">
        <v>10000</v>
      </c>
      <c r="J89" s="371"/>
      <c r="K89" s="371"/>
      <c r="L89" s="371"/>
      <c r="M89" s="371"/>
      <c r="N89" s="371"/>
      <c r="O89" s="371"/>
      <c r="P89" s="371"/>
      <c r="Q89" s="371"/>
      <c r="R89" s="371">
        <f t="shared" si="31"/>
        <v>10000</v>
      </c>
      <c r="S89" s="371">
        <f t="shared" ref="S89:S94" si="33">+R89</f>
        <v>10000</v>
      </c>
      <c r="T89" s="371"/>
      <c r="U89" s="367"/>
    </row>
    <row r="90" spans="1:21" s="368" customFormat="1">
      <c r="A90" s="380" t="s">
        <v>1423</v>
      </c>
      <c r="B90" s="370">
        <f t="shared" si="30"/>
        <v>45000</v>
      </c>
      <c r="C90" s="371">
        <v>45000</v>
      </c>
      <c r="D90" s="371"/>
      <c r="E90" s="371">
        <f t="shared" si="29"/>
        <v>43500</v>
      </c>
      <c r="F90" s="371"/>
      <c r="G90" s="371"/>
      <c r="H90" s="371"/>
      <c r="I90" s="371">
        <v>1500</v>
      </c>
      <c r="J90" s="371"/>
      <c r="K90" s="371"/>
      <c r="L90" s="371"/>
      <c r="M90" s="371"/>
      <c r="N90" s="371"/>
      <c r="O90" s="371"/>
      <c r="P90" s="371"/>
      <c r="Q90" s="371"/>
      <c r="R90" s="371">
        <f t="shared" si="31"/>
        <v>45000</v>
      </c>
      <c r="S90" s="371">
        <f t="shared" si="33"/>
        <v>45000</v>
      </c>
      <c r="T90" s="371"/>
      <c r="U90" s="367"/>
    </row>
    <row r="91" spans="1:21" s="368" customFormat="1">
      <c r="A91" s="380" t="s">
        <v>1906</v>
      </c>
      <c r="B91" s="370">
        <f t="shared" si="30"/>
        <v>7500</v>
      </c>
      <c r="C91" s="371">
        <v>7500</v>
      </c>
      <c r="D91" s="371"/>
      <c r="E91" s="371">
        <f t="shared" si="29"/>
        <v>7500</v>
      </c>
      <c r="F91" s="371"/>
      <c r="G91" s="371"/>
      <c r="H91" s="371"/>
      <c r="I91" s="371"/>
      <c r="J91" s="371"/>
      <c r="K91" s="371"/>
      <c r="L91" s="371"/>
      <c r="M91" s="371"/>
      <c r="N91" s="371"/>
      <c r="O91" s="371"/>
      <c r="P91" s="371"/>
      <c r="Q91" s="371"/>
      <c r="R91" s="371">
        <f t="shared" si="31"/>
        <v>7500</v>
      </c>
      <c r="S91" s="371">
        <f t="shared" si="33"/>
        <v>7500</v>
      </c>
      <c r="T91" s="371"/>
      <c r="U91" s="367"/>
    </row>
    <row r="92" spans="1:21" s="368" customFormat="1">
      <c r="A92" s="376" t="s">
        <v>589</v>
      </c>
      <c r="B92" s="370">
        <f t="shared" si="30"/>
        <v>0</v>
      </c>
      <c r="C92" s="371">
        <v>0</v>
      </c>
      <c r="D92" s="371"/>
      <c r="E92" s="371">
        <f t="shared" si="29"/>
        <v>0</v>
      </c>
      <c r="F92" s="371"/>
      <c r="G92" s="371"/>
      <c r="H92" s="371"/>
      <c r="I92" s="371"/>
      <c r="J92" s="371"/>
      <c r="K92" s="371"/>
      <c r="L92" s="371"/>
      <c r="M92" s="371"/>
      <c r="N92" s="371"/>
      <c r="O92" s="371"/>
      <c r="P92" s="371"/>
      <c r="Q92" s="371"/>
      <c r="R92" s="371">
        <f t="shared" si="31"/>
        <v>0</v>
      </c>
      <c r="S92" s="371">
        <f t="shared" si="33"/>
        <v>0</v>
      </c>
      <c r="T92" s="371"/>
      <c r="U92" s="367"/>
    </row>
    <row r="93" spans="1:21" s="368" customFormat="1">
      <c r="A93" s="376" t="s">
        <v>589</v>
      </c>
      <c r="B93" s="370">
        <f t="shared" si="30"/>
        <v>0</v>
      </c>
      <c r="C93" s="371"/>
      <c r="D93" s="371"/>
      <c r="E93" s="371">
        <f t="shared" si="29"/>
        <v>0</v>
      </c>
      <c r="F93" s="371"/>
      <c r="G93" s="371"/>
      <c r="H93" s="371"/>
      <c r="I93" s="371"/>
      <c r="J93" s="371"/>
      <c r="K93" s="371"/>
      <c r="L93" s="371"/>
      <c r="M93" s="371"/>
      <c r="N93" s="371"/>
      <c r="O93" s="371"/>
      <c r="P93" s="371"/>
      <c r="Q93" s="371"/>
      <c r="R93" s="371">
        <f t="shared" si="31"/>
        <v>0</v>
      </c>
      <c r="S93" s="371">
        <f t="shared" si="33"/>
        <v>0</v>
      </c>
      <c r="T93" s="371"/>
      <c r="U93" s="367"/>
    </row>
    <row r="94" spans="1:21" s="368" customFormat="1">
      <c r="A94" s="376" t="s">
        <v>589</v>
      </c>
      <c r="B94" s="370">
        <f>SUM(C94+D94)</f>
        <v>0</v>
      </c>
      <c r="C94" s="371">
        <v>0</v>
      </c>
      <c r="D94" s="371"/>
      <c r="E94" s="371">
        <f t="shared" si="29"/>
        <v>0</v>
      </c>
      <c r="F94" s="371">
        <v>0</v>
      </c>
      <c r="G94" s="371"/>
      <c r="H94" s="371"/>
      <c r="I94" s="371"/>
      <c r="J94" s="371"/>
      <c r="K94" s="371"/>
      <c r="L94" s="371"/>
      <c r="M94" s="371"/>
      <c r="N94" s="371"/>
      <c r="O94" s="371"/>
      <c r="P94" s="371"/>
      <c r="Q94" s="371"/>
      <c r="R94" s="371">
        <f>SUM(E94:Q94)</f>
        <v>0</v>
      </c>
      <c r="S94" s="371">
        <f t="shared" si="33"/>
        <v>0</v>
      </c>
      <c r="T94" s="371"/>
      <c r="U94" s="367"/>
    </row>
    <row r="95" spans="1:21" s="368" customFormat="1">
      <c r="A95" s="373" t="s">
        <v>579</v>
      </c>
      <c r="B95" s="370">
        <f>SUM(C95:D95)</f>
        <v>2313519</v>
      </c>
      <c r="C95" s="370">
        <f t="shared" ref="C95:R95" si="34">SUM(C82:C94)</f>
        <v>2313519</v>
      </c>
      <c r="D95" s="370">
        <f t="shared" si="34"/>
        <v>0</v>
      </c>
      <c r="E95" s="370">
        <f t="shared" si="34"/>
        <v>679716</v>
      </c>
      <c r="F95" s="370">
        <f t="shared" si="34"/>
        <v>0</v>
      </c>
      <c r="G95" s="370">
        <f t="shared" si="34"/>
        <v>0</v>
      </c>
      <c r="H95" s="370">
        <f t="shared" si="34"/>
        <v>0</v>
      </c>
      <c r="I95" s="370">
        <f t="shared" si="34"/>
        <v>1633803</v>
      </c>
      <c r="J95" s="370">
        <f t="shared" si="34"/>
        <v>0</v>
      </c>
      <c r="K95" s="370">
        <f t="shared" si="34"/>
        <v>0</v>
      </c>
      <c r="L95" s="370">
        <f t="shared" si="34"/>
        <v>0</v>
      </c>
      <c r="M95" s="370">
        <f t="shared" si="34"/>
        <v>0</v>
      </c>
      <c r="N95" s="370">
        <f t="shared" si="34"/>
        <v>0</v>
      </c>
      <c r="O95" s="370">
        <f t="shared" si="34"/>
        <v>0</v>
      </c>
      <c r="P95" s="370">
        <f t="shared" si="34"/>
        <v>0</v>
      </c>
      <c r="Q95" s="370">
        <f t="shared" si="34"/>
        <v>0</v>
      </c>
      <c r="R95" s="370">
        <f t="shared" si="34"/>
        <v>2313519</v>
      </c>
      <c r="S95" s="374">
        <f>SUM(S83:S86,S88:S94)</f>
        <v>2171577</v>
      </c>
      <c r="T95" s="370">
        <f>SUM(T83:T86,T88:T94)</f>
        <v>0</v>
      </c>
      <c r="U95" s="367"/>
    </row>
    <row r="96" spans="1:21" s="368" customFormat="1">
      <c r="A96" s="373" t="s">
        <v>580</v>
      </c>
      <c r="B96" s="370">
        <f>SUM(C96:D96)</f>
        <v>33551101</v>
      </c>
      <c r="C96" s="370">
        <f t="shared" ref="C96:R96" si="35">SUM(C62+C69+C76+C80+C95)</f>
        <v>33551101</v>
      </c>
      <c r="D96" s="370">
        <f t="shared" si="35"/>
        <v>0</v>
      </c>
      <c r="E96" s="370">
        <f t="shared" si="35"/>
        <v>20123654</v>
      </c>
      <c r="F96" s="370">
        <f t="shared" si="35"/>
        <v>6050701</v>
      </c>
      <c r="G96" s="370">
        <f t="shared" si="35"/>
        <v>5165157</v>
      </c>
      <c r="H96" s="370">
        <f t="shared" si="35"/>
        <v>211589</v>
      </c>
      <c r="I96" s="370">
        <f t="shared" si="35"/>
        <v>2000000</v>
      </c>
      <c r="J96" s="370">
        <f t="shared" si="35"/>
        <v>0</v>
      </c>
      <c r="K96" s="370">
        <f t="shared" si="35"/>
        <v>0</v>
      </c>
      <c r="L96" s="370">
        <f t="shared" si="35"/>
        <v>0</v>
      </c>
      <c r="M96" s="370">
        <f t="shared" si="35"/>
        <v>0</v>
      </c>
      <c r="N96" s="370">
        <f t="shared" si="35"/>
        <v>0</v>
      </c>
      <c r="O96" s="370">
        <f t="shared" si="35"/>
        <v>0</v>
      </c>
      <c r="P96" s="370">
        <f t="shared" si="35"/>
        <v>0</v>
      </c>
      <c r="Q96" s="370">
        <f t="shared" si="35"/>
        <v>0</v>
      </c>
      <c r="R96" s="370">
        <f t="shared" si="35"/>
        <v>33551101</v>
      </c>
      <c r="S96" s="374">
        <f>SUM(+S62+S69+S80+S95)</f>
        <v>21666844</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 t="shared" ref="E98" si="36">+C98-SUM(F98:Q98)</f>
        <v>2199998</v>
      </c>
      <c r="F98" s="371"/>
      <c r="G98" s="371"/>
      <c r="H98" s="371"/>
      <c r="I98" s="371"/>
      <c r="J98" s="371">
        <v>2</v>
      </c>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7">SUM(C98:C102)</f>
        <v>2200000</v>
      </c>
      <c r="D103" s="370">
        <f t="shared" si="37"/>
        <v>0</v>
      </c>
      <c r="E103" s="370">
        <f t="shared" si="37"/>
        <v>2199998</v>
      </c>
      <c r="F103" s="370">
        <f t="shared" si="37"/>
        <v>0</v>
      </c>
      <c r="G103" s="370">
        <f t="shared" si="37"/>
        <v>0</v>
      </c>
      <c r="H103" s="370">
        <f t="shared" si="37"/>
        <v>0</v>
      </c>
      <c r="I103" s="370">
        <f t="shared" si="37"/>
        <v>0</v>
      </c>
      <c r="J103" s="370">
        <f t="shared" si="37"/>
        <v>2</v>
      </c>
      <c r="K103" s="370">
        <f t="shared" si="37"/>
        <v>0</v>
      </c>
      <c r="L103" s="370">
        <f t="shared" si="37"/>
        <v>0</v>
      </c>
      <c r="M103" s="370">
        <f t="shared" si="37"/>
        <v>0</v>
      </c>
      <c r="N103" s="370">
        <f t="shared" si="37"/>
        <v>0</v>
      </c>
      <c r="O103" s="370">
        <f t="shared" si="37"/>
        <v>0</v>
      </c>
      <c r="P103" s="370">
        <f t="shared" si="37"/>
        <v>0</v>
      </c>
      <c r="Q103" s="370">
        <f t="shared" si="37"/>
        <v>0</v>
      </c>
      <c r="R103" s="370">
        <f t="shared" si="37"/>
        <v>2200000</v>
      </c>
      <c r="S103" s="374">
        <f t="shared" si="37"/>
        <v>2200000</v>
      </c>
      <c r="T103" s="374">
        <f t="shared" si="37"/>
        <v>0</v>
      </c>
      <c r="U103" s="367"/>
    </row>
    <row r="104" spans="1:21" s="368" customFormat="1">
      <c r="A104" s="373" t="s">
        <v>1251</v>
      </c>
      <c r="B104" s="374">
        <f>SUM(C104:D104)</f>
        <v>35751101</v>
      </c>
      <c r="C104" s="374">
        <f t="shared" ref="C104:R104" si="38">SUM(C96+C103)</f>
        <v>35751101</v>
      </c>
      <c r="D104" s="374">
        <f t="shared" si="38"/>
        <v>0</v>
      </c>
      <c r="E104" s="374">
        <f t="shared" si="38"/>
        <v>22323652</v>
      </c>
      <c r="F104" s="374">
        <f t="shared" si="38"/>
        <v>6050701</v>
      </c>
      <c r="G104" s="374">
        <f t="shared" si="38"/>
        <v>5165157</v>
      </c>
      <c r="H104" s="374">
        <f t="shared" si="38"/>
        <v>211589</v>
      </c>
      <c r="I104" s="374">
        <f t="shared" si="38"/>
        <v>2000000</v>
      </c>
      <c r="J104" s="374">
        <f t="shared" si="38"/>
        <v>2</v>
      </c>
      <c r="K104" s="374">
        <f t="shared" si="38"/>
        <v>0</v>
      </c>
      <c r="L104" s="374">
        <f t="shared" si="38"/>
        <v>0</v>
      </c>
      <c r="M104" s="374">
        <f t="shared" si="38"/>
        <v>0</v>
      </c>
      <c r="N104" s="374">
        <f t="shared" si="38"/>
        <v>0</v>
      </c>
      <c r="O104" s="374">
        <f t="shared" si="38"/>
        <v>0</v>
      </c>
      <c r="P104" s="374">
        <f t="shared" si="38"/>
        <v>0</v>
      </c>
      <c r="Q104" s="374">
        <f t="shared" si="38"/>
        <v>0</v>
      </c>
      <c r="R104" s="370">
        <f t="shared" si="38"/>
        <v>35751101</v>
      </c>
      <c r="S104" s="374">
        <f>S96+S103</f>
        <v>23866844</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23866844</v>
      </c>
      <c r="T106" s="388">
        <f>T104+T105</f>
        <v>0</v>
      </c>
      <c r="U106" s="386"/>
    </row>
    <row r="107" spans="1:21" s="389" customFormat="1">
      <c r="A107" s="387" t="s">
        <v>1195</v>
      </c>
      <c r="B107" s="382"/>
      <c r="C107" s="382"/>
      <c r="D107" s="382"/>
      <c r="E107" s="632">
        <f>Application!AO645</f>
        <v>22323652</v>
      </c>
      <c r="F107" s="632">
        <f>Application!AO632</f>
        <v>6050701</v>
      </c>
      <c r="G107" s="632">
        <f>Application!AO633</f>
        <v>5165157</v>
      </c>
      <c r="H107" s="632">
        <f>Application!AO634</f>
        <v>211589</v>
      </c>
      <c r="I107" s="632">
        <f>Application!AO635</f>
        <v>2000000</v>
      </c>
      <c r="J107" s="632">
        <f>Application!AO636</f>
        <v>2</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16" t="s">
        <v>1396</v>
      </c>
      <c r="E122" s="2216"/>
      <c r="F122" s="2216"/>
      <c r="U122" s="386"/>
    </row>
    <row r="123" spans="1:21" s="383" customFormat="1">
      <c r="A123" s="383" t="s">
        <v>1397</v>
      </c>
      <c r="B123" s="844"/>
      <c r="D123" s="2219" t="s">
        <v>1424</v>
      </c>
      <c r="E123" s="2220"/>
      <c r="F123" s="2220"/>
      <c r="G123" s="2220"/>
      <c r="H123" s="2220"/>
      <c r="I123" s="2220"/>
      <c r="J123" s="2220"/>
      <c r="K123" s="2220"/>
      <c r="L123" s="2220"/>
      <c r="M123" s="2220"/>
      <c r="N123" s="2220"/>
      <c r="O123" s="2220"/>
      <c r="P123" s="2220"/>
      <c r="Q123" s="2220"/>
      <c r="R123" s="2220"/>
      <c r="S123" s="2220"/>
      <c r="U123" s="386"/>
    </row>
    <row r="124" spans="1:21" s="383" customFormat="1" ht="12.75">
      <c r="A124" s="847" t="s">
        <v>1398</v>
      </c>
      <c r="B124" s="844"/>
      <c r="C124" s="847"/>
      <c r="D124" s="2220"/>
      <c r="E124" s="2220"/>
      <c r="F124" s="2220"/>
      <c r="G124" s="2220"/>
      <c r="H124" s="2220"/>
      <c r="I124" s="2220"/>
      <c r="J124" s="2220"/>
      <c r="K124" s="2220"/>
      <c r="L124" s="2220"/>
      <c r="M124" s="2220"/>
      <c r="N124" s="2220"/>
      <c r="O124" s="2220"/>
      <c r="P124" s="2220"/>
      <c r="Q124" s="2220"/>
      <c r="R124" s="2220"/>
      <c r="S124" s="2220"/>
      <c r="U124" s="386"/>
    </row>
    <row r="125" spans="1:21" s="383" customFormat="1" ht="12.75">
      <c r="A125" s="847" t="s">
        <v>1399</v>
      </c>
      <c r="B125" s="844"/>
      <c r="C125" s="847"/>
      <c r="D125" s="2220"/>
      <c r="E125" s="2220"/>
      <c r="F125" s="2220"/>
      <c r="G125" s="2220"/>
      <c r="H125" s="2220"/>
      <c r="I125" s="2220"/>
      <c r="J125" s="2220"/>
      <c r="K125" s="2220"/>
      <c r="L125" s="2220"/>
      <c r="M125" s="2220"/>
      <c r="N125" s="2220"/>
      <c r="O125" s="2220"/>
      <c r="P125" s="2220"/>
      <c r="Q125" s="2220"/>
      <c r="R125" s="2220"/>
      <c r="S125" s="2220"/>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13"/>
      <c r="E128" s="2213"/>
      <c r="F128" s="2213"/>
      <c r="G128" s="2213"/>
      <c r="H128" s="2213"/>
      <c r="I128" s="847"/>
      <c r="J128" s="2214"/>
      <c r="K128" s="2214"/>
      <c r="L128" s="847"/>
      <c r="M128" s="847"/>
      <c r="N128" s="847"/>
      <c r="O128" s="847"/>
      <c r="P128" s="847"/>
      <c r="Q128" s="847"/>
      <c r="R128" s="847"/>
      <c r="S128" s="847"/>
      <c r="U128" s="386"/>
    </row>
    <row r="129" spans="1:21" s="383" customFormat="1" ht="12.75">
      <c r="A129" s="847" t="s">
        <v>545</v>
      </c>
      <c r="B129" s="844"/>
      <c r="C129" s="847"/>
      <c r="D129" s="2215" t="s">
        <v>1403</v>
      </c>
      <c r="E129" s="2215"/>
      <c r="F129" s="2215"/>
      <c r="G129" s="2215"/>
      <c r="H129" s="2215"/>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697"/>
      <c r="E131" s="1697"/>
      <c r="F131" s="1697"/>
      <c r="G131" s="1697"/>
      <c r="H131" s="1697"/>
      <c r="I131" s="847"/>
      <c r="J131" s="1697"/>
      <c r="K131" s="1697"/>
      <c r="L131" s="1697"/>
      <c r="M131" s="1697"/>
      <c r="N131" s="847"/>
      <c r="O131" s="847"/>
      <c r="P131" s="847"/>
      <c r="Q131" s="847"/>
      <c r="R131" s="847"/>
      <c r="S131" s="847"/>
      <c r="U131" s="386"/>
    </row>
    <row r="132" spans="1:21" s="383" customFormat="1" ht="12.75">
      <c r="A132" s="849"/>
      <c r="B132" s="847"/>
      <c r="C132" s="847"/>
      <c r="D132" s="2221" t="s">
        <v>1406</v>
      </c>
      <c r="E132" s="2221"/>
      <c r="F132" s="2221"/>
      <c r="G132" s="2221"/>
      <c r="H132" s="2221"/>
      <c r="I132" s="847"/>
      <c r="J132" s="2221" t="s">
        <v>1407</v>
      </c>
      <c r="K132" s="2221"/>
      <c r="L132" s="2221"/>
      <c r="M132" s="2221"/>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22"/>
      <c r="B138" s="2223"/>
      <c r="C138" s="2223"/>
      <c r="D138" s="547"/>
      <c r="E138" s="2214"/>
      <c r="F138" s="2214"/>
      <c r="G138" s="847"/>
      <c r="H138" s="847"/>
      <c r="I138" s="847"/>
      <c r="J138" s="847"/>
      <c r="K138" s="847"/>
      <c r="L138" s="847"/>
      <c r="M138" s="847"/>
      <c r="N138" s="847"/>
      <c r="O138" s="847"/>
      <c r="P138" s="847"/>
      <c r="Q138" s="847"/>
      <c r="R138" s="847"/>
      <c r="S138" s="847"/>
    </row>
    <row r="139" spans="1:21" ht="12" customHeight="1">
      <c r="A139" s="2217" t="s">
        <v>1410</v>
      </c>
      <c r="B139" s="2218"/>
      <c r="C139" s="2218"/>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6" priority="233" stopIfTrue="1">
      <formula>T9&gt;C9</formula>
    </cfRule>
  </conditionalFormatting>
  <conditionalFormatting sqref="T10">
    <cfRule type="expression" dxfId="115" priority="232" stopIfTrue="1">
      <formula>(T10+S10)&gt;C10</formula>
    </cfRule>
  </conditionalFormatting>
  <conditionalFormatting sqref="R8">
    <cfRule type="cellIs" dxfId="114" priority="212" stopIfTrue="1" operator="notEqual">
      <formula>$B8</formula>
    </cfRule>
    <cfRule type="cellIs" priority="215" stopIfTrue="1" operator="notEqual">
      <formula>$B8</formula>
    </cfRule>
  </conditionalFormatting>
  <conditionalFormatting sqref="R4:R7 R45:R52 R56:R60 R82:R94 R98:R102">
    <cfRule type="cellIs" dxfId="113" priority="214" stopIfTrue="1" operator="notEqual">
      <formula>$B4</formula>
    </cfRule>
  </conditionalFormatting>
  <conditionalFormatting sqref="R9:R10">
    <cfRule type="cellIs" dxfId="112" priority="213" stopIfTrue="1" operator="notEqual">
      <formula>$B9</formula>
    </cfRule>
  </conditionalFormatting>
  <conditionalFormatting sqref="R11:R12">
    <cfRule type="cellIs" dxfId="111" priority="210" stopIfTrue="1" operator="notEqual">
      <formula>$B11</formula>
    </cfRule>
    <cfRule type="cellIs" priority="211" stopIfTrue="1" operator="notEqual">
      <formula>$B11</formula>
    </cfRule>
  </conditionalFormatting>
  <conditionalFormatting sqref="R13:R15">
    <cfRule type="cellIs" dxfId="110" priority="209" stopIfTrue="1" operator="notEqual">
      <formula>$B13</formula>
    </cfRule>
  </conditionalFormatting>
  <conditionalFormatting sqref="R26">
    <cfRule type="cellIs" dxfId="109" priority="207" stopIfTrue="1" operator="notEqual">
      <formula>$B26</formula>
    </cfRule>
    <cfRule type="cellIs" priority="208" stopIfTrue="1" operator="notEqual">
      <formula>$B26</formula>
    </cfRule>
  </conditionalFormatting>
  <conditionalFormatting sqref="R17:R25">
    <cfRule type="cellIs" dxfId="108" priority="206" stopIfTrue="1" operator="notEqual">
      <formula>$B17</formula>
    </cfRule>
  </conditionalFormatting>
  <conditionalFormatting sqref="R27">
    <cfRule type="cellIs" dxfId="107" priority="205" stopIfTrue="1" operator="notEqual">
      <formula>$B27</formula>
    </cfRule>
  </conditionalFormatting>
  <conditionalFormatting sqref="R38">
    <cfRule type="cellIs" dxfId="106" priority="203" stopIfTrue="1" operator="notEqual">
      <formula>$B38</formula>
    </cfRule>
    <cfRule type="cellIs" priority="204" stopIfTrue="1" operator="notEqual">
      <formula>$B38</formula>
    </cfRule>
  </conditionalFormatting>
  <conditionalFormatting sqref="R29:R37">
    <cfRule type="cellIs" dxfId="105" priority="202" stopIfTrue="1" operator="notEqual">
      <formula>$B29</formula>
    </cfRule>
  </conditionalFormatting>
  <conditionalFormatting sqref="R42">
    <cfRule type="cellIs" dxfId="104" priority="200" stopIfTrue="1" operator="notEqual">
      <formula>$B42</formula>
    </cfRule>
    <cfRule type="cellIs" priority="201" stopIfTrue="1" operator="notEqual">
      <formula>$B42</formula>
    </cfRule>
  </conditionalFormatting>
  <conditionalFormatting sqref="R40:R41">
    <cfRule type="cellIs" dxfId="103" priority="199" stopIfTrue="1" operator="notEqual">
      <formula>$B40</formula>
    </cfRule>
  </conditionalFormatting>
  <conditionalFormatting sqref="R43">
    <cfRule type="cellIs" dxfId="102" priority="198" stopIfTrue="1" operator="notEqual">
      <formula>$B43</formula>
    </cfRule>
  </conditionalFormatting>
  <conditionalFormatting sqref="R53">
    <cfRule type="cellIs" dxfId="101" priority="195" stopIfTrue="1" operator="notEqual">
      <formula>$B53</formula>
    </cfRule>
    <cfRule type="cellIs" priority="196" stopIfTrue="1" operator="notEqual">
      <formula>$B53</formula>
    </cfRule>
  </conditionalFormatting>
  <conditionalFormatting sqref="R55">
    <cfRule type="cellIs" dxfId="100" priority="193" stopIfTrue="1" operator="notEqual">
      <formula>$B55</formula>
    </cfRule>
  </conditionalFormatting>
  <conditionalFormatting sqref="R61:R62">
    <cfRule type="cellIs" dxfId="99" priority="191" stopIfTrue="1" operator="notEqual">
      <formula>$B61</formula>
    </cfRule>
    <cfRule type="cellIs" priority="192" stopIfTrue="1" operator="notEqual">
      <formula>$B61</formula>
    </cfRule>
  </conditionalFormatting>
  <conditionalFormatting sqref="R64:R68">
    <cfRule type="cellIs" dxfId="98" priority="190" stopIfTrue="1" operator="notEqual">
      <formula>$B64</formula>
    </cfRule>
  </conditionalFormatting>
  <conditionalFormatting sqref="R69">
    <cfRule type="cellIs" dxfId="97" priority="188" stopIfTrue="1" operator="notEqual">
      <formula>$B69</formula>
    </cfRule>
    <cfRule type="cellIs" priority="189" stopIfTrue="1" operator="notEqual">
      <formula>$B69</formula>
    </cfRule>
  </conditionalFormatting>
  <conditionalFormatting sqref="R71:R75">
    <cfRule type="cellIs" dxfId="96" priority="187" stopIfTrue="1" operator="notEqual">
      <formula>$B71</formula>
    </cfRule>
  </conditionalFormatting>
  <conditionalFormatting sqref="R76">
    <cfRule type="cellIs" dxfId="95" priority="185" stopIfTrue="1" operator="notEqual">
      <formula>$B76</formula>
    </cfRule>
    <cfRule type="cellIs" priority="186" stopIfTrue="1" operator="notEqual">
      <formula>$B76</formula>
    </cfRule>
  </conditionalFormatting>
  <conditionalFormatting sqref="R78:R79">
    <cfRule type="cellIs" dxfId="94" priority="184" stopIfTrue="1" operator="notEqual">
      <formula>$B78</formula>
    </cfRule>
  </conditionalFormatting>
  <conditionalFormatting sqref="R95:R96">
    <cfRule type="cellIs" dxfId="93" priority="181" stopIfTrue="1" operator="notEqual">
      <formula>$B95</formula>
    </cfRule>
    <cfRule type="cellIs" priority="182" stopIfTrue="1" operator="notEqual">
      <formula>$B95</formula>
    </cfRule>
  </conditionalFormatting>
  <conditionalFormatting sqref="R103:R104">
    <cfRule type="cellIs" dxfId="92" priority="178" stopIfTrue="1" operator="notEqual">
      <formula>$B103</formula>
    </cfRule>
    <cfRule type="cellIs" priority="179" stopIfTrue="1" operator="notEqual">
      <formula>$B103</formula>
    </cfRule>
  </conditionalFormatting>
  <conditionalFormatting sqref="E104:Q104">
    <cfRule type="cellIs" dxfId="91" priority="177" stopIfTrue="1" operator="notEqual">
      <formula>E$107</formula>
    </cfRule>
  </conditionalFormatting>
  <conditionalFormatting sqref="S43">
    <cfRule type="expression" dxfId="90" priority="70" stopIfTrue="1">
      <formula>(S43+T43)&gt;C43</formula>
    </cfRule>
  </conditionalFormatting>
  <conditionalFormatting sqref="S10">
    <cfRule type="expression" dxfId="89" priority="113" stopIfTrue="1">
      <formula>(S10+T10)&gt;C10</formula>
    </cfRule>
  </conditionalFormatting>
  <conditionalFormatting sqref="S29:S37">
    <cfRule type="expression" dxfId="88" priority="90" stopIfTrue="1">
      <formula>(S29+T29)&gt;C29</formula>
    </cfRule>
  </conditionalFormatting>
  <conditionalFormatting sqref="S23:S24">
    <cfRule type="expression" dxfId="87" priority="94" stopIfTrue="1">
      <formula>(S23+T23)&gt;C23</formula>
    </cfRule>
  </conditionalFormatting>
  <conditionalFormatting sqref="T13">
    <cfRule type="expression" dxfId="86" priority="112" stopIfTrue="1">
      <formula>(T13+S13)&gt;C13</formula>
    </cfRule>
  </conditionalFormatting>
  <conditionalFormatting sqref="T14">
    <cfRule type="expression" dxfId="85" priority="111" stopIfTrue="1">
      <formula>(T14+S14)&gt;C14</formula>
    </cfRule>
  </conditionalFormatting>
  <conditionalFormatting sqref="T17">
    <cfRule type="expression" dxfId="84" priority="110" stopIfTrue="1">
      <formula>(T17+S17)&gt;C17</formula>
    </cfRule>
  </conditionalFormatting>
  <conditionalFormatting sqref="T18">
    <cfRule type="expression" dxfId="83" priority="109" stopIfTrue="1">
      <formula>(T18+S18)&gt;C18</formula>
    </cfRule>
  </conditionalFormatting>
  <conditionalFormatting sqref="T19">
    <cfRule type="expression" dxfId="82" priority="108" stopIfTrue="1">
      <formula>(T19+S19)&gt;C19</formula>
    </cfRule>
  </conditionalFormatting>
  <conditionalFormatting sqref="T20">
    <cfRule type="expression" dxfId="81" priority="107" stopIfTrue="1">
      <formula>(T20+S20)&gt;C20</formula>
    </cfRule>
  </conditionalFormatting>
  <conditionalFormatting sqref="T21">
    <cfRule type="expression" dxfId="80" priority="106" stopIfTrue="1">
      <formula>(T21+S21)&gt;C21</formula>
    </cfRule>
  </conditionalFormatting>
  <conditionalFormatting sqref="T22">
    <cfRule type="expression" dxfId="79" priority="105" stopIfTrue="1">
      <formula>(T22+S22)&gt;C22</formula>
    </cfRule>
  </conditionalFormatting>
  <conditionalFormatting sqref="T23:T24">
    <cfRule type="expression" dxfId="78" priority="104" stopIfTrue="1">
      <formula>(T23+S23)&gt;C23</formula>
    </cfRule>
  </conditionalFormatting>
  <conditionalFormatting sqref="T25">
    <cfRule type="expression" dxfId="77" priority="103" stopIfTrue="1">
      <formula>(T25+S25)&gt;C25</formula>
    </cfRule>
  </conditionalFormatting>
  <conditionalFormatting sqref="S13">
    <cfRule type="expression" dxfId="76" priority="102" stopIfTrue="1">
      <formula>(S13+T13)&gt;C13</formula>
    </cfRule>
  </conditionalFormatting>
  <conditionalFormatting sqref="S14">
    <cfRule type="expression" dxfId="75" priority="101" stopIfTrue="1">
      <formula>(S14+T14)&gt;C14</formula>
    </cfRule>
  </conditionalFormatting>
  <conditionalFormatting sqref="S17">
    <cfRule type="expression" dxfId="74" priority="100" stopIfTrue="1">
      <formula>(S17+T17)&gt;C17</formula>
    </cfRule>
  </conditionalFormatting>
  <conditionalFormatting sqref="S18">
    <cfRule type="expression" dxfId="73" priority="99" stopIfTrue="1">
      <formula>(S18+T18)&gt;C18</formula>
    </cfRule>
  </conditionalFormatting>
  <conditionalFormatting sqref="S19">
    <cfRule type="expression" dxfId="72" priority="98" stopIfTrue="1">
      <formula>(S19+T19)&gt;C19</formula>
    </cfRule>
  </conditionalFormatting>
  <conditionalFormatting sqref="S20">
    <cfRule type="expression" dxfId="71" priority="97" stopIfTrue="1">
      <formula>(S20+T20)&gt;C20</formula>
    </cfRule>
  </conditionalFormatting>
  <conditionalFormatting sqref="S21">
    <cfRule type="expression" dxfId="70" priority="96" stopIfTrue="1">
      <formula>(S21+T21)&gt;C21</formula>
    </cfRule>
  </conditionalFormatting>
  <conditionalFormatting sqref="S22">
    <cfRule type="expression" dxfId="69" priority="95" stopIfTrue="1">
      <formula>(S22+T22)&gt;C22</formula>
    </cfRule>
  </conditionalFormatting>
  <conditionalFormatting sqref="S25">
    <cfRule type="expression" dxfId="68" priority="93" stopIfTrue="1">
      <formula>(S25+T25)&gt;C25</formula>
    </cfRule>
  </conditionalFormatting>
  <conditionalFormatting sqref="S27">
    <cfRule type="expression" dxfId="67" priority="92" stopIfTrue="1">
      <formula>(S27+T27)&gt;C27</formula>
    </cfRule>
  </conditionalFormatting>
  <conditionalFormatting sqref="T27">
    <cfRule type="expression" dxfId="66" priority="91" stopIfTrue="1">
      <formula>(T27+S27)&gt;C27</formula>
    </cfRule>
  </conditionalFormatting>
  <conditionalFormatting sqref="T29">
    <cfRule type="expression" dxfId="65" priority="82" stopIfTrue="1">
      <formula>(T29+S29)&gt;C29</formula>
    </cfRule>
  </conditionalFormatting>
  <conditionalFormatting sqref="T30">
    <cfRule type="expression" dxfId="64" priority="81" stopIfTrue="1">
      <formula>(T30+S30)&gt;C30</formula>
    </cfRule>
  </conditionalFormatting>
  <conditionalFormatting sqref="T31">
    <cfRule type="expression" dxfId="63" priority="80" stopIfTrue="1">
      <formula>(T31+S31)&gt;C31</formula>
    </cfRule>
  </conditionalFormatting>
  <conditionalFormatting sqref="T32">
    <cfRule type="expression" dxfId="62" priority="79" stopIfTrue="1">
      <formula>(T32+S32)&gt;C32</formula>
    </cfRule>
  </conditionalFormatting>
  <conditionalFormatting sqref="T33">
    <cfRule type="expression" dxfId="61" priority="78" stopIfTrue="1">
      <formula>(T33+S33)&gt;C33</formula>
    </cfRule>
  </conditionalFormatting>
  <conditionalFormatting sqref="T34">
    <cfRule type="expression" dxfId="60" priority="77" stopIfTrue="1">
      <formula>(T34+S34)&gt;C34</formula>
    </cfRule>
  </conditionalFormatting>
  <conditionalFormatting sqref="T35:T36">
    <cfRule type="expression" dxfId="59" priority="76" stopIfTrue="1">
      <formula>(T35+S35)&gt;C35</formula>
    </cfRule>
  </conditionalFormatting>
  <conditionalFormatting sqref="T37">
    <cfRule type="expression" dxfId="58" priority="75" stopIfTrue="1">
      <formula>(T37+S37)&gt;C37</formula>
    </cfRule>
  </conditionalFormatting>
  <conditionalFormatting sqref="T40">
    <cfRule type="expression" dxfId="57" priority="74" stopIfTrue="1">
      <formula>(T40+S40)&gt;C40</formula>
    </cfRule>
  </conditionalFormatting>
  <conditionalFormatting sqref="T41">
    <cfRule type="expression" dxfId="56" priority="73" stopIfTrue="1">
      <formula>(T41+S41)&gt;C41</formula>
    </cfRule>
  </conditionalFormatting>
  <conditionalFormatting sqref="S40">
    <cfRule type="expression" dxfId="55" priority="72" stopIfTrue="1">
      <formula>(S40+T40)&gt;C40</formula>
    </cfRule>
  </conditionalFormatting>
  <conditionalFormatting sqref="S41">
    <cfRule type="expression" dxfId="54" priority="71" stopIfTrue="1">
      <formula>(S41+T41)&gt;C41</formula>
    </cfRule>
  </conditionalFormatting>
  <conditionalFormatting sqref="T43">
    <cfRule type="expression" dxfId="53" priority="69" stopIfTrue="1">
      <formula>(T43+S43)&gt;C43</formula>
    </cfRule>
  </conditionalFormatting>
  <conditionalFormatting sqref="S45">
    <cfRule type="expression" dxfId="52" priority="68" stopIfTrue="1">
      <formula>(S45+T45)&gt;C45</formula>
    </cfRule>
  </conditionalFormatting>
  <conditionalFormatting sqref="S46:S52">
    <cfRule type="expression" dxfId="51" priority="67" stopIfTrue="1">
      <formula>(S46+T46)&gt;C46</formula>
    </cfRule>
  </conditionalFormatting>
  <conditionalFormatting sqref="T45">
    <cfRule type="expression" dxfId="50" priority="59" stopIfTrue="1">
      <formula>(T45+S45)&gt;C45</formula>
    </cfRule>
  </conditionalFormatting>
  <conditionalFormatting sqref="T46">
    <cfRule type="expression" dxfId="49" priority="58" stopIfTrue="1">
      <formula>(T46+S46)&gt;C46</formula>
    </cfRule>
  </conditionalFormatting>
  <conditionalFormatting sqref="T47">
    <cfRule type="expression" dxfId="48" priority="57" stopIfTrue="1">
      <formula>(T47+S47)&gt;C47</formula>
    </cfRule>
  </conditionalFormatting>
  <conditionalFormatting sqref="T48">
    <cfRule type="expression" dxfId="47" priority="56" stopIfTrue="1">
      <formula>(T48+S48)&gt;C48</formula>
    </cfRule>
  </conditionalFormatting>
  <conditionalFormatting sqref="T49">
    <cfRule type="expression" dxfId="46" priority="55" stopIfTrue="1">
      <formula>(T49+S49)&gt;C49</formula>
    </cfRule>
  </conditionalFormatting>
  <conditionalFormatting sqref="T50">
    <cfRule type="expression" dxfId="45" priority="54" stopIfTrue="1">
      <formula>(T50+S50)&gt;C50</formula>
    </cfRule>
  </conditionalFormatting>
  <conditionalFormatting sqref="T51">
    <cfRule type="expression" dxfId="44" priority="53" stopIfTrue="1">
      <formula>(T51+S51)&gt;C51</formula>
    </cfRule>
  </conditionalFormatting>
  <conditionalFormatting sqref="T52">
    <cfRule type="expression" dxfId="43" priority="51" stopIfTrue="1">
      <formula>(T52+S52)&gt;C52</formula>
    </cfRule>
  </conditionalFormatting>
  <conditionalFormatting sqref="T64:T67">
    <cfRule type="expression" dxfId="42" priority="50" stopIfTrue="1">
      <formula>(T64+S64)&gt;C64</formula>
    </cfRule>
  </conditionalFormatting>
  <conditionalFormatting sqref="T68">
    <cfRule type="expression" dxfId="41" priority="49" stopIfTrue="1">
      <formula>(T68+S68)&gt;C68</formula>
    </cfRule>
  </conditionalFormatting>
  <conditionalFormatting sqref="S64:S67">
    <cfRule type="expression" dxfId="40" priority="48" stopIfTrue="1">
      <formula>(S64+T64)&gt;C64</formula>
    </cfRule>
  </conditionalFormatting>
  <conditionalFormatting sqref="S68">
    <cfRule type="expression" dxfId="39" priority="47" stopIfTrue="1">
      <formula>(S68+T68)&gt;C68</formula>
    </cfRule>
  </conditionalFormatting>
  <conditionalFormatting sqref="T78">
    <cfRule type="expression" dxfId="38" priority="46" stopIfTrue="1">
      <formula>(T78+S78)&gt;C78</formula>
    </cfRule>
  </conditionalFormatting>
  <conditionalFormatting sqref="T79">
    <cfRule type="expression" dxfId="37" priority="45" stopIfTrue="1">
      <formula>(T79+S79)&gt;C79</formula>
    </cfRule>
  </conditionalFormatting>
  <conditionalFormatting sqref="S78">
    <cfRule type="expression" dxfId="36" priority="44" stopIfTrue="1">
      <formula>(S78+T78)&gt;C78</formula>
    </cfRule>
  </conditionalFormatting>
  <conditionalFormatting sqref="S79">
    <cfRule type="expression" dxfId="35" priority="43" stopIfTrue="1">
      <formula>(S79+T79)&gt;C79</formula>
    </cfRule>
  </conditionalFormatting>
  <conditionalFormatting sqref="S83:S86">
    <cfRule type="expression" dxfId="34" priority="42" stopIfTrue="1">
      <formula>(S83+T83)&gt;C83</formula>
    </cfRule>
  </conditionalFormatting>
  <conditionalFormatting sqref="T83">
    <cfRule type="expression" dxfId="33" priority="38" stopIfTrue="1">
      <formula>(T83+S83)&gt;C83</formula>
    </cfRule>
  </conditionalFormatting>
  <conditionalFormatting sqref="T84">
    <cfRule type="expression" dxfId="32" priority="37" stopIfTrue="1">
      <formula>(T84+S84)&gt;C84</formula>
    </cfRule>
  </conditionalFormatting>
  <conditionalFormatting sqref="T85">
    <cfRule type="expression" dxfId="31" priority="36" stopIfTrue="1">
      <formula>(T85+S85)&gt;C85</formula>
    </cfRule>
  </conditionalFormatting>
  <conditionalFormatting sqref="T86">
    <cfRule type="expression" dxfId="30" priority="35" stopIfTrue="1">
      <formula>(T86+S86)&gt;C86</formula>
    </cfRule>
  </conditionalFormatting>
  <conditionalFormatting sqref="S88:S94">
    <cfRule type="expression" dxfId="29" priority="34" stopIfTrue="1">
      <formula>(S88+T88)&gt;C88</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77" sqref="AB77:AF7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3" t="s">
        <v>1912</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43" t="str">
        <f>IF(T25=100%,'Sources and Basis Breakdown'!G2,'Sources and Basis Breakdown'!F2)</f>
        <v>70% PVC for New Const/
Rehabilitation
DDA/QCT
Building(s)</v>
      </c>
      <c r="U7" s="2243"/>
      <c r="V7" s="2243"/>
      <c r="W7" s="2243"/>
      <c r="X7" s="2243"/>
      <c r="Y7" s="2243" t="str">
        <f>IF(T25=100%," ",'Sources and Basis Breakdown'!G2)</f>
        <v>70% PVC for New Const/
Rehabilitation
NON-DDA/
NON-QCT Building(s)</v>
      </c>
      <c r="Z7" s="2243"/>
      <c r="AA7" s="2243"/>
      <c r="AB7" s="2243"/>
      <c r="AC7" s="2243"/>
      <c r="AD7" s="2243" t="str">
        <f>IF(T25=100%,'Sources and Basis Breakdown'!J2,'Sources and Basis Breakdown'!I2)</f>
        <v>30% PVC for Acquisition
DDA/QCT Building(s)</v>
      </c>
      <c r="AE7" s="2243"/>
      <c r="AF7" s="2243"/>
      <c r="AG7" s="2243"/>
      <c r="AH7" s="2243"/>
      <c r="AI7" s="2243" t="str">
        <f>IF(T25=100%," ",'Sources and Basis Breakdown'!J2)</f>
        <v>30% PVC for Acquisition
NON-DDA/
NON-QCT Building(s)</v>
      </c>
      <c r="AJ7" s="2243"/>
      <c r="AK7" s="2243"/>
      <c r="AL7" s="2243"/>
      <c r="AM7" s="2243"/>
    </row>
    <row r="8" spans="1:40" ht="12.75" customHeight="1">
      <c r="B8" s="337"/>
      <c r="C8" s="1"/>
      <c r="D8" s="1"/>
      <c r="E8" s="1"/>
      <c r="F8" s="1"/>
      <c r="G8" s="1"/>
      <c r="H8" s="1"/>
      <c r="I8" s="1"/>
      <c r="J8" s="1"/>
      <c r="K8" s="1"/>
      <c r="L8" s="1"/>
      <c r="M8" s="1"/>
      <c r="N8" s="1"/>
      <c r="O8" s="1"/>
      <c r="P8" s="1"/>
      <c r="Q8" s="1"/>
      <c r="R8" s="1"/>
      <c r="S8" s="1"/>
      <c r="T8" s="2243"/>
      <c r="U8" s="2243"/>
      <c r="V8" s="2243"/>
      <c r="W8" s="2243"/>
      <c r="X8" s="2243"/>
      <c r="Y8" s="2243"/>
      <c r="Z8" s="2243"/>
      <c r="AA8" s="2243"/>
      <c r="AB8" s="2243"/>
      <c r="AC8" s="2243"/>
      <c r="AD8" s="2243"/>
      <c r="AE8" s="2243"/>
      <c r="AF8" s="2243"/>
      <c r="AG8" s="2243"/>
      <c r="AH8" s="2243"/>
      <c r="AI8" s="2243"/>
      <c r="AJ8" s="2243"/>
      <c r="AK8" s="2243"/>
      <c r="AL8" s="2243"/>
      <c r="AM8" s="2243"/>
    </row>
    <row r="9" spans="1:40" ht="12.75">
      <c r="B9" s="337"/>
      <c r="C9" s="1"/>
      <c r="D9" s="1"/>
      <c r="E9" s="1"/>
      <c r="F9" s="1"/>
      <c r="G9" s="1"/>
      <c r="H9" s="1"/>
      <c r="I9" s="1"/>
      <c r="J9" s="1"/>
      <c r="K9" s="1"/>
      <c r="L9" s="1"/>
      <c r="M9" s="1"/>
      <c r="N9" s="1"/>
      <c r="O9" s="1"/>
      <c r="P9" s="1"/>
      <c r="Q9" s="1"/>
      <c r="R9" s="1"/>
      <c r="S9" s="1"/>
      <c r="T9" s="2243"/>
      <c r="U9" s="2243"/>
      <c r="V9" s="2243"/>
      <c r="W9" s="2243"/>
      <c r="X9" s="2243"/>
      <c r="Y9" s="2243"/>
      <c r="Z9" s="2243"/>
      <c r="AA9" s="2243"/>
      <c r="AB9" s="2243"/>
      <c r="AC9" s="2243"/>
      <c r="AD9" s="2243"/>
      <c r="AE9" s="2243"/>
      <c r="AF9" s="2243"/>
      <c r="AG9" s="2243"/>
      <c r="AH9" s="2243"/>
      <c r="AI9" s="2243"/>
      <c r="AJ9" s="2243"/>
      <c r="AK9" s="2243"/>
      <c r="AL9" s="2243"/>
      <c r="AM9" s="2243"/>
    </row>
    <row r="10" spans="1:40" ht="41.45" customHeight="1">
      <c r="B10" s="277"/>
      <c r="C10" s="278"/>
      <c r="D10" s="278"/>
      <c r="E10" s="278"/>
      <c r="F10" s="278"/>
      <c r="G10" s="278"/>
      <c r="H10" s="278"/>
      <c r="I10" s="278"/>
      <c r="J10" s="278"/>
      <c r="K10" s="278"/>
      <c r="L10" s="278"/>
      <c r="M10" s="278"/>
      <c r="N10" s="278"/>
      <c r="O10" s="278"/>
      <c r="P10" s="278"/>
      <c r="Q10" s="278"/>
      <c r="R10" s="278"/>
      <c r="S10" s="278"/>
      <c r="T10" s="2243"/>
      <c r="U10" s="2243"/>
      <c r="V10" s="2243"/>
      <c r="W10" s="2243"/>
      <c r="X10" s="2243"/>
      <c r="Y10" s="2243"/>
      <c r="Z10" s="2243"/>
      <c r="AA10" s="2243"/>
      <c r="AB10" s="2243"/>
      <c r="AC10" s="2243"/>
      <c r="AD10" s="2243"/>
      <c r="AE10" s="2243"/>
      <c r="AF10" s="2243"/>
      <c r="AG10" s="2243"/>
      <c r="AH10" s="2243"/>
      <c r="AI10" s="2243"/>
      <c r="AJ10" s="2243"/>
      <c r="AK10" s="2243"/>
      <c r="AL10" s="2243"/>
      <c r="AM10" s="2243"/>
    </row>
    <row r="11" spans="1:40" ht="12.75">
      <c r="B11" s="2240" t="s">
        <v>563</v>
      </c>
      <c r="C11" s="2241"/>
      <c r="D11" s="2241"/>
      <c r="E11" s="2241"/>
      <c r="F11" s="2241"/>
      <c r="G11" s="2241"/>
      <c r="H11" s="2241"/>
      <c r="I11" s="2241"/>
      <c r="J11" s="2241"/>
      <c r="K11" s="2241"/>
      <c r="L11" s="2241"/>
      <c r="M11" s="2241"/>
      <c r="N11" s="2241"/>
      <c r="O11" s="2241"/>
      <c r="P11" s="2241"/>
      <c r="Q11" s="2241"/>
      <c r="R11" s="2241"/>
      <c r="S11" s="2242"/>
      <c r="T11" s="2280">
        <f>IF('Sources and Basis Breakdown'!F105=0,'Sources and Basis Breakdown'!E105,'Sources and Basis Breakdown'!F105)</f>
        <v>23866844</v>
      </c>
      <c r="U11" s="2268"/>
      <c r="V11" s="2268"/>
      <c r="W11" s="2268"/>
      <c r="X11" s="2268"/>
      <c r="Y11" s="2267">
        <f>IF(Y7=" ",0,IF('Sources and Basis Breakdown'!G105+'Sources and Basis Breakdown'!F105='Sources and Basis Breakdown'!E105,'Sources and Basis Breakdown'!G105,0))</f>
        <v>0</v>
      </c>
      <c r="Z11" s="2268"/>
      <c r="AA11" s="2268"/>
      <c r="AB11" s="2268"/>
      <c r="AC11" s="2268"/>
      <c r="AD11" s="2268">
        <f>IF('Sources and Basis Breakdown'!I105=0,'Sources and Basis Breakdown'!H105,'Sources and Basis Breakdown'!I105)</f>
        <v>0</v>
      </c>
      <c r="AE11" s="2268"/>
      <c r="AF11" s="2268"/>
      <c r="AG11" s="2268"/>
      <c r="AH11" s="2268"/>
      <c r="AI11" s="2268">
        <f>IF(AI7=" ",0,IF('Sources and Basis Breakdown'!I105+'Sources and Basis Breakdown'!J105='Sources and Basis Breakdown'!H105,'Sources and Basis Breakdown'!J105,0))</f>
        <v>0</v>
      </c>
      <c r="AJ11" s="2268"/>
      <c r="AK11" s="2268"/>
      <c r="AL11" s="2268"/>
      <c r="AM11" s="2268"/>
    </row>
    <row r="12" spans="1:40" ht="12.75">
      <c r="B12" s="2273" t="s">
        <v>493</v>
      </c>
      <c r="C12" s="2274"/>
      <c r="D12" s="2274"/>
      <c r="E12" s="2274"/>
      <c r="F12" s="2274"/>
      <c r="G12" s="2274"/>
      <c r="H12" s="2274"/>
      <c r="I12" s="2274"/>
      <c r="J12" s="2274"/>
      <c r="K12" s="2274"/>
      <c r="L12" s="2274"/>
      <c r="M12" s="2274"/>
      <c r="N12" s="2274"/>
      <c r="O12" s="2274"/>
      <c r="P12" s="2274"/>
      <c r="Q12" s="2274"/>
      <c r="R12" s="2274"/>
      <c r="S12" s="2275"/>
      <c r="T12" s="2270"/>
      <c r="U12" s="2271"/>
      <c r="V12" s="2271"/>
      <c r="W12" s="2271"/>
      <c r="X12" s="2272"/>
      <c r="Y12" s="2270"/>
      <c r="Z12" s="2271"/>
      <c r="AA12" s="2271"/>
      <c r="AB12" s="2271"/>
      <c r="AC12" s="2272"/>
      <c r="AD12" s="2270"/>
      <c r="AE12" s="2271"/>
      <c r="AF12" s="2271"/>
      <c r="AG12" s="2271"/>
      <c r="AH12" s="2272"/>
      <c r="AI12" s="2270"/>
      <c r="AJ12" s="2271"/>
      <c r="AK12" s="2271"/>
      <c r="AL12" s="2271"/>
      <c r="AM12" s="2272"/>
    </row>
    <row r="13" spans="1:40" ht="12.75">
      <c r="B13" s="11"/>
      <c r="C13" s="2276" t="s">
        <v>1876</v>
      </c>
      <c r="D13" s="2277"/>
      <c r="E13" s="2277"/>
      <c r="F13" s="2277"/>
      <c r="G13" s="2277"/>
      <c r="H13" s="2277"/>
      <c r="I13" s="2277"/>
      <c r="J13" s="2277"/>
      <c r="K13" s="2277"/>
      <c r="L13" s="2277"/>
      <c r="M13" s="2277"/>
      <c r="N13" s="2277"/>
      <c r="O13" s="2277"/>
      <c r="P13" s="2277"/>
      <c r="Q13" s="2277"/>
      <c r="R13" s="2277"/>
      <c r="S13" s="2278"/>
      <c r="T13" s="2269"/>
      <c r="U13" s="2266"/>
      <c r="V13" s="2266"/>
      <c r="W13" s="2266"/>
      <c r="X13" s="2266"/>
      <c r="Y13" s="2269"/>
      <c r="Z13" s="2266"/>
      <c r="AA13" s="2266"/>
      <c r="AB13" s="2266"/>
      <c r="AC13" s="2266"/>
      <c r="AD13" s="2266"/>
      <c r="AE13" s="2266"/>
      <c r="AF13" s="2266"/>
      <c r="AG13" s="2266"/>
      <c r="AH13" s="2266"/>
      <c r="AI13" s="2266"/>
      <c r="AJ13" s="2266"/>
      <c r="AK13" s="2266"/>
      <c r="AL13" s="2266"/>
      <c r="AM13" s="2266"/>
    </row>
    <row r="14" spans="1:40" ht="12.75">
      <c r="B14" s="11"/>
      <c r="C14" s="2277" t="s">
        <v>833</v>
      </c>
      <c r="D14" s="2277"/>
      <c r="E14" s="2277"/>
      <c r="F14" s="2277"/>
      <c r="G14" s="2277"/>
      <c r="H14" s="2277"/>
      <c r="I14" s="2277"/>
      <c r="J14" s="2277"/>
      <c r="K14" s="2277"/>
      <c r="L14" s="2277"/>
      <c r="M14" s="2277"/>
      <c r="N14" s="2277"/>
      <c r="O14" s="2277"/>
      <c r="P14" s="2277"/>
      <c r="Q14" s="2277"/>
      <c r="R14" s="2277"/>
      <c r="S14" s="2278"/>
      <c r="T14" s="1662"/>
      <c r="U14" s="1757"/>
      <c r="V14" s="1757"/>
      <c r="W14" s="1757"/>
      <c r="X14" s="1757"/>
      <c r="Y14" s="1662"/>
      <c r="Z14" s="1757"/>
      <c r="AA14" s="1757"/>
      <c r="AB14" s="1757"/>
      <c r="AC14" s="1757"/>
      <c r="AD14" s="1757"/>
      <c r="AE14" s="1757"/>
      <c r="AF14" s="1757"/>
      <c r="AG14" s="1757"/>
      <c r="AH14" s="1757"/>
      <c r="AI14" s="1757"/>
      <c r="AJ14" s="1757"/>
      <c r="AK14" s="1757"/>
      <c r="AL14" s="1757"/>
      <c r="AM14" s="1757"/>
    </row>
    <row r="15" spans="1:40" ht="12.75">
      <c r="B15" s="11"/>
      <c r="C15" s="2277" t="s">
        <v>834</v>
      </c>
      <c r="D15" s="2277"/>
      <c r="E15" s="2277"/>
      <c r="F15" s="2277"/>
      <c r="G15" s="2277"/>
      <c r="H15" s="2277"/>
      <c r="I15" s="2277"/>
      <c r="J15" s="2277"/>
      <c r="K15" s="2277"/>
      <c r="L15" s="2277"/>
      <c r="M15" s="2277"/>
      <c r="N15" s="2277"/>
      <c r="O15" s="2277"/>
      <c r="P15" s="2277"/>
      <c r="Q15" s="2277"/>
      <c r="R15" s="2277"/>
      <c r="S15" s="2278"/>
      <c r="T15" s="1662"/>
      <c r="U15" s="1757"/>
      <c r="V15" s="1757"/>
      <c r="W15" s="1757"/>
      <c r="X15" s="1757"/>
      <c r="Y15" s="1662"/>
      <c r="Z15" s="1757"/>
      <c r="AA15" s="1757"/>
      <c r="AB15" s="1757"/>
      <c r="AC15" s="1757"/>
      <c r="AD15" s="1757"/>
      <c r="AE15" s="1757"/>
      <c r="AF15" s="1757"/>
      <c r="AG15" s="1757"/>
      <c r="AH15" s="1757"/>
      <c r="AI15" s="1757"/>
      <c r="AJ15" s="1757"/>
      <c r="AK15" s="1757"/>
      <c r="AL15" s="1757"/>
      <c r="AM15" s="1757"/>
    </row>
    <row r="16" spans="1:40" ht="12.75">
      <c r="B16" s="11"/>
      <c r="C16" s="2276" t="s">
        <v>1096</v>
      </c>
      <c r="D16" s="2276"/>
      <c r="E16" s="2276"/>
      <c r="F16" s="2276"/>
      <c r="G16" s="2276"/>
      <c r="H16" s="2276"/>
      <c r="I16" s="2276"/>
      <c r="J16" s="2276"/>
      <c r="K16" s="2276"/>
      <c r="L16" s="2276"/>
      <c r="M16" s="2276"/>
      <c r="N16" s="2276"/>
      <c r="O16" s="2276"/>
      <c r="P16" s="2276"/>
      <c r="Q16" s="2276"/>
      <c r="R16" s="2276"/>
      <c r="S16" s="2279"/>
      <c r="T16" s="1662">
        <v>117549</v>
      </c>
      <c r="U16" s="1757"/>
      <c r="V16" s="1757"/>
      <c r="W16" s="1757"/>
      <c r="X16" s="1757"/>
      <c r="Y16" s="1662"/>
      <c r="Z16" s="1757"/>
      <c r="AA16" s="1757"/>
      <c r="AB16" s="1757"/>
      <c r="AC16" s="1757"/>
      <c r="AD16" s="1757"/>
      <c r="AE16" s="1757"/>
      <c r="AF16" s="1757"/>
      <c r="AG16" s="1757"/>
      <c r="AH16" s="1757"/>
      <c r="AI16" s="1757"/>
      <c r="AJ16" s="1757"/>
      <c r="AK16" s="1757"/>
      <c r="AL16" s="1757"/>
      <c r="AM16" s="1757"/>
    </row>
    <row r="17" spans="1:39" ht="12.75">
      <c r="B17" s="11"/>
      <c r="C17" s="2277" t="s">
        <v>835</v>
      </c>
      <c r="D17" s="2277"/>
      <c r="E17" s="2277"/>
      <c r="F17" s="2277"/>
      <c r="G17" s="2277"/>
      <c r="H17" s="2277"/>
      <c r="I17" s="2277"/>
      <c r="J17" s="2277"/>
      <c r="K17" s="2277"/>
      <c r="L17" s="2277"/>
      <c r="M17" s="2277"/>
      <c r="N17" s="2277"/>
      <c r="O17" s="2277"/>
      <c r="P17" s="2277"/>
      <c r="Q17" s="2277"/>
      <c r="R17" s="2277"/>
      <c r="S17" s="2278"/>
      <c r="T17" s="1662"/>
      <c r="U17" s="1757"/>
      <c r="V17" s="1757"/>
      <c r="W17" s="1757"/>
      <c r="X17" s="1757"/>
      <c r="Y17" s="1662"/>
      <c r="Z17" s="1757"/>
      <c r="AA17" s="1757"/>
      <c r="AB17" s="1757"/>
      <c r="AC17" s="1757"/>
      <c r="AD17" s="1757"/>
      <c r="AE17" s="1757"/>
      <c r="AF17" s="1757"/>
      <c r="AG17" s="1757"/>
      <c r="AH17" s="1757"/>
      <c r="AI17" s="1757"/>
      <c r="AJ17" s="1757"/>
      <c r="AK17" s="1757"/>
      <c r="AL17" s="1757"/>
      <c r="AM17" s="1757"/>
    </row>
    <row r="18" spans="1:39" ht="12.75">
      <c r="B18" s="903"/>
      <c r="C18" s="1673" t="s">
        <v>1317</v>
      </c>
      <c r="D18" s="1673"/>
      <c r="E18" s="1673"/>
      <c r="F18" s="1673"/>
      <c r="G18" s="1673"/>
      <c r="H18" s="1673"/>
      <c r="I18" s="1673"/>
      <c r="J18" s="1673"/>
      <c r="K18" s="1673"/>
      <c r="L18" s="1673"/>
      <c r="M18" s="1673"/>
      <c r="N18" s="1673"/>
      <c r="O18" s="1673"/>
      <c r="P18" s="1673"/>
      <c r="Q18" s="1673"/>
      <c r="R18" s="1673"/>
      <c r="S18" s="1674"/>
      <c r="T18" s="1660"/>
      <c r="U18" s="1661"/>
      <c r="V18" s="1661"/>
      <c r="W18" s="1661"/>
      <c r="X18" s="1662"/>
      <c r="Y18" s="1662"/>
      <c r="Z18" s="1757"/>
      <c r="AA18" s="1757"/>
      <c r="AB18" s="1757"/>
      <c r="AC18" s="1757"/>
      <c r="AD18" s="1757"/>
      <c r="AE18" s="1757"/>
      <c r="AF18" s="1757"/>
      <c r="AG18" s="1757"/>
      <c r="AH18" s="1757"/>
      <c r="AI18" s="1757"/>
      <c r="AJ18" s="1757"/>
      <c r="AK18" s="1757"/>
      <c r="AL18" s="1757"/>
      <c r="AM18" s="1757"/>
    </row>
    <row r="19" spans="1:39" ht="12.75">
      <c r="B19" s="745"/>
      <c r="C19" s="1673" t="s">
        <v>1317</v>
      </c>
      <c r="D19" s="1673"/>
      <c r="E19" s="1673"/>
      <c r="F19" s="1673"/>
      <c r="G19" s="1673"/>
      <c r="H19" s="1673"/>
      <c r="I19" s="1673"/>
      <c r="J19" s="1673"/>
      <c r="K19" s="1673"/>
      <c r="L19" s="1673"/>
      <c r="M19" s="1673"/>
      <c r="N19" s="1673"/>
      <c r="O19" s="1673"/>
      <c r="P19" s="1673"/>
      <c r="Q19" s="1673"/>
      <c r="R19" s="1673"/>
      <c r="S19" s="1674"/>
      <c r="T19" s="1662"/>
      <c r="U19" s="1757"/>
      <c r="V19" s="1757"/>
      <c r="W19" s="1757"/>
      <c r="X19" s="1757"/>
      <c r="Y19" s="1662"/>
      <c r="Z19" s="1757"/>
      <c r="AA19" s="1757"/>
      <c r="AB19" s="1757"/>
      <c r="AC19" s="1757"/>
      <c r="AD19" s="1757"/>
      <c r="AE19" s="1757"/>
      <c r="AF19" s="1757"/>
      <c r="AG19" s="1757"/>
      <c r="AH19" s="1757"/>
      <c r="AI19" s="1757"/>
      <c r="AJ19" s="1757"/>
      <c r="AK19" s="1757"/>
      <c r="AL19" s="1757"/>
      <c r="AM19" s="1757"/>
    </row>
    <row r="20" spans="1:39" ht="12.75">
      <c r="B20" s="2240" t="s">
        <v>836</v>
      </c>
      <c r="C20" s="2241"/>
      <c r="D20" s="2241"/>
      <c r="E20" s="2241"/>
      <c r="F20" s="2241"/>
      <c r="G20" s="2241"/>
      <c r="H20" s="2241"/>
      <c r="I20" s="2241"/>
      <c r="J20" s="2241"/>
      <c r="K20" s="2241"/>
      <c r="L20" s="2241"/>
      <c r="M20" s="2241"/>
      <c r="N20" s="2241"/>
      <c r="O20" s="2241"/>
      <c r="P20" s="2241"/>
      <c r="Q20" s="2241"/>
      <c r="R20" s="2241"/>
      <c r="S20" s="2242"/>
      <c r="T20" s="2235">
        <f>SUM(T13:X19)</f>
        <v>117549</v>
      </c>
      <c r="U20" s="2236"/>
      <c r="V20" s="2236"/>
      <c r="W20" s="2236"/>
      <c r="X20" s="2236"/>
      <c r="Y20" s="2235">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40" t="s">
        <v>1875</v>
      </c>
      <c r="C21" s="2241"/>
      <c r="D21" s="2241"/>
      <c r="E21" s="2241"/>
      <c r="F21" s="2241"/>
      <c r="G21" s="2241"/>
      <c r="H21" s="2241"/>
      <c r="I21" s="2241"/>
      <c r="J21" s="2241"/>
      <c r="K21" s="2241"/>
      <c r="L21" s="2241"/>
      <c r="M21" s="2241"/>
      <c r="N21" s="2241"/>
      <c r="O21" s="2241"/>
      <c r="P21" s="2241"/>
      <c r="Q21" s="2241"/>
      <c r="R21" s="2241"/>
      <c r="S21" s="2242"/>
      <c r="T21" s="1662">
        <v>2549245</v>
      </c>
      <c r="U21" s="1757"/>
      <c r="V21" s="1757"/>
      <c r="W21" s="1757"/>
      <c r="X21" s="1757"/>
      <c r="Y21" s="1662"/>
      <c r="Z21" s="1757"/>
      <c r="AA21" s="1757"/>
      <c r="AB21" s="1757"/>
      <c r="AC21" s="1757"/>
      <c r="AD21" s="1757"/>
      <c r="AE21" s="1757"/>
      <c r="AF21" s="1757"/>
      <c r="AG21" s="1757"/>
      <c r="AH21" s="1757"/>
      <c r="AI21" s="1660"/>
      <c r="AJ21" s="1661"/>
      <c r="AK21" s="1661"/>
      <c r="AL21" s="1661"/>
      <c r="AM21" s="1662"/>
    </row>
    <row r="22" spans="1:39" ht="12.75">
      <c r="B22" s="2240" t="s">
        <v>837</v>
      </c>
      <c r="C22" s="2241"/>
      <c r="D22" s="2241"/>
      <c r="E22" s="2241"/>
      <c r="F22" s="2241"/>
      <c r="G22" s="2241"/>
      <c r="H22" s="2241"/>
      <c r="I22" s="2241"/>
      <c r="J22" s="2241"/>
      <c r="K22" s="2241"/>
      <c r="L22" s="2241"/>
      <c r="M22" s="2241"/>
      <c r="N22" s="2241"/>
      <c r="O22" s="2241"/>
      <c r="P22" s="2241"/>
      <c r="Q22" s="2241"/>
      <c r="R22" s="2241"/>
      <c r="S22" s="2242"/>
      <c r="T22" s="2281">
        <f>(T20+T21)*-1</f>
        <v>-2666794</v>
      </c>
      <c r="U22" s="2282"/>
      <c r="V22" s="2282"/>
      <c r="W22" s="2282"/>
      <c r="X22" s="2282"/>
      <c r="Y22" s="2281">
        <f>(Y20+Y21)*-1</f>
        <v>0</v>
      </c>
      <c r="Z22" s="2282"/>
      <c r="AA22" s="2282"/>
      <c r="AB22" s="2282"/>
      <c r="AC22" s="2282"/>
      <c r="AD22" s="2281">
        <f>(AD20+AD21)*-1</f>
        <v>0</v>
      </c>
      <c r="AE22" s="2282"/>
      <c r="AF22" s="2282"/>
      <c r="AG22" s="2282"/>
      <c r="AH22" s="2282"/>
      <c r="AI22" s="2292">
        <f>(AI20+AI21)*-1</f>
        <v>0</v>
      </c>
      <c r="AJ22" s="2293"/>
      <c r="AK22" s="2293"/>
      <c r="AL22" s="2293"/>
      <c r="AM22" s="2281"/>
    </row>
    <row r="23" spans="1:39" ht="12.75">
      <c r="A23" s="2"/>
      <c r="B23" s="2300" t="s">
        <v>2104</v>
      </c>
      <c r="C23" s="2301"/>
      <c r="D23" s="2301"/>
      <c r="E23" s="2301"/>
      <c r="F23" s="2301"/>
      <c r="G23" s="2301"/>
      <c r="H23" s="2301"/>
      <c r="I23" s="2301"/>
      <c r="J23" s="2301"/>
      <c r="K23" s="2301"/>
      <c r="L23" s="2301"/>
      <c r="M23" s="2301"/>
      <c r="N23" s="2301"/>
      <c r="O23" s="2301"/>
      <c r="P23" s="2301"/>
      <c r="Q23" s="2301"/>
      <c r="R23" s="2301"/>
      <c r="S23" s="2302"/>
      <c r="T23" s="2235">
        <f>T11+T22</f>
        <v>21200050</v>
      </c>
      <c r="U23" s="2236"/>
      <c r="V23" s="2236"/>
      <c r="W23" s="2236"/>
      <c r="X23" s="2236"/>
      <c r="Y23" s="2235">
        <f>Y11+Y22</f>
        <v>0</v>
      </c>
      <c r="Z23" s="2236"/>
      <c r="AA23" s="2236"/>
      <c r="AB23" s="2236"/>
      <c r="AC23" s="2236"/>
      <c r="AD23" s="2235">
        <f>IF(AD11=AD21,0,AD11)</f>
        <v>0</v>
      </c>
      <c r="AE23" s="2236"/>
      <c r="AF23" s="2236"/>
      <c r="AG23" s="2236"/>
      <c r="AH23" s="2236"/>
      <c r="AI23" s="2235">
        <f>IF(AI11=AI21,0,AI11)</f>
        <v>0</v>
      </c>
      <c r="AJ23" s="2236"/>
      <c r="AK23" s="2236"/>
      <c r="AL23" s="2236"/>
      <c r="AM23" s="2236"/>
    </row>
    <row r="24" spans="1:39" ht="12.75">
      <c r="B24" s="2240" t="s">
        <v>1318</v>
      </c>
      <c r="C24" s="2241"/>
      <c r="D24" s="2241"/>
      <c r="E24" s="2241"/>
      <c r="F24" s="2241"/>
      <c r="G24" s="2241"/>
      <c r="H24" s="2241"/>
      <c r="I24" s="2241"/>
      <c r="J24" s="2241"/>
      <c r="K24" s="2241"/>
      <c r="L24" s="2241"/>
      <c r="M24" s="2241"/>
      <c r="N24" s="2241"/>
      <c r="O24" s="2241"/>
      <c r="P24" s="2241"/>
      <c r="Q24" s="2241"/>
      <c r="R24" s="2241"/>
      <c r="S24" s="2242"/>
      <c r="T24" s="2303">
        <f>Application!AJ1002</f>
        <v>22260525</v>
      </c>
      <c r="U24" s="2304"/>
      <c r="V24" s="2304"/>
      <c r="W24" s="2304"/>
      <c r="X24" s="2304"/>
      <c r="Y24" s="2304"/>
      <c r="Z24" s="2304"/>
      <c r="AA24" s="2304"/>
      <c r="AB24" s="2304"/>
      <c r="AC24" s="2304"/>
      <c r="AD24" s="2304"/>
      <c r="AE24" s="2304"/>
      <c r="AF24" s="2304"/>
      <c r="AG24" s="2304"/>
      <c r="AH24" s="2304"/>
      <c r="AI24" s="2304"/>
      <c r="AJ24" s="2304"/>
      <c r="AK24" s="2304"/>
      <c r="AL24" s="2304"/>
      <c r="AM24" s="2235"/>
    </row>
    <row r="25" spans="1:39" ht="12.75">
      <c r="B25" s="2294" t="s">
        <v>2106</v>
      </c>
      <c r="C25" s="2295"/>
      <c r="D25" s="2295"/>
      <c r="E25" s="2295"/>
      <c r="F25" s="2295"/>
      <c r="G25" s="2295"/>
      <c r="H25" s="2295"/>
      <c r="I25" s="2295"/>
      <c r="J25" s="2295"/>
      <c r="K25" s="2295"/>
      <c r="L25" s="2295"/>
      <c r="M25" s="2295"/>
      <c r="N25" s="2295"/>
      <c r="O25" s="2295"/>
      <c r="P25" s="2295"/>
      <c r="Q25" s="2295"/>
      <c r="R25" s="2295"/>
      <c r="S25" s="2296"/>
      <c r="T25" s="2283">
        <f>IF(OR(AND(Application!T193="no",Application!T194="no",Application!T196="no",Application!Y211="no"),Application!T195="yes"),1,1.3)</f>
        <v>1.3</v>
      </c>
      <c r="U25" s="2284"/>
      <c r="V25" s="2284"/>
      <c r="W25" s="2284"/>
      <c r="X25" s="2284"/>
      <c r="Y25" s="2287">
        <v>1</v>
      </c>
      <c r="Z25" s="2288"/>
      <c r="AA25" s="2288"/>
      <c r="AB25" s="2288"/>
      <c r="AC25" s="2289"/>
      <c r="AD25" s="2287">
        <v>1</v>
      </c>
      <c r="AE25" s="2288"/>
      <c r="AF25" s="2288"/>
      <c r="AG25" s="2288"/>
      <c r="AH25" s="2289"/>
      <c r="AI25" s="2287">
        <v>1</v>
      </c>
      <c r="AJ25" s="2288"/>
      <c r="AK25" s="2288"/>
      <c r="AL25" s="2288"/>
      <c r="AM25" s="2289"/>
    </row>
    <row r="26" spans="1:39" ht="12.75">
      <c r="B26" s="2240" t="s">
        <v>839</v>
      </c>
      <c r="C26" s="2241"/>
      <c r="D26" s="2241"/>
      <c r="E26" s="2241"/>
      <c r="F26" s="2241"/>
      <c r="G26" s="2241"/>
      <c r="H26" s="2241"/>
      <c r="I26" s="2241"/>
      <c r="J26" s="2241"/>
      <c r="K26" s="2241"/>
      <c r="L26" s="2241"/>
      <c r="M26" s="2241"/>
      <c r="N26" s="2241"/>
      <c r="O26" s="2241"/>
      <c r="P26" s="2241"/>
      <c r="Q26" s="2241"/>
      <c r="R26" s="2241"/>
      <c r="S26" s="2242"/>
      <c r="T26" s="2290">
        <f>T23*T25</f>
        <v>27560065</v>
      </c>
      <c r="U26" s="2291"/>
      <c r="V26" s="2291"/>
      <c r="W26" s="2291"/>
      <c r="X26" s="2291"/>
      <c r="Y26" s="2290">
        <f>Y23*Y25</f>
        <v>0</v>
      </c>
      <c r="Z26" s="2291"/>
      <c r="AA26" s="2291"/>
      <c r="AB26" s="2291"/>
      <c r="AC26" s="2291"/>
      <c r="AD26" s="2290">
        <f>AD23*AD25</f>
        <v>0</v>
      </c>
      <c r="AE26" s="2291"/>
      <c r="AF26" s="2291"/>
      <c r="AG26" s="2291"/>
      <c r="AH26" s="2291"/>
      <c r="AI26" s="2290">
        <f>AI23*AI25</f>
        <v>0</v>
      </c>
      <c r="AJ26" s="2291"/>
      <c r="AK26" s="2291"/>
      <c r="AL26" s="2291"/>
      <c r="AM26" s="2291"/>
    </row>
    <row r="27" spans="1:39" ht="12.75">
      <c r="A27" s="7"/>
      <c r="B27" s="2297" t="s">
        <v>957</v>
      </c>
      <c r="C27" s="2298"/>
      <c r="D27" s="2298"/>
      <c r="E27" s="2298"/>
      <c r="F27" s="2298"/>
      <c r="G27" s="2298"/>
      <c r="H27" s="2298"/>
      <c r="I27" s="2298"/>
      <c r="J27" s="2298"/>
      <c r="K27" s="2298"/>
      <c r="L27" s="2298"/>
      <c r="M27" s="2298"/>
      <c r="N27" s="2298"/>
      <c r="O27" s="2298"/>
      <c r="P27" s="2298"/>
      <c r="Q27" s="2298"/>
      <c r="R27" s="2298"/>
      <c r="S27" s="2299"/>
      <c r="T27" s="2285">
        <f>Application!AG438</f>
        <v>1</v>
      </c>
      <c r="U27" s="2286"/>
      <c r="V27" s="2286"/>
      <c r="W27" s="2286"/>
      <c r="X27" s="2286"/>
      <c r="Y27" s="2285">
        <f>Application!AG438</f>
        <v>1</v>
      </c>
      <c r="Z27" s="2286"/>
      <c r="AA27" s="2286"/>
      <c r="AB27" s="2286"/>
      <c r="AC27" s="2286"/>
      <c r="AD27" s="2285">
        <f>Application!AG438</f>
        <v>1</v>
      </c>
      <c r="AE27" s="2286"/>
      <c r="AF27" s="2286"/>
      <c r="AG27" s="2286"/>
      <c r="AH27" s="2286"/>
      <c r="AI27" s="2285">
        <f>Application!AG438</f>
        <v>1</v>
      </c>
      <c r="AJ27" s="2286"/>
      <c r="AK27" s="2286"/>
      <c r="AL27" s="2286"/>
      <c r="AM27" s="2286"/>
    </row>
    <row r="28" spans="1:39" ht="12.75" customHeight="1">
      <c r="A28" s="6"/>
      <c r="B28" s="2240" t="s">
        <v>917</v>
      </c>
      <c r="C28" s="2241"/>
      <c r="D28" s="2241"/>
      <c r="E28" s="2241"/>
      <c r="F28" s="2241"/>
      <c r="G28" s="2241"/>
      <c r="H28" s="2241"/>
      <c r="I28" s="2241"/>
      <c r="J28" s="2241"/>
      <c r="K28" s="2241"/>
      <c r="L28" s="2241"/>
      <c r="M28" s="2241"/>
      <c r="N28" s="2241"/>
      <c r="O28" s="2241"/>
      <c r="P28" s="2241"/>
      <c r="Q28" s="2241"/>
      <c r="R28" s="2241"/>
      <c r="S28" s="2242"/>
      <c r="T28" s="1817">
        <f>IF(ISERROR((T26*T27)),0,(T26*T27))</f>
        <v>27560065</v>
      </c>
      <c r="U28" s="2257"/>
      <c r="V28" s="2257"/>
      <c r="W28" s="2257"/>
      <c r="X28" s="2257"/>
      <c r="Y28" s="1817">
        <f>IF(ISERROR((Y26*Y27)),0,(Y26*Y27))</f>
        <v>0</v>
      </c>
      <c r="Z28" s="2257"/>
      <c r="AA28" s="2257"/>
      <c r="AB28" s="2257"/>
      <c r="AC28" s="2257"/>
      <c r="AD28" s="1817">
        <f>IF(ISERROR((AD26*AD27)),0,(AD26*AD27))</f>
        <v>0</v>
      </c>
      <c r="AE28" s="2257"/>
      <c r="AF28" s="2257"/>
      <c r="AG28" s="2257"/>
      <c r="AH28" s="2257"/>
      <c r="AI28" s="1817">
        <f>IF(ISERROR((AI26*AI27)),0,(AI26*AI27))</f>
        <v>0</v>
      </c>
      <c r="AJ28" s="2257"/>
      <c r="AK28" s="2257"/>
      <c r="AL28" s="2257"/>
      <c r="AM28" s="2257"/>
    </row>
    <row r="29" spans="1:39" ht="12.75">
      <c r="B29" s="2240" t="s">
        <v>685</v>
      </c>
      <c r="C29" s="2241"/>
      <c r="D29" s="2241"/>
      <c r="E29" s="2241"/>
      <c r="F29" s="2241"/>
      <c r="G29" s="2241"/>
      <c r="H29" s="2241"/>
      <c r="I29" s="2241"/>
      <c r="J29" s="2241"/>
      <c r="K29" s="2241"/>
      <c r="L29" s="2241"/>
      <c r="M29" s="2241"/>
      <c r="N29" s="2241"/>
      <c r="O29" s="2241"/>
      <c r="P29" s="2241"/>
      <c r="Q29" s="2241"/>
      <c r="R29" s="2241"/>
      <c r="S29" s="2242"/>
      <c r="T29" s="2303">
        <f>T28+Y28+AD28+AI28</f>
        <v>27560065</v>
      </c>
      <c r="U29" s="2304"/>
      <c r="V29" s="2304"/>
      <c r="W29" s="2304"/>
      <c r="X29" s="2304"/>
      <c r="Y29" s="2304"/>
      <c r="Z29" s="2304"/>
      <c r="AA29" s="2304"/>
      <c r="AB29" s="2304"/>
      <c r="AC29" s="2304"/>
      <c r="AD29" s="2304"/>
      <c r="AE29" s="2304"/>
      <c r="AF29" s="2304"/>
      <c r="AG29" s="2304"/>
      <c r="AH29" s="2304"/>
      <c r="AI29" s="2304"/>
      <c r="AJ29" s="2304"/>
      <c r="AK29" s="2304"/>
      <c r="AL29" s="2304"/>
      <c r="AM29" s="2235"/>
    </row>
    <row r="30" spans="1:39" ht="12.75" customHeight="1">
      <c r="B30" s="2262" t="s">
        <v>2105</v>
      </c>
      <c r="C30" s="2262"/>
      <c r="D30" s="2262"/>
      <c r="E30" s="2262"/>
      <c r="F30" s="2262"/>
      <c r="G30" s="2262"/>
      <c r="H30" s="2262"/>
      <c r="I30" s="2262"/>
      <c r="J30" s="2262"/>
      <c r="K30" s="2262"/>
      <c r="L30" s="2262"/>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row>
    <row r="31" spans="1:39" ht="12.75">
      <c r="B31" s="2224" t="s">
        <v>2109</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3" t="s">
        <v>1758</v>
      </c>
      <c r="Z35" s="2243"/>
      <c r="AA35" s="2243"/>
      <c r="AB35" s="2243"/>
      <c r="AC35" s="2243"/>
      <c r="AD35" s="2225" t="s">
        <v>46</v>
      </c>
      <c r="AE35" s="2225"/>
      <c r="AF35" s="2225"/>
      <c r="AG35" s="2225"/>
      <c r="AH35" s="222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3"/>
      <c r="Z36" s="2243"/>
      <c r="AA36" s="2243"/>
      <c r="AB36" s="2243"/>
      <c r="AC36" s="2243"/>
      <c r="AD36" s="2225"/>
      <c r="AE36" s="2225"/>
      <c r="AF36" s="2225"/>
      <c r="AG36" s="2225"/>
      <c r="AH36" s="222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3"/>
      <c r="Z37" s="2243"/>
      <c r="AA37" s="2243"/>
      <c r="AB37" s="2243"/>
      <c r="AC37" s="2243"/>
      <c r="AD37" s="2225"/>
      <c r="AE37" s="2225"/>
      <c r="AF37" s="2225"/>
      <c r="AG37" s="2225"/>
      <c r="AH37" s="2225"/>
    </row>
    <row r="38" spans="1:44" ht="12.75" customHeight="1">
      <c r="A38" s="6"/>
      <c r="B38" s="2240" t="s">
        <v>917</v>
      </c>
      <c r="C38" s="2241"/>
      <c r="D38" s="2241"/>
      <c r="E38" s="2241"/>
      <c r="F38" s="2241"/>
      <c r="G38" s="2241"/>
      <c r="H38" s="2241"/>
      <c r="I38" s="2241"/>
      <c r="J38" s="2241"/>
      <c r="K38" s="2241"/>
      <c r="L38" s="2241"/>
      <c r="M38" s="2241"/>
      <c r="N38" s="2241"/>
      <c r="O38" s="2241"/>
      <c r="P38" s="2241"/>
      <c r="Q38" s="2241"/>
      <c r="R38" s="2241"/>
      <c r="S38" s="2241"/>
      <c r="T38" s="2241"/>
      <c r="U38" s="2241"/>
      <c r="V38" s="2241"/>
      <c r="W38" s="2241"/>
      <c r="X38" s="2242"/>
      <c r="Y38" s="2236">
        <f>IF(T24&gt;=(T23+Y23+AD23+AI23),T28+Y28,0)</f>
        <v>27560065</v>
      </c>
      <c r="Z38" s="2236"/>
      <c r="AA38" s="2236"/>
      <c r="AB38" s="2236"/>
      <c r="AC38" s="2236"/>
      <c r="AD38" s="2236">
        <f>IF(T24&gt;=(T23+Y23+AD23+AI23),AD28+AI28,0)</f>
        <v>0</v>
      </c>
      <c r="AE38" s="2236"/>
      <c r="AF38" s="2236"/>
      <c r="AG38" s="2236"/>
      <c r="AH38" s="2236"/>
    </row>
    <row r="39" spans="1:44" ht="12.75">
      <c r="B39" s="2240" t="s">
        <v>1988</v>
      </c>
      <c r="C39" s="2241"/>
      <c r="D39" s="2241"/>
      <c r="E39" s="2241"/>
      <c r="F39" s="2241"/>
      <c r="G39" s="2241"/>
      <c r="H39" s="2241"/>
      <c r="I39" s="2241"/>
      <c r="J39" s="2241"/>
      <c r="K39" s="2241"/>
      <c r="L39" s="2241"/>
      <c r="M39" s="2241"/>
      <c r="N39" s="2241"/>
      <c r="O39" s="2241"/>
      <c r="P39" s="2241"/>
      <c r="Q39" s="2241"/>
      <c r="R39" s="2241"/>
      <c r="S39" s="2241"/>
      <c r="T39" s="2241"/>
      <c r="U39" s="2241"/>
      <c r="V39" s="2241"/>
      <c r="W39" s="2241"/>
      <c r="X39" s="2242"/>
      <c r="Y39" s="2234">
        <v>0.09</v>
      </c>
      <c r="Z39" s="2234"/>
      <c r="AA39" s="2234"/>
      <c r="AB39" s="2234"/>
      <c r="AC39" s="2234"/>
      <c r="AD39" s="2234">
        <v>0.04</v>
      </c>
      <c r="AE39" s="2234"/>
      <c r="AF39" s="2234"/>
      <c r="AG39" s="2234"/>
      <c r="AH39" s="2234"/>
    </row>
    <row r="40" spans="1:44" ht="12.75" customHeight="1">
      <c r="A40" s="6"/>
      <c r="B40" s="2240" t="s">
        <v>26</v>
      </c>
      <c r="C40" s="2241"/>
      <c r="D40" s="2241"/>
      <c r="E40" s="2241"/>
      <c r="F40" s="2241"/>
      <c r="G40" s="2241"/>
      <c r="H40" s="2241"/>
      <c r="I40" s="2241"/>
      <c r="J40" s="2241"/>
      <c r="K40" s="2241"/>
      <c r="L40" s="2241"/>
      <c r="M40" s="2241"/>
      <c r="N40" s="2241"/>
      <c r="O40" s="2241"/>
      <c r="P40" s="2241"/>
      <c r="Q40" s="2241"/>
      <c r="R40" s="2241"/>
      <c r="S40" s="2241"/>
      <c r="T40" s="2241"/>
      <c r="U40" s="2241"/>
      <c r="V40" s="2241"/>
      <c r="W40" s="2241"/>
      <c r="X40" s="2242"/>
      <c r="Y40" s="2236">
        <f>ROUND(Y38*Y39,0)</f>
        <v>2480406</v>
      </c>
      <c r="Z40" s="2236"/>
      <c r="AA40" s="2236"/>
      <c r="AB40" s="2236"/>
      <c r="AC40" s="2236"/>
      <c r="AD40" s="2235">
        <f>ROUND(AD38*AD39,0)</f>
        <v>0</v>
      </c>
      <c r="AE40" s="2236"/>
      <c r="AF40" s="2236"/>
      <c r="AG40" s="2236"/>
      <c r="AH40" s="2236"/>
    </row>
    <row r="41" spans="1:44" ht="12.75">
      <c r="B41" s="2240" t="s">
        <v>679</v>
      </c>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2"/>
      <c r="Y41" s="2237">
        <f>IF(Application!Y211="No",'Basis &amp; Credits'!AR42,AR43)</f>
        <v>2480406</v>
      </c>
      <c r="Z41" s="2238"/>
      <c r="AA41" s="2238"/>
      <c r="AB41" s="2238"/>
      <c r="AC41" s="2238"/>
      <c r="AD41" s="2238"/>
      <c r="AE41" s="2238"/>
      <c r="AF41" s="2238"/>
      <c r="AG41" s="2238"/>
      <c r="AH41" s="2239"/>
    </row>
    <row r="42" spans="1:44" ht="12.75" customHeight="1">
      <c r="A42" s="6"/>
      <c r="B42" s="2256" t="s">
        <v>1989</v>
      </c>
      <c r="C42" s="2256"/>
      <c r="D42" s="2256"/>
      <c r="E42" s="2256"/>
      <c r="F42" s="2256"/>
      <c r="G42" s="2256"/>
      <c r="H42" s="2256"/>
      <c r="I42" s="2256"/>
      <c r="J42" s="2256"/>
      <c r="K42" s="2256"/>
      <c r="L42" s="2256"/>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923"/>
      <c r="AJ42" s="923"/>
      <c r="AK42" s="923"/>
      <c r="AL42" s="923"/>
      <c r="AM42" s="923"/>
      <c r="AN42" s="923"/>
      <c r="AR42" s="2">
        <f>IF((Y40+AD40)&gt;2500000,2500000,Y40+AD40)</f>
        <v>2480406</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2480406</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31">
        <f>'Sources and Uses Budget'!B104-(MAX(IF('Sources and Uses Budget'!B15="",0,'Sources and Uses Budget'!B15),IF(Application!AG387="",0,Application!AG387)))</f>
        <v>35751101</v>
      </c>
      <c r="AC46" s="2232"/>
      <c r="AD46" s="2232"/>
      <c r="AE46" s="2232"/>
      <c r="AF46" s="2233"/>
    </row>
    <row r="47" spans="1:44" ht="12.75" customHeight="1">
      <c r="D47" s="6" t="s">
        <v>911</v>
      </c>
      <c r="AB47" s="2231">
        <f>Application!AO644-MAX(IF('Sources and Uses Budget'!B15="",0,'Sources and Uses Budget'!B15),IF(Application!AG387="",0,Application!AG387))</f>
        <v>13427449</v>
      </c>
      <c r="AC47" s="2232"/>
      <c r="AD47" s="2232"/>
      <c r="AE47" s="2232"/>
      <c r="AF47" s="2233"/>
    </row>
    <row r="48" spans="1:44" ht="12.75">
      <c r="D48" s="6" t="s">
        <v>419</v>
      </c>
      <c r="AB48" s="2231">
        <f>AB46-AB47</f>
        <v>22323652</v>
      </c>
      <c r="AC48" s="2232"/>
      <c r="AD48" s="2232"/>
      <c r="AE48" s="2232"/>
      <c r="AF48" s="2233"/>
    </row>
    <row r="49" spans="1:40" ht="12.75">
      <c r="D49" s="6" t="s">
        <v>950</v>
      </c>
      <c r="X49" s="2"/>
      <c r="Y49" s="2"/>
      <c r="Z49" s="2"/>
      <c r="AA49" s="409"/>
      <c r="AB49" s="2250">
        <v>0.9</v>
      </c>
      <c r="AC49" s="2251"/>
      <c r="AD49" s="2251"/>
      <c r="AE49" s="2251"/>
      <c r="AF49" s="2252"/>
    </row>
    <row r="50" spans="1:40" s="497" customFormat="1" ht="15" customHeight="1">
      <c r="A50" s="2"/>
      <c r="B50" s="2"/>
      <c r="C50" s="2"/>
      <c r="D50" s="272"/>
      <c r="E50" s="2261" t="s">
        <v>2163</v>
      </c>
      <c r="F50" s="2261"/>
      <c r="G50" s="2261"/>
      <c r="H50" s="2261"/>
      <c r="I50" s="2261"/>
      <c r="J50" s="2261"/>
      <c r="K50" s="2261"/>
      <c r="L50" s="2261"/>
      <c r="M50" s="2261"/>
      <c r="N50" s="2261"/>
      <c r="O50" s="2261"/>
      <c r="P50" s="2261"/>
      <c r="Q50" s="2261"/>
      <c r="R50" s="2261"/>
      <c r="S50" s="2261"/>
      <c r="T50" s="2261"/>
      <c r="U50" s="2261"/>
      <c r="V50" s="2261"/>
      <c r="W50" s="2261"/>
      <c r="X50" s="2261"/>
      <c r="Y50" s="2261"/>
      <c r="Z50" s="2261"/>
      <c r="AA50" s="755"/>
      <c r="AB50" s="755"/>
      <c r="AC50" s="755"/>
      <c r="AD50" s="755"/>
      <c r="AE50" s="755"/>
      <c r="AF50" s="755"/>
      <c r="AG50" s="2"/>
      <c r="AH50" s="2"/>
      <c r="AI50" s="2"/>
      <c r="AJ50" s="2"/>
      <c r="AK50" s="2"/>
      <c r="AL50" s="2"/>
      <c r="AM50" s="2"/>
      <c r="AN50" s="2"/>
    </row>
    <row r="51" spans="1:40" s="497" customFormat="1" ht="12" customHeight="1">
      <c r="A51" s="2"/>
      <c r="B51" s="2"/>
      <c r="C51" s="2"/>
      <c r="D51" s="272"/>
      <c r="E51" s="2261"/>
      <c r="F51" s="2261"/>
      <c r="G51" s="2261"/>
      <c r="H51" s="2261"/>
      <c r="I51" s="2261"/>
      <c r="J51" s="2261"/>
      <c r="K51" s="2261"/>
      <c r="L51" s="2261"/>
      <c r="M51" s="2261"/>
      <c r="N51" s="2261"/>
      <c r="O51" s="2261"/>
      <c r="P51" s="2261"/>
      <c r="Q51" s="2261"/>
      <c r="R51" s="2261"/>
      <c r="S51" s="2261"/>
      <c r="T51" s="2261"/>
      <c r="U51" s="2261"/>
      <c r="V51" s="2261"/>
      <c r="W51" s="2261"/>
      <c r="X51" s="2261"/>
      <c r="Y51" s="2261"/>
      <c r="Z51" s="226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1">
        <f>ROUND(IF(ISERROR((AB48/AB49)),0,(AB48/AB49)),0)</f>
        <v>24804058</v>
      </c>
      <c r="AC53" s="2232"/>
      <c r="AD53" s="2232"/>
      <c r="AE53" s="2232"/>
      <c r="AF53" s="2233"/>
    </row>
    <row r="54" spans="1:40" ht="12.75" customHeight="1">
      <c r="D54" s="6" t="s">
        <v>618</v>
      </c>
      <c r="AB54" s="2231">
        <f>(AB53/10)</f>
        <v>2480405.7999999998</v>
      </c>
      <c r="AC54" s="2232"/>
      <c r="AD54" s="2232"/>
      <c r="AE54" s="2232"/>
      <c r="AF54" s="2233"/>
    </row>
    <row r="55" spans="1:40" ht="12.75">
      <c r="D55" s="6" t="s">
        <v>378</v>
      </c>
      <c r="AB55" s="2258">
        <f>(IF((Y41&lt;AB54),Y41,AB54))</f>
        <v>2480405.7999999998</v>
      </c>
      <c r="AC55" s="2259"/>
      <c r="AD55" s="2259"/>
      <c r="AE55" s="2259"/>
      <c r="AF55" s="2260"/>
    </row>
    <row r="56" spans="1:40" ht="12.75">
      <c r="D56" s="6" t="s">
        <v>118</v>
      </c>
      <c r="AB56" s="2231">
        <f>ROUND((10*AB55*AB49),0)</f>
        <v>22323652</v>
      </c>
      <c r="AC56" s="2232"/>
      <c r="AD56" s="2232"/>
      <c r="AE56" s="2232"/>
      <c r="AF56" s="22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9">
        <f>AB48-AB56</f>
        <v>0</v>
      </c>
      <c r="AC58" s="2229"/>
      <c r="AD58" s="2229"/>
      <c r="AE58" s="2229"/>
      <c r="AF58" s="2229"/>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26" t="s">
        <v>1916</v>
      </c>
      <c r="B60" s="2226"/>
      <c r="C60" s="2226"/>
      <c r="D60" s="2226"/>
      <c r="E60" s="2226"/>
      <c r="F60" s="2226"/>
      <c r="G60" s="2226"/>
      <c r="H60" s="2226"/>
      <c r="I60" s="2226"/>
      <c r="J60" s="2226"/>
      <c r="K60" s="2226"/>
      <c r="L60" s="2226"/>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row>
    <row r="61" spans="1:40" ht="13.7" customHeight="1" thickTop="1">
      <c r="A61" s="2228"/>
      <c r="B61" s="2228"/>
      <c r="C61" s="2228"/>
      <c r="D61" s="2228"/>
      <c r="E61" s="2228"/>
      <c r="F61" s="2228"/>
      <c r="G61" s="2228"/>
      <c r="H61" s="2228"/>
      <c r="I61" s="2228"/>
      <c r="J61" s="2228"/>
      <c r="K61" s="2228"/>
      <c r="L61" s="2228"/>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30" t="s">
        <v>330</v>
      </c>
      <c r="Z62" s="2230"/>
      <c r="AA62" s="2230"/>
      <c r="AB62" s="2230"/>
      <c r="AC62" s="2230"/>
      <c r="AD62" s="2230" t="s">
        <v>46</v>
      </c>
      <c r="AE62" s="2230"/>
      <c r="AF62" s="2230"/>
      <c r="AG62" s="2230"/>
      <c r="AH62" s="2230"/>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57">
        <f>IF(AND(Application!T193="No",Application!T194="No"),T28,IF(OR(AND(T25=1.3,Application!T196="Yes",Application!D214="Special Needs"),T25=1),(T23*T27)+Y28,Y28))</f>
        <v>0</v>
      </c>
      <c r="Z63" s="2253"/>
      <c r="AA63" s="2253"/>
      <c r="AB63" s="2253"/>
      <c r="AC63" s="2253"/>
      <c r="AD63" s="2086">
        <f>IF(AND(T25=1.3,Application!D214="At-Risk"),AI28,IF(Application!D214&lt;&gt;"At-Risk",0,AD28))</f>
        <v>0</v>
      </c>
      <c r="AE63" s="2253"/>
      <c r="AF63" s="2253"/>
      <c r="AG63" s="2253"/>
      <c r="AH63" s="2253"/>
    </row>
    <row r="64" spans="1:40" ht="15" customHeight="1">
      <c r="C64" s="6"/>
      <c r="E64" s="2227" t="s">
        <v>1394</v>
      </c>
      <c r="F64" s="2227"/>
      <c r="G64" s="2227"/>
      <c r="H64" s="2227"/>
      <c r="I64" s="2227"/>
      <c r="J64" s="2227"/>
      <c r="K64" s="2227"/>
      <c r="L64" s="2227"/>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row>
    <row r="65" spans="1:40" ht="24.4" customHeight="1">
      <c r="C65" s="6"/>
      <c r="E65" s="2227"/>
      <c r="F65" s="2227"/>
      <c r="G65" s="2227"/>
      <c r="H65" s="2227"/>
      <c r="I65" s="2227"/>
      <c r="J65" s="2227"/>
      <c r="K65" s="2227"/>
      <c r="L65" s="2227"/>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9">
        <f>IF(Application!W198="Yes",95%, 30%)</f>
        <v>0.3</v>
      </c>
      <c r="Z66" s="2249"/>
      <c r="AA66" s="2249"/>
      <c r="AB66" s="2249"/>
      <c r="AC66" s="2249"/>
      <c r="AD66" s="2249">
        <f>IF(Application!W198="Yes",95%, 13%)</f>
        <v>0.13</v>
      </c>
      <c r="AE66" s="2249"/>
      <c r="AF66" s="2249"/>
      <c r="AG66" s="2249"/>
      <c r="AH66" s="2249"/>
    </row>
    <row r="67" spans="1:40" ht="12.75">
      <c r="C67" s="6"/>
      <c r="D67" s="6" t="s">
        <v>1024</v>
      </c>
      <c r="Y67" s="2086">
        <f>ROUND(Y63*Y66,0)</f>
        <v>0</v>
      </c>
      <c r="Z67" s="2253"/>
      <c r="AA67" s="2253"/>
      <c r="AB67" s="2253"/>
      <c r="AC67" s="2253"/>
      <c r="AD67" s="2086" t="str">
        <f>IF(OR(Application!D211="At-Risk",Application!D211="At-Risk/Located in Rural Census Tract",Application!D214="At-Risk"),ROUND(AD63*AD66,0),"$0")</f>
        <v>$0</v>
      </c>
      <c r="AE67" s="2254"/>
      <c r="AF67" s="2254"/>
      <c r="AG67" s="2254"/>
      <c r="AH67" s="2254"/>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0"/>
      <c r="AC70" s="2251"/>
      <c r="AD70" s="2251"/>
      <c r="AE70" s="2251"/>
      <c r="AF70" s="2252"/>
      <c r="AG70" s="2"/>
      <c r="AH70" s="2"/>
      <c r="AI70" s="2"/>
      <c r="AJ70" s="2"/>
      <c r="AK70" s="2"/>
      <c r="AL70" s="2"/>
      <c r="AM70" s="2"/>
      <c r="AN70" s="2"/>
    </row>
    <row r="71" spans="1:40" ht="12.75" customHeight="1">
      <c r="A71" s="330"/>
      <c r="B71" s="2"/>
      <c r="C71" s="330"/>
      <c r="D71" s="330"/>
      <c r="E71" s="2255" t="s">
        <v>1911</v>
      </c>
      <c r="F71" s="2255"/>
      <c r="G71" s="2255"/>
      <c r="H71" s="2255"/>
      <c r="I71" s="2255"/>
      <c r="J71" s="2255"/>
      <c r="K71" s="2255"/>
      <c r="L71" s="2255"/>
      <c r="M71" s="2255"/>
      <c r="N71" s="2255"/>
      <c r="O71" s="2255"/>
      <c r="P71" s="2255"/>
      <c r="Q71" s="2255"/>
      <c r="R71" s="2255"/>
      <c r="S71" s="2255"/>
      <c r="T71" s="2255"/>
      <c r="U71" s="2255"/>
      <c r="V71" s="2255"/>
      <c r="W71" s="2255"/>
      <c r="X71" s="2255"/>
      <c r="Y71" s="2255"/>
      <c r="Z71" s="2255"/>
      <c r="AA71" s="777"/>
      <c r="AB71" s="777"/>
      <c r="AC71" s="777"/>
      <c r="AG71" s="2"/>
      <c r="AH71" s="2"/>
      <c r="AI71" s="2"/>
      <c r="AJ71" s="2"/>
      <c r="AK71" s="2"/>
      <c r="AL71" s="2"/>
      <c r="AM71" s="2"/>
      <c r="AN71" s="2"/>
    </row>
    <row r="72" spans="1:40" ht="12.75" customHeight="1">
      <c r="A72" s="330"/>
      <c r="B72" s="2"/>
      <c r="C72" s="330"/>
      <c r="D72" s="330"/>
      <c r="E72" s="2255"/>
      <c r="F72" s="2255"/>
      <c r="G72" s="2255"/>
      <c r="H72" s="2255"/>
      <c r="I72" s="2255"/>
      <c r="J72" s="2255"/>
      <c r="K72" s="2255"/>
      <c r="L72" s="2255"/>
      <c r="M72" s="2255"/>
      <c r="N72" s="2255"/>
      <c r="O72" s="2255"/>
      <c r="P72" s="2255"/>
      <c r="Q72" s="2255"/>
      <c r="R72" s="2255"/>
      <c r="S72" s="2255"/>
      <c r="T72" s="2255"/>
      <c r="U72" s="2255"/>
      <c r="V72" s="2255"/>
      <c r="W72" s="2255"/>
      <c r="X72" s="2255"/>
      <c r="Y72" s="2255"/>
      <c r="Z72" s="2255"/>
      <c r="AA72" s="777"/>
      <c r="AB72" s="777"/>
      <c r="AC72" s="777"/>
      <c r="AD72" s="1062"/>
      <c r="AE72" s="1062"/>
      <c r="AF72" s="1062"/>
      <c r="AG72" s="2"/>
      <c r="AH72" s="2"/>
      <c r="AI72" s="2"/>
      <c r="AJ72" s="2"/>
      <c r="AK72" s="2"/>
      <c r="AL72" s="2"/>
      <c r="AM72" s="2"/>
      <c r="AN72" s="2"/>
    </row>
    <row r="73" spans="1:40" ht="12" customHeight="1">
      <c r="A73" s="330"/>
      <c r="B73" s="2"/>
      <c r="C73" s="330"/>
      <c r="D73" s="330"/>
      <c r="E73" s="2255"/>
      <c r="F73" s="2255"/>
      <c r="G73" s="2255"/>
      <c r="H73" s="2255"/>
      <c r="I73" s="2255"/>
      <c r="J73" s="2255"/>
      <c r="K73" s="2255"/>
      <c r="L73" s="2255"/>
      <c r="M73" s="2255"/>
      <c r="N73" s="2255"/>
      <c r="O73" s="2255"/>
      <c r="P73" s="2255"/>
      <c r="Q73" s="2255"/>
      <c r="R73" s="2255"/>
      <c r="S73" s="2255"/>
      <c r="T73" s="2255"/>
      <c r="U73" s="2255"/>
      <c r="V73" s="2255"/>
      <c r="W73" s="2255"/>
      <c r="X73" s="2255"/>
      <c r="Y73" s="2255"/>
      <c r="Z73" s="225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48">
        <f>ROUND(IF(ISERROR((AB58/AB70)),0,(AB58/AB70)),0)</f>
        <v>0</v>
      </c>
      <c r="AC75" s="2248"/>
      <c r="AD75" s="2248"/>
      <c r="AE75" s="2248"/>
      <c r="AF75" s="2248"/>
    </row>
    <row r="76" spans="1:40" ht="12.75" customHeight="1">
      <c r="C76" s="6"/>
      <c r="D76" s="6" t="s">
        <v>116</v>
      </c>
      <c r="AB76" s="2245">
        <f>IF((Y67+AD67&lt;AB75),Y67+AD67,AB75)</f>
        <v>0</v>
      </c>
      <c r="AC76" s="2246"/>
      <c r="AD76" s="2246"/>
      <c r="AE76" s="2246"/>
      <c r="AF76" s="2247"/>
    </row>
    <row r="77" spans="1:40" ht="12.75" customHeight="1">
      <c r="C77" s="6"/>
      <c r="D77" s="6" t="s">
        <v>1025</v>
      </c>
      <c r="AB77" s="2244">
        <f>AB76*AB70</f>
        <v>0</v>
      </c>
      <c r="AC77" s="2244"/>
      <c r="AD77" s="2244"/>
      <c r="AE77" s="2244"/>
      <c r="AF77" s="2244"/>
    </row>
    <row r="78" spans="1:40" ht="12.75" customHeight="1">
      <c r="C78" s="6"/>
      <c r="D78" s="6"/>
      <c r="AB78" s="908"/>
      <c r="AC78" s="908"/>
      <c r="AD78" s="908"/>
      <c r="AE78" s="908"/>
      <c r="AF78" s="908"/>
    </row>
    <row r="79" spans="1:40" ht="12.75" customHeight="1">
      <c r="A79" s="1"/>
      <c r="B79" s="1"/>
      <c r="C79" s="1"/>
      <c r="D79" s="6" t="s">
        <v>117</v>
      </c>
      <c r="AB79" s="2229">
        <f>AB48-(AB56+AB77)</f>
        <v>0</v>
      </c>
      <c r="AC79" s="2229"/>
      <c r="AD79" s="2229"/>
      <c r="AE79" s="2229"/>
      <c r="AF79" s="222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0" workbookViewId="0">
      <selection activeCell="F97" sqref="F97:F10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305" t="s">
        <v>1996</v>
      </c>
      <c r="B1" s="2306"/>
      <c r="C1" s="2306"/>
      <c r="D1" s="2306"/>
      <c r="E1" s="2306"/>
      <c r="F1" s="2306"/>
      <c r="G1" s="2306"/>
      <c r="H1" s="2306"/>
      <c r="I1" s="2306"/>
      <c r="J1" s="2307"/>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10630000</v>
      </c>
      <c r="C4" s="894">
        <f>+B4</f>
        <v>10630000</v>
      </c>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10630000</v>
      </c>
      <c r="C8" s="893">
        <f>SUM(C4:C7)</f>
        <v>10630000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10630000</v>
      </c>
      <c r="C12" s="893">
        <f>SUM(C8+C11)</f>
        <v>10630000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2847748</v>
      </c>
      <c r="C28" s="894">
        <f>+B28</f>
        <v>2847748</v>
      </c>
      <c r="D28" s="894"/>
      <c r="E28" s="893">
        <f>'Sources and Uses Budget'!S29</f>
        <v>2847748</v>
      </c>
      <c r="F28" s="894">
        <f>+E28</f>
        <v>2847748</v>
      </c>
      <c r="G28" s="894"/>
      <c r="H28" s="893">
        <f>'Sources and Uses Budget'!T29</f>
        <v>0</v>
      </c>
      <c r="I28" s="894"/>
      <c r="J28" s="894"/>
      <c r="K28" s="888"/>
    </row>
    <row r="29" spans="1:11" s="383" customFormat="1">
      <c r="A29" s="369" t="s">
        <v>994</v>
      </c>
      <c r="B29" s="893">
        <f>'Sources and Uses Budget'!C30</f>
        <v>11350930</v>
      </c>
      <c r="C29" s="894">
        <f t="shared" ref="C29:C36" si="0">+B29</f>
        <v>11350930</v>
      </c>
      <c r="D29" s="894"/>
      <c r="E29" s="893">
        <f>'Sources and Uses Budget'!S30</f>
        <v>11350930</v>
      </c>
      <c r="F29" s="894">
        <f t="shared" ref="F29:F36" si="1">+E29</f>
        <v>11350930</v>
      </c>
      <c r="G29" s="894"/>
      <c r="H29" s="893">
        <f>'Sources and Uses Budget'!T30</f>
        <v>0</v>
      </c>
      <c r="I29" s="894"/>
      <c r="J29" s="894"/>
      <c r="K29" s="888"/>
    </row>
    <row r="30" spans="1:11" s="383" customFormat="1">
      <c r="A30" s="369" t="s">
        <v>995</v>
      </c>
      <c r="B30" s="893">
        <f>'Sources and Uses Budget'!C31</f>
        <v>851921</v>
      </c>
      <c r="C30" s="894">
        <f t="shared" si="0"/>
        <v>851921</v>
      </c>
      <c r="D30" s="894"/>
      <c r="E30" s="893">
        <f>'Sources and Uses Budget'!S31</f>
        <v>851921</v>
      </c>
      <c r="F30" s="894">
        <f t="shared" si="1"/>
        <v>851921</v>
      </c>
      <c r="G30" s="894"/>
      <c r="H30" s="893">
        <f>'Sources and Uses Budget'!T31</f>
        <v>0</v>
      </c>
      <c r="I30" s="894"/>
      <c r="J30" s="894"/>
      <c r="K30" s="888"/>
    </row>
    <row r="31" spans="1:11" s="383" customFormat="1">
      <c r="A31" s="369" t="s">
        <v>996</v>
      </c>
      <c r="B31" s="893">
        <f>'Sources and Uses Budget'!C32</f>
        <v>301012</v>
      </c>
      <c r="C31" s="894">
        <f t="shared" si="0"/>
        <v>301012</v>
      </c>
      <c r="D31" s="894"/>
      <c r="E31" s="893">
        <f>'Sources and Uses Budget'!S32</f>
        <v>301012</v>
      </c>
      <c r="F31" s="894">
        <f t="shared" si="1"/>
        <v>301012</v>
      </c>
      <c r="G31" s="894"/>
      <c r="H31" s="893">
        <f>'Sources and Uses Budget'!T32</f>
        <v>0</v>
      </c>
      <c r="I31" s="894"/>
      <c r="J31" s="894"/>
      <c r="K31" s="888"/>
    </row>
    <row r="32" spans="1:11" s="383" customFormat="1">
      <c r="A32" s="369" t="s">
        <v>997</v>
      </c>
      <c r="B32" s="893">
        <f>'Sources and Uses Budget'!C33</f>
        <v>903036</v>
      </c>
      <c r="C32" s="894">
        <f t="shared" si="0"/>
        <v>903036</v>
      </c>
      <c r="D32" s="894"/>
      <c r="E32" s="893">
        <f>'Sources and Uses Budget'!S33</f>
        <v>903036</v>
      </c>
      <c r="F32" s="894">
        <f t="shared" si="1"/>
        <v>903036</v>
      </c>
      <c r="G32" s="894"/>
      <c r="H32" s="893">
        <f>'Sources and Uses Budget'!T33</f>
        <v>0</v>
      </c>
      <c r="I32" s="894"/>
      <c r="J32" s="894"/>
      <c r="K32" s="888"/>
    </row>
    <row r="33" spans="1:11" s="383" customFormat="1">
      <c r="A33" s="369" t="s">
        <v>998</v>
      </c>
      <c r="B33" s="893">
        <f>'Sources and Uses Budget'!C34</f>
        <v>0</v>
      </c>
      <c r="C33" s="894">
        <f t="shared" si="0"/>
        <v>0</v>
      </c>
      <c r="D33" s="894"/>
      <c r="E33" s="893">
        <f>'Sources and Uses Budget'!S34</f>
        <v>0</v>
      </c>
      <c r="F33" s="894">
        <f t="shared" si="1"/>
        <v>0</v>
      </c>
      <c r="G33" s="894"/>
      <c r="H33" s="893">
        <f>'Sources and Uses Budget'!T34</f>
        <v>0</v>
      </c>
      <c r="I33" s="894"/>
      <c r="J33" s="894"/>
      <c r="K33" s="888"/>
    </row>
    <row r="34" spans="1:11" s="383" customFormat="1">
      <c r="A34" s="369" t="s">
        <v>999</v>
      </c>
      <c r="B34" s="893">
        <f>'Sources and Uses Budget'!C35</f>
        <v>208059</v>
      </c>
      <c r="C34" s="894">
        <f t="shared" si="0"/>
        <v>208059</v>
      </c>
      <c r="D34" s="894"/>
      <c r="E34" s="893">
        <f>'Sources and Uses Budget'!S35</f>
        <v>208059</v>
      </c>
      <c r="F34" s="894">
        <f t="shared" si="1"/>
        <v>208059</v>
      </c>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f t="shared" si="0"/>
        <v>0</v>
      </c>
      <c r="D35" s="894"/>
      <c r="E35" s="893">
        <f>'Sources and Uses Budget'!S36</f>
        <v>0</v>
      </c>
      <c r="F35" s="894">
        <f t="shared" si="1"/>
        <v>0</v>
      </c>
      <c r="G35" s="894"/>
      <c r="H35" s="893">
        <f>'Sources and Uses Budget'!T36</f>
        <v>0</v>
      </c>
      <c r="I35" s="894"/>
      <c r="J35" s="894"/>
      <c r="K35" s="888"/>
    </row>
    <row r="36" spans="1:11" s="383" customFormat="1">
      <c r="A36" s="700" t="str">
        <f>'Sources and Uses Budget'!$A37</f>
        <v>Other: (Specify)</v>
      </c>
      <c r="B36" s="893">
        <f>'Sources and Uses Budget'!C37</f>
        <v>0</v>
      </c>
      <c r="C36" s="894">
        <f t="shared" si="0"/>
        <v>0</v>
      </c>
      <c r="D36" s="894"/>
      <c r="E36" s="893">
        <f>'Sources and Uses Budget'!S37</f>
        <v>0</v>
      </c>
      <c r="F36" s="894">
        <f t="shared" si="1"/>
        <v>0</v>
      </c>
      <c r="G36" s="894"/>
      <c r="H36" s="893">
        <f>'Sources and Uses Budget'!T37</f>
        <v>0</v>
      </c>
      <c r="I36" s="894"/>
      <c r="J36" s="894"/>
      <c r="K36" s="888"/>
    </row>
    <row r="37" spans="1:11" s="383" customFormat="1">
      <c r="A37" s="886" t="s">
        <v>1002</v>
      </c>
      <c r="B37" s="893">
        <f>'Sources and Uses Budget'!C38</f>
        <v>16462706</v>
      </c>
      <c r="C37" s="893">
        <f>SUM(C28:C36)</f>
        <v>16462706</v>
      </c>
      <c r="D37" s="893">
        <f>SUM(D28:D36)</f>
        <v>0</v>
      </c>
      <c r="E37" s="893">
        <f>'Sources and Uses Budget'!S38</f>
        <v>16462706</v>
      </c>
      <c r="F37" s="896">
        <f>SUM(F28:F36)</f>
        <v>16462706</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325094</v>
      </c>
      <c r="C39" s="894">
        <f>+B39</f>
        <v>325094</v>
      </c>
      <c r="D39" s="894"/>
      <c r="E39" s="893">
        <f>'Sources and Uses Budget'!S40</f>
        <v>325094</v>
      </c>
      <c r="F39" s="894">
        <f t="shared" ref="F39:F40" si="2">+E39</f>
        <v>325094</v>
      </c>
      <c r="G39" s="894"/>
      <c r="H39" s="893">
        <f>'Sources and Uses Budget'!T40</f>
        <v>0</v>
      </c>
      <c r="I39" s="894"/>
      <c r="J39" s="894"/>
      <c r="K39" s="888"/>
    </row>
    <row r="40" spans="1:11" s="383" customFormat="1">
      <c r="A40" s="369" t="s">
        <v>1005</v>
      </c>
      <c r="B40" s="893">
        <f>'Sources and Uses Budget'!C41</f>
        <v>162546</v>
      </c>
      <c r="C40" s="894">
        <f>+B40</f>
        <v>162546</v>
      </c>
      <c r="D40" s="894"/>
      <c r="E40" s="893">
        <f>'Sources and Uses Budget'!S41</f>
        <v>162546</v>
      </c>
      <c r="F40" s="894">
        <f t="shared" si="2"/>
        <v>162546</v>
      </c>
      <c r="G40" s="894"/>
      <c r="H40" s="893">
        <f>'Sources and Uses Budget'!T41</f>
        <v>0</v>
      </c>
      <c r="I40" s="894"/>
      <c r="J40" s="894"/>
      <c r="K40" s="888"/>
    </row>
    <row r="41" spans="1:11" s="383" customFormat="1">
      <c r="A41" s="373" t="s">
        <v>1006</v>
      </c>
      <c r="B41" s="893">
        <f>'Sources and Uses Budget'!C42</f>
        <v>487640</v>
      </c>
      <c r="C41" s="893">
        <f>SUM(C38:C40)</f>
        <v>487640</v>
      </c>
      <c r="D41" s="893">
        <f>SUM(D38:D40)</f>
        <v>0</v>
      </c>
      <c r="E41" s="893">
        <f>'Sources and Uses Budget'!S42</f>
        <v>487640</v>
      </c>
      <c r="F41" s="896">
        <f>SUM(F39:F40)</f>
        <v>487640</v>
      </c>
      <c r="G41" s="896">
        <f>SUM(G39:G40)</f>
        <v>0</v>
      </c>
      <c r="H41" s="893">
        <f>'Sources and Uses Budget'!T42</f>
        <v>0</v>
      </c>
      <c r="I41" s="896">
        <f>SUM(I39:I40)</f>
        <v>0</v>
      </c>
      <c r="J41" s="896">
        <f>SUM(J39:J40)</f>
        <v>0</v>
      </c>
      <c r="K41" s="888"/>
    </row>
    <row r="42" spans="1:11" s="383" customFormat="1">
      <c r="A42" s="373" t="s">
        <v>1007</v>
      </c>
      <c r="B42" s="893">
        <f>'Sources and Uses Budget'!C43</f>
        <v>500000</v>
      </c>
      <c r="C42" s="894">
        <f>+B42</f>
        <v>500000</v>
      </c>
      <c r="D42" s="894"/>
      <c r="E42" s="893">
        <f>'Sources and Uses Budget'!S43</f>
        <v>500000</v>
      </c>
      <c r="F42" s="894">
        <f>+E42</f>
        <v>500000</v>
      </c>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1432240</v>
      </c>
      <c r="C44" s="894">
        <f t="shared" ref="C44:C51" si="3">+B44</f>
        <v>1432240</v>
      </c>
      <c r="D44" s="894"/>
      <c r="E44" s="893">
        <f>'Sources and Uses Budget'!S45</f>
        <v>528680</v>
      </c>
      <c r="F44" s="894">
        <f t="shared" ref="F44:F51" si="4">+E44</f>
        <v>528680</v>
      </c>
      <c r="G44" s="894"/>
      <c r="H44" s="893">
        <f>'Sources and Uses Budget'!T45</f>
        <v>0</v>
      </c>
      <c r="I44" s="894"/>
      <c r="J44" s="894"/>
      <c r="K44" s="888"/>
    </row>
    <row r="45" spans="1:11" s="383" customFormat="1">
      <c r="A45" s="369" t="s">
        <v>1010</v>
      </c>
      <c r="B45" s="893">
        <f>'Sources and Uses Budget'!C46</f>
        <v>202937</v>
      </c>
      <c r="C45" s="894">
        <f t="shared" si="3"/>
        <v>202937</v>
      </c>
      <c r="D45" s="894"/>
      <c r="E45" s="893">
        <f>'Sources and Uses Budget'!S46</f>
        <v>202937</v>
      </c>
      <c r="F45" s="894">
        <f t="shared" si="4"/>
        <v>202937</v>
      </c>
      <c r="G45" s="894"/>
      <c r="H45" s="893">
        <f>'Sources and Uses Budget'!T46</f>
        <v>0</v>
      </c>
      <c r="I45" s="894"/>
      <c r="J45" s="894"/>
      <c r="K45" s="888"/>
    </row>
    <row r="46" spans="1:11" s="383" customFormat="1" ht="12" customHeight="1">
      <c r="A46" s="369" t="s">
        <v>1011</v>
      </c>
      <c r="B46" s="893">
        <f>'Sources and Uses Budget'!C47</f>
        <v>35000</v>
      </c>
      <c r="C46" s="894">
        <f t="shared" si="3"/>
        <v>35000</v>
      </c>
      <c r="D46" s="894"/>
      <c r="E46" s="893">
        <f>'Sources and Uses Budget'!S47</f>
        <v>35000</v>
      </c>
      <c r="F46" s="894">
        <f t="shared" si="4"/>
        <v>35000</v>
      </c>
      <c r="G46" s="894"/>
      <c r="H46" s="893">
        <f>'Sources and Uses Budget'!T47</f>
        <v>0</v>
      </c>
      <c r="I46" s="894"/>
      <c r="J46" s="894"/>
      <c r="K46" s="888"/>
    </row>
    <row r="47" spans="1:11" s="383" customFormat="1">
      <c r="A47" s="369" t="s">
        <v>1012</v>
      </c>
      <c r="B47" s="893">
        <f>'Sources and Uses Budget'!C48</f>
        <v>0</v>
      </c>
      <c r="C47" s="894">
        <f t="shared" si="3"/>
        <v>0</v>
      </c>
      <c r="D47" s="894"/>
      <c r="E47" s="893">
        <f>'Sources and Uses Budget'!S48</f>
        <v>0</v>
      </c>
      <c r="F47" s="894">
        <f t="shared" si="4"/>
        <v>0</v>
      </c>
      <c r="G47" s="894"/>
      <c r="H47" s="893">
        <f>'Sources and Uses Budget'!T48</f>
        <v>0</v>
      </c>
      <c r="I47" s="894"/>
      <c r="J47" s="894"/>
      <c r="K47" s="888"/>
    </row>
    <row r="48" spans="1:11" s="383" customFormat="1">
      <c r="A48" s="369" t="s">
        <v>1015</v>
      </c>
      <c r="B48" s="893">
        <f>'Sources and Uses Budget'!C49</f>
        <v>40000</v>
      </c>
      <c r="C48" s="894">
        <f t="shared" si="3"/>
        <v>40000</v>
      </c>
      <c r="D48" s="894"/>
      <c r="E48" s="893">
        <f>'Sources and Uses Budget'!S49</f>
        <v>40000</v>
      </c>
      <c r="F48" s="894">
        <f t="shared" si="4"/>
        <v>40000</v>
      </c>
      <c r="G48" s="894"/>
      <c r="H48" s="893">
        <f>'Sources and Uses Budget'!T49</f>
        <v>0</v>
      </c>
      <c r="I48" s="894"/>
      <c r="J48" s="894"/>
      <c r="K48" s="888"/>
    </row>
    <row r="49" spans="1:11" s="383" customFormat="1">
      <c r="A49" s="369" t="s">
        <v>1013</v>
      </c>
      <c r="B49" s="893">
        <f>'Sources and Uses Budget'!C50</f>
        <v>212600</v>
      </c>
      <c r="C49" s="894">
        <f t="shared" si="3"/>
        <v>212600</v>
      </c>
      <c r="D49" s="894"/>
      <c r="E49" s="893">
        <f>'Sources and Uses Budget'!S50</f>
        <v>212600</v>
      </c>
      <c r="F49" s="894">
        <f t="shared" si="4"/>
        <v>212600</v>
      </c>
      <c r="G49" s="894"/>
      <c r="H49" s="893">
        <f>'Sources and Uses Budget'!T50</f>
        <v>0</v>
      </c>
      <c r="I49" s="894"/>
      <c r="J49" s="894"/>
      <c r="K49" s="888"/>
    </row>
    <row r="50" spans="1:11" s="383" customFormat="1">
      <c r="A50" s="369" t="s">
        <v>1014</v>
      </c>
      <c r="B50" s="893">
        <f>'Sources and Uses Budget'!C51</f>
        <v>0</v>
      </c>
      <c r="C50" s="894">
        <f t="shared" si="3"/>
        <v>0</v>
      </c>
      <c r="D50" s="894"/>
      <c r="E50" s="893">
        <f>'Sources and Uses Budget'!S51</f>
        <v>0</v>
      </c>
      <c r="F50" s="894">
        <f t="shared" si="4"/>
        <v>0</v>
      </c>
      <c r="G50" s="894"/>
      <c r="H50" s="893">
        <f>'Sources and Uses Budget'!T51</f>
        <v>0</v>
      </c>
      <c r="I50" s="894"/>
      <c r="J50" s="894"/>
      <c r="K50" s="888"/>
    </row>
    <row r="51" spans="1:11" s="383" customFormat="1">
      <c r="A51" s="700" t="str">
        <f>'Sources and Uses Budget'!$A52</f>
        <v>Inspection Fees</v>
      </c>
      <c r="B51" s="893">
        <f>'Sources and Uses Budget'!C52</f>
        <v>20000</v>
      </c>
      <c r="C51" s="894">
        <f t="shared" si="3"/>
        <v>20000</v>
      </c>
      <c r="D51" s="894"/>
      <c r="E51" s="893">
        <f>'Sources and Uses Budget'!S52</f>
        <v>20000</v>
      </c>
      <c r="F51" s="894">
        <f t="shared" si="4"/>
        <v>20000</v>
      </c>
      <c r="G51" s="894"/>
      <c r="H51" s="893">
        <f>'Sources and Uses Budget'!T52</f>
        <v>0</v>
      </c>
      <c r="I51" s="894"/>
      <c r="J51" s="894"/>
      <c r="K51" s="888"/>
    </row>
    <row r="52" spans="1:11" s="885" customFormat="1">
      <c r="A52" s="373" t="s">
        <v>1016</v>
      </c>
      <c r="B52" s="893">
        <f>'Sources and Uses Budget'!C53</f>
        <v>1942777</v>
      </c>
      <c r="C52" s="896">
        <f>SUM(C44:C51)</f>
        <v>1942777</v>
      </c>
      <c r="D52" s="896">
        <f>SUM(D44:D51)</f>
        <v>0</v>
      </c>
      <c r="E52" s="893">
        <f>'Sources and Uses Budget'!S53</f>
        <v>1039217</v>
      </c>
      <c r="F52" s="896">
        <f>SUM(F44:F51)</f>
        <v>1039217</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0</v>
      </c>
      <c r="C54" s="894">
        <f t="shared" ref="C54:C59" si="5">+B54</f>
        <v>0</v>
      </c>
      <c r="D54" s="894"/>
      <c r="E54" s="895"/>
      <c r="F54" s="895"/>
      <c r="G54" s="895"/>
      <c r="H54" s="895"/>
      <c r="I54" s="895"/>
      <c r="J54" s="895"/>
      <c r="K54" s="888"/>
    </row>
    <row r="55" spans="1:11" s="383" customFormat="1" ht="12" customHeight="1">
      <c r="A55" s="369" t="s">
        <v>1011</v>
      </c>
      <c r="B55" s="893">
        <f>'Sources and Uses Budget'!C56</f>
        <v>10000</v>
      </c>
      <c r="C55" s="894">
        <f t="shared" si="5"/>
        <v>10000</v>
      </c>
      <c r="D55" s="894"/>
      <c r="E55" s="895"/>
      <c r="F55" s="895"/>
      <c r="G55" s="895"/>
      <c r="H55" s="895"/>
      <c r="I55" s="895"/>
      <c r="J55" s="895"/>
      <c r="K55" s="888"/>
    </row>
    <row r="56" spans="1:11" s="383" customFormat="1">
      <c r="A56" s="369" t="s">
        <v>1015</v>
      </c>
      <c r="B56" s="893">
        <f>'Sources and Uses Budget'!C57</f>
        <v>5000</v>
      </c>
      <c r="C56" s="894">
        <f t="shared" si="5"/>
        <v>5000</v>
      </c>
      <c r="D56" s="894"/>
      <c r="E56" s="895"/>
      <c r="F56" s="895"/>
      <c r="G56" s="895"/>
      <c r="H56" s="895"/>
      <c r="I56" s="895"/>
      <c r="J56" s="895"/>
      <c r="K56" s="888"/>
    </row>
    <row r="57" spans="1:11" s="383" customFormat="1">
      <c r="A57" s="369" t="s">
        <v>1013</v>
      </c>
      <c r="B57" s="893">
        <f>'Sources and Uses Budget'!C58</f>
        <v>0</v>
      </c>
      <c r="C57" s="894">
        <f t="shared" si="5"/>
        <v>0</v>
      </c>
      <c r="D57" s="894"/>
      <c r="E57" s="895"/>
      <c r="F57" s="895"/>
      <c r="G57" s="895"/>
      <c r="H57" s="895"/>
      <c r="I57" s="895"/>
      <c r="J57" s="895"/>
      <c r="K57" s="888"/>
    </row>
    <row r="58" spans="1:11" s="383" customFormat="1">
      <c r="A58" s="369" t="s">
        <v>1014</v>
      </c>
      <c r="B58" s="893">
        <f>'Sources and Uses Budget'!C59</f>
        <v>0</v>
      </c>
      <c r="C58" s="894">
        <f t="shared" si="5"/>
        <v>0</v>
      </c>
      <c r="D58" s="894"/>
      <c r="E58" s="895"/>
      <c r="F58" s="895"/>
      <c r="G58" s="895"/>
      <c r="H58" s="895"/>
      <c r="I58" s="895"/>
      <c r="J58" s="895"/>
      <c r="K58" s="888"/>
    </row>
    <row r="59" spans="1:11" s="383" customFormat="1">
      <c r="A59" s="700" t="str">
        <f>'Sources and Uses Budget'!$A60</f>
        <v>Other: (Specify)</v>
      </c>
      <c r="B59" s="893">
        <f>'Sources and Uses Budget'!C60</f>
        <v>0</v>
      </c>
      <c r="C59" s="894">
        <f t="shared" si="5"/>
        <v>0</v>
      </c>
      <c r="D59" s="894"/>
      <c r="E59" s="895"/>
      <c r="F59" s="895"/>
      <c r="G59" s="895"/>
      <c r="H59" s="895"/>
      <c r="I59" s="895"/>
      <c r="J59" s="895"/>
      <c r="K59" s="888"/>
    </row>
    <row r="60" spans="1:11" s="383" customFormat="1" ht="13.9" customHeight="1">
      <c r="A60" s="373" t="s">
        <v>546</v>
      </c>
      <c r="B60" s="893">
        <f>'Sources and Uses Budget'!C61</f>
        <v>15000</v>
      </c>
      <c r="C60" s="893">
        <f>SUM(C54:C59)</f>
        <v>15000</v>
      </c>
      <c r="D60" s="893">
        <f>SUM(D54:D59)</f>
        <v>0</v>
      </c>
      <c r="E60" s="895"/>
      <c r="F60" s="895"/>
      <c r="G60" s="895"/>
      <c r="H60" s="895"/>
      <c r="I60" s="895"/>
      <c r="J60" s="895"/>
      <c r="K60" s="888"/>
    </row>
    <row r="61" spans="1:11" s="383" customFormat="1">
      <c r="A61" s="379" t="s">
        <v>547</v>
      </c>
      <c r="B61" s="893">
        <f>'Sources and Uses Budget'!C62</f>
        <v>30038123</v>
      </c>
      <c r="C61" s="893">
        <f>SUM(C8+C11+C13+C14+C15+C25+C26+C37+C41+C42+C52+C60)</f>
        <v>30038123</v>
      </c>
      <c r="D61" s="893">
        <f>SUM(D8+D11+D13+D14+D15+D25+D26+D37+D41+D42+D52+D60)</f>
        <v>0</v>
      </c>
      <c r="E61" s="893">
        <f>'Sources and Uses Budget'!S62</f>
        <v>18489563</v>
      </c>
      <c r="F61" s="893">
        <f>SUM(F10+F13+F14+F15+F25+F26+F37+F41+F42+F52)</f>
        <v>18489563</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65000</v>
      </c>
      <c r="C63" s="894">
        <f t="shared" ref="C63:C67" si="6">+B63</f>
        <v>65000</v>
      </c>
      <c r="D63" s="894"/>
      <c r="E63" s="893">
        <f>'Sources and Uses Budget'!S64</f>
        <v>65000</v>
      </c>
      <c r="F63" s="894">
        <f t="shared" ref="F63:F67" si="7">+E63</f>
        <v>65000</v>
      </c>
      <c r="G63" s="894"/>
      <c r="H63" s="893">
        <f>'Sources and Uses Budget'!T64</f>
        <v>0</v>
      </c>
      <c r="I63" s="894"/>
      <c r="J63" s="894"/>
      <c r="K63" s="888"/>
    </row>
    <row r="64" spans="1:11" s="1335" customFormat="1" ht="24">
      <c r="A64" s="369" t="s">
        <v>2166</v>
      </c>
      <c r="B64" s="893">
        <f>'Sources and Uses Budget'!C65</f>
        <v>0</v>
      </c>
      <c r="C64" s="894">
        <f t="shared" si="6"/>
        <v>0</v>
      </c>
      <c r="D64" s="894"/>
      <c r="E64" s="893">
        <f>'Sources and Uses Budget'!S65</f>
        <v>0</v>
      </c>
      <c r="F64" s="894">
        <f t="shared" si="7"/>
        <v>0</v>
      </c>
      <c r="G64" s="894"/>
      <c r="H64" s="893">
        <f>'Sources and Uses Budget'!T65</f>
        <v>0</v>
      </c>
      <c r="I64" s="894"/>
      <c r="J64" s="894"/>
      <c r="K64" s="888"/>
    </row>
    <row r="65" spans="1:11" s="1335" customFormat="1" ht="24">
      <c r="A65" s="369" t="s">
        <v>2167</v>
      </c>
      <c r="B65" s="893">
        <f>'Sources and Uses Budget'!C66</f>
        <v>0</v>
      </c>
      <c r="C65" s="894">
        <f t="shared" si="6"/>
        <v>0</v>
      </c>
      <c r="D65" s="894"/>
      <c r="E65" s="893">
        <f>'Sources and Uses Budget'!S66</f>
        <v>0</v>
      </c>
      <c r="F65" s="894">
        <f t="shared" si="7"/>
        <v>0</v>
      </c>
      <c r="G65" s="894"/>
      <c r="H65" s="893">
        <f>'Sources and Uses Budget'!T66</f>
        <v>0</v>
      </c>
      <c r="I65" s="894"/>
      <c r="J65" s="894"/>
      <c r="K65" s="888"/>
    </row>
    <row r="66" spans="1:11" s="1335" customFormat="1">
      <c r="A66" s="369" t="s">
        <v>2168</v>
      </c>
      <c r="B66" s="893">
        <f>'Sources and Uses Budget'!C67</f>
        <v>0</v>
      </c>
      <c r="C66" s="894">
        <f t="shared" si="6"/>
        <v>0</v>
      </c>
      <c r="D66" s="894"/>
      <c r="E66" s="893">
        <f>'Sources and Uses Budget'!S67</f>
        <v>0</v>
      </c>
      <c r="F66" s="894">
        <f t="shared" si="7"/>
        <v>0</v>
      </c>
      <c r="G66" s="894"/>
      <c r="H66" s="893">
        <f>'Sources and Uses Budget'!T67</f>
        <v>0</v>
      </c>
      <c r="I66" s="894"/>
      <c r="J66" s="894"/>
      <c r="K66" s="888"/>
    </row>
    <row r="67" spans="1:11" s="383" customFormat="1">
      <c r="A67" s="700" t="str">
        <f>'Sources and Uses Budget'!$A68</f>
        <v xml:space="preserve">Borrower's Attorney </v>
      </c>
      <c r="B67" s="893">
        <f>'Sources and Uses Budget'!C68</f>
        <v>50000</v>
      </c>
      <c r="C67" s="894">
        <f t="shared" si="6"/>
        <v>50000</v>
      </c>
      <c r="D67" s="894"/>
      <c r="E67" s="893">
        <f>'Sources and Uses Budget'!S68</f>
        <v>50000</v>
      </c>
      <c r="F67" s="894">
        <f t="shared" si="7"/>
        <v>50000</v>
      </c>
      <c r="G67" s="894"/>
      <c r="H67" s="893">
        <f>'Sources and Uses Budget'!T68</f>
        <v>0</v>
      </c>
      <c r="I67" s="894"/>
      <c r="J67" s="894"/>
      <c r="K67" s="888"/>
    </row>
    <row r="68" spans="1:11" s="383" customFormat="1">
      <c r="A68" s="373" t="s">
        <v>2169</v>
      </c>
      <c r="B68" s="893">
        <f>'Sources and Uses Budget'!C69</f>
        <v>115000</v>
      </c>
      <c r="C68" s="893">
        <f>SUM(C62:C67)</f>
        <v>115000</v>
      </c>
      <c r="D68" s="893">
        <f>SUM(D62:D67)</f>
        <v>0</v>
      </c>
      <c r="E68" s="893">
        <f>'Sources and Uses Budget'!S69</f>
        <v>115000</v>
      </c>
      <c r="F68" s="896">
        <f>SUM(F63:F67)</f>
        <v>115000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30000</v>
      </c>
      <c r="C70" s="894">
        <f t="shared" ref="C70:C74" si="8">+B70</f>
        <v>30000</v>
      </c>
      <c r="D70" s="894"/>
      <c r="E70" s="895"/>
      <c r="F70" s="895"/>
      <c r="G70" s="895"/>
      <c r="H70" s="895"/>
      <c r="I70" s="895"/>
      <c r="J70" s="895"/>
      <c r="K70" s="888"/>
    </row>
    <row r="71" spans="1:11" s="383" customFormat="1">
      <c r="A71" s="369" t="s">
        <v>314</v>
      </c>
      <c r="B71" s="893">
        <f>'Sources and Uses Budget'!C72</f>
        <v>0</v>
      </c>
      <c r="C71" s="894">
        <f t="shared" si="8"/>
        <v>0</v>
      </c>
      <c r="D71" s="894"/>
      <c r="E71" s="895"/>
      <c r="F71" s="895"/>
      <c r="G71" s="895"/>
      <c r="H71" s="895"/>
      <c r="I71" s="895"/>
      <c r="J71" s="895"/>
      <c r="K71" s="888"/>
    </row>
    <row r="72" spans="1:11" s="383" customFormat="1">
      <c r="A72" s="973" t="s">
        <v>1341</v>
      </c>
      <c r="B72" s="893">
        <f>'Sources and Uses Budget'!C73</f>
        <v>0</v>
      </c>
      <c r="C72" s="894">
        <f t="shared" si="8"/>
        <v>0</v>
      </c>
      <c r="D72" s="894"/>
      <c r="E72" s="895"/>
      <c r="F72" s="895"/>
      <c r="G72" s="895"/>
      <c r="H72" s="895"/>
      <c r="I72" s="895"/>
      <c r="J72" s="895"/>
      <c r="K72" s="888"/>
    </row>
    <row r="73" spans="1:11" s="383" customFormat="1">
      <c r="A73" s="369" t="s">
        <v>315</v>
      </c>
      <c r="B73" s="893">
        <f>'Sources and Uses Budget'!C74</f>
        <v>163755</v>
      </c>
      <c r="C73" s="894">
        <f t="shared" si="8"/>
        <v>163755</v>
      </c>
      <c r="D73" s="894"/>
      <c r="E73" s="895"/>
      <c r="F73" s="895"/>
      <c r="G73" s="895"/>
      <c r="H73" s="895"/>
      <c r="I73" s="895"/>
      <c r="J73" s="895"/>
      <c r="K73" s="888"/>
    </row>
    <row r="74" spans="1:11" s="383" customFormat="1">
      <c r="A74" s="700" t="str">
        <f>'Sources and Uses Budget'!$A75</f>
        <v>Other: (Specify)</v>
      </c>
      <c r="B74" s="893">
        <f>'Sources and Uses Budget'!C75</f>
        <v>0</v>
      </c>
      <c r="C74" s="894">
        <f t="shared" si="8"/>
        <v>0</v>
      </c>
      <c r="D74" s="894"/>
      <c r="E74" s="895"/>
      <c r="F74" s="895"/>
      <c r="G74" s="895"/>
      <c r="H74" s="895"/>
      <c r="I74" s="895"/>
      <c r="J74" s="895"/>
      <c r="K74" s="888"/>
    </row>
    <row r="75" spans="1:11" s="383" customFormat="1">
      <c r="A75" s="373" t="s">
        <v>316</v>
      </c>
      <c r="B75" s="893">
        <f>'Sources and Uses Budget'!C76</f>
        <v>193755</v>
      </c>
      <c r="C75" s="893">
        <f>SUM(C70:C74)</f>
        <v>193755</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773135</v>
      </c>
      <c r="C77" s="894">
        <f t="shared" ref="C77:C78" si="9">+B77</f>
        <v>773135</v>
      </c>
      <c r="D77" s="894"/>
      <c r="E77" s="893">
        <f>'Sources and Uses Budget'!S78</f>
        <v>773135</v>
      </c>
      <c r="F77" s="894">
        <f t="shared" ref="F77:F78" si="10">+E77</f>
        <v>773135</v>
      </c>
      <c r="G77" s="894"/>
      <c r="H77" s="893">
        <f>'Sources and Uses Budget'!T78</f>
        <v>0</v>
      </c>
      <c r="I77" s="894"/>
      <c r="J77" s="894"/>
      <c r="K77" s="888"/>
    </row>
    <row r="78" spans="1:11" s="1066" customFormat="1">
      <c r="A78" s="369" t="s">
        <v>594</v>
      </c>
      <c r="B78" s="893">
        <f>'Sources and Uses Budget'!C79</f>
        <v>117569</v>
      </c>
      <c r="C78" s="894">
        <f t="shared" si="9"/>
        <v>117569</v>
      </c>
      <c r="D78" s="894"/>
      <c r="E78" s="893">
        <f>'Sources and Uses Budget'!S79</f>
        <v>117569</v>
      </c>
      <c r="F78" s="894">
        <f t="shared" si="10"/>
        <v>117569</v>
      </c>
      <c r="G78" s="894"/>
      <c r="H78" s="893">
        <f>'Sources and Uses Budget'!T79</f>
        <v>0</v>
      </c>
      <c r="I78" s="894"/>
      <c r="J78" s="894"/>
      <c r="K78" s="888"/>
    </row>
    <row r="79" spans="1:11" s="383" customFormat="1">
      <c r="A79" s="373" t="s">
        <v>1908</v>
      </c>
      <c r="B79" s="893">
        <f>'Sources and Uses Budget'!C80</f>
        <v>890704</v>
      </c>
      <c r="C79" s="1075">
        <f>SUM(C77:C78)</f>
        <v>890704</v>
      </c>
      <c r="D79" s="1075">
        <f>SUM(D77:D78)</f>
        <v>0</v>
      </c>
      <c r="E79" s="893">
        <f>'Sources and Uses Budget'!S80</f>
        <v>890704</v>
      </c>
      <c r="F79" s="1075">
        <f>SUM(F77:F78)</f>
        <v>890704</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111822</v>
      </c>
      <c r="C81" s="894">
        <f t="shared" ref="C81:C93" si="11">+B81</f>
        <v>111822</v>
      </c>
      <c r="D81" s="894"/>
      <c r="E81" s="895"/>
      <c r="F81" s="895"/>
      <c r="G81" s="895"/>
      <c r="H81" s="895"/>
      <c r="I81" s="895"/>
      <c r="J81" s="895"/>
      <c r="K81" s="888"/>
    </row>
    <row r="82" spans="1:11" s="383" customFormat="1">
      <c r="A82" s="369" t="s">
        <v>572</v>
      </c>
      <c r="B82" s="893">
        <f>'Sources and Uses Budget'!C83</f>
        <v>7000</v>
      </c>
      <c r="C82" s="894">
        <f t="shared" si="11"/>
        <v>7000</v>
      </c>
      <c r="D82" s="894"/>
      <c r="E82" s="893">
        <f>'Sources and Uses Budget'!S83</f>
        <v>7000</v>
      </c>
      <c r="F82" s="894">
        <f t="shared" ref="F82:F85" si="12">+E82</f>
        <v>7000</v>
      </c>
      <c r="G82" s="894"/>
      <c r="H82" s="893">
        <f>'Sources and Uses Budget'!T83</f>
        <v>0</v>
      </c>
      <c r="I82" s="894"/>
      <c r="J82" s="894"/>
      <c r="K82" s="888"/>
    </row>
    <row r="83" spans="1:11" s="383" customFormat="1">
      <c r="A83" s="369" t="s">
        <v>573</v>
      </c>
      <c r="B83" s="893">
        <f>'Sources and Uses Budget'!C84</f>
        <v>2052077</v>
      </c>
      <c r="C83" s="894">
        <f t="shared" si="11"/>
        <v>2052077</v>
      </c>
      <c r="D83" s="894"/>
      <c r="E83" s="893">
        <f>'Sources and Uses Budget'!S84</f>
        <v>2052077</v>
      </c>
      <c r="F83" s="894">
        <f t="shared" si="12"/>
        <v>2052077</v>
      </c>
      <c r="G83" s="894"/>
      <c r="H83" s="893">
        <f>'Sources and Uses Budget'!T84</f>
        <v>0</v>
      </c>
      <c r="I83" s="894"/>
      <c r="J83" s="894"/>
      <c r="K83" s="888"/>
    </row>
    <row r="84" spans="1:11" s="383" customFormat="1">
      <c r="A84" s="369" t="s">
        <v>574</v>
      </c>
      <c r="B84" s="893">
        <f>'Sources and Uses Budget'!C85</f>
        <v>0</v>
      </c>
      <c r="C84" s="894">
        <f t="shared" si="11"/>
        <v>0</v>
      </c>
      <c r="D84" s="894"/>
      <c r="E84" s="893">
        <f>'Sources and Uses Budget'!S85</f>
        <v>0</v>
      </c>
      <c r="F84" s="894">
        <f t="shared" si="12"/>
        <v>0</v>
      </c>
      <c r="G84" s="894"/>
      <c r="H84" s="893">
        <f>'Sources and Uses Budget'!T85</f>
        <v>0</v>
      </c>
      <c r="I84" s="894"/>
      <c r="J84" s="894"/>
      <c r="K84" s="888"/>
    </row>
    <row r="85" spans="1:11" s="383" customFormat="1">
      <c r="A85" s="369" t="s">
        <v>575</v>
      </c>
      <c r="B85" s="893">
        <f>'Sources and Uses Budget'!C86</f>
        <v>0</v>
      </c>
      <c r="C85" s="894">
        <f t="shared" si="11"/>
        <v>0</v>
      </c>
      <c r="D85" s="894"/>
      <c r="E85" s="893">
        <f>'Sources and Uses Budget'!S86</f>
        <v>0</v>
      </c>
      <c r="F85" s="894">
        <f t="shared" si="12"/>
        <v>0</v>
      </c>
      <c r="G85" s="894"/>
      <c r="H85" s="893">
        <f>'Sources and Uses Budget'!T86</f>
        <v>0</v>
      </c>
      <c r="I85" s="894"/>
      <c r="J85" s="894"/>
      <c r="K85" s="888"/>
    </row>
    <row r="86" spans="1:11" s="383" customFormat="1">
      <c r="A86" s="369" t="s">
        <v>576</v>
      </c>
      <c r="B86" s="893">
        <f>'Sources and Uses Budget'!C87</f>
        <v>30120</v>
      </c>
      <c r="C86" s="894">
        <f t="shared" si="11"/>
        <v>30120</v>
      </c>
      <c r="D86" s="894"/>
      <c r="E86" s="895"/>
      <c r="F86" s="895"/>
      <c r="G86" s="895"/>
      <c r="H86" s="895"/>
      <c r="I86" s="895"/>
      <c r="J86" s="895"/>
      <c r="K86" s="888"/>
    </row>
    <row r="87" spans="1:11" s="383" customFormat="1">
      <c r="A87" s="369" t="s">
        <v>577</v>
      </c>
      <c r="B87" s="893">
        <f>'Sources and Uses Budget'!C88</f>
        <v>50000</v>
      </c>
      <c r="C87" s="894">
        <f t="shared" si="11"/>
        <v>50000</v>
      </c>
      <c r="D87" s="894"/>
      <c r="E87" s="893">
        <f>'Sources and Uses Budget'!S88</f>
        <v>50000</v>
      </c>
      <c r="F87" s="894">
        <f t="shared" ref="F87:F93" si="13">+E87</f>
        <v>50000</v>
      </c>
      <c r="G87" s="894"/>
      <c r="H87" s="893">
        <f>'Sources and Uses Budget'!T88</f>
        <v>0</v>
      </c>
      <c r="I87" s="894"/>
      <c r="J87" s="894"/>
      <c r="K87" s="888"/>
    </row>
    <row r="88" spans="1:11" s="383" customFormat="1">
      <c r="A88" s="369" t="s">
        <v>578</v>
      </c>
      <c r="B88" s="893">
        <f>'Sources and Uses Budget'!C89</f>
        <v>10000</v>
      </c>
      <c r="C88" s="894">
        <f t="shared" si="11"/>
        <v>10000</v>
      </c>
      <c r="D88" s="894"/>
      <c r="E88" s="893">
        <f>'Sources and Uses Budget'!S89</f>
        <v>10000</v>
      </c>
      <c r="F88" s="894">
        <f t="shared" si="13"/>
        <v>10000</v>
      </c>
      <c r="G88" s="894"/>
      <c r="H88" s="893">
        <f>'Sources and Uses Budget'!T89</f>
        <v>0</v>
      </c>
      <c r="I88" s="894"/>
      <c r="J88" s="894"/>
      <c r="K88" s="888"/>
    </row>
    <row r="89" spans="1:11" s="383" customFormat="1">
      <c r="A89" s="700" t="s">
        <v>1423</v>
      </c>
      <c r="B89" s="893">
        <f>'Sources and Uses Budget'!C90</f>
        <v>45000</v>
      </c>
      <c r="C89" s="894">
        <f t="shared" si="11"/>
        <v>45000</v>
      </c>
      <c r="D89" s="894"/>
      <c r="E89" s="893">
        <f>'Sources and Uses Budget'!S90</f>
        <v>45000</v>
      </c>
      <c r="F89" s="894">
        <f t="shared" si="13"/>
        <v>45000</v>
      </c>
      <c r="G89" s="894"/>
      <c r="H89" s="893">
        <f>'Sources and Uses Budget'!T90</f>
        <v>0</v>
      </c>
      <c r="I89" s="894"/>
      <c r="J89" s="894"/>
      <c r="K89" s="888"/>
    </row>
    <row r="90" spans="1:11" s="383" customFormat="1">
      <c r="A90" s="700" t="s">
        <v>1906</v>
      </c>
      <c r="B90" s="893">
        <f>'Sources and Uses Budget'!C91</f>
        <v>7500</v>
      </c>
      <c r="C90" s="894">
        <f t="shared" si="11"/>
        <v>7500</v>
      </c>
      <c r="D90" s="894"/>
      <c r="E90" s="893">
        <f>'Sources and Uses Budget'!S91</f>
        <v>7500</v>
      </c>
      <c r="F90" s="894">
        <f t="shared" si="13"/>
        <v>7500</v>
      </c>
      <c r="G90" s="894"/>
      <c r="H90" s="893">
        <f>'Sources and Uses Budget'!T91</f>
        <v>0</v>
      </c>
      <c r="I90" s="894"/>
      <c r="J90" s="894"/>
      <c r="K90" s="888"/>
    </row>
    <row r="91" spans="1:11" s="383" customFormat="1">
      <c r="A91" s="700" t="str">
        <f>'Sources and Uses Budget'!$A92</f>
        <v>Other: (Specify)</v>
      </c>
      <c r="B91" s="893">
        <f>'Sources and Uses Budget'!C92</f>
        <v>0</v>
      </c>
      <c r="C91" s="894">
        <f t="shared" si="11"/>
        <v>0</v>
      </c>
      <c r="D91" s="894"/>
      <c r="E91" s="893">
        <f>'Sources and Uses Budget'!S92</f>
        <v>0</v>
      </c>
      <c r="F91" s="894">
        <f t="shared" si="13"/>
        <v>0</v>
      </c>
      <c r="G91" s="894"/>
      <c r="H91" s="893">
        <f>'Sources and Uses Budget'!T92</f>
        <v>0</v>
      </c>
      <c r="I91" s="894"/>
      <c r="J91" s="894"/>
      <c r="K91" s="888"/>
    </row>
    <row r="92" spans="1:11" s="383" customFormat="1">
      <c r="A92" s="700" t="str">
        <f>'Sources and Uses Budget'!$A93</f>
        <v>Other: (Specify)</v>
      </c>
      <c r="B92" s="893">
        <f>'Sources and Uses Budget'!C93</f>
        <v>0</v>
      </c>
      <c r="C92" s="894">
        <f t="shared" si="11"/>
        <v>0</v>
      </c>
      <c r="D92" s="894"/>
      <c r="E92" s="893">
        <f>'Sources and Uses Budget'!S93</f>
        <v>0</v>
      </c>
      <c r="F92" s="894">
        <f t="shared" si="13"/>
        <v>0</v>
      </c>
      <c r="G92" s="894"/>
      <c r="H92" s="893">
        <f>'Sources and Uses Budget'!T93</f>
        <v>0</v>
      </c>
      <c r="I92" s="894"/>
      <c r="J92" s="894"/>
      <c r="K92" s="888"/>
    </row>
    <row r="93" spans="1:11" s="383" customFormat="1">
      <c r="A93" s="700" t="str">
        <f>'Sources and Uses Budget'!$A94</f>
        <v>Other: (Specify)</v>
      </c>
      <c r="B93" s="893">
        <f>'Sources and Uses Budget'!C94</f>
        <v>0</v>
      </c>
      <c r="C93" s="894">
        <f t="shared" si="11"/>
        <v>0</v>
      </c>
      <c r="D93" s="894"/>
      <c r="E93" s="893">
        <f>'Sources and Uses Budget'!S94</f>
        <v>0</v>
      </c>
      <c r="F93" s="894">
        <f t="shared" si="13"/>
        <v>0</v>
      </c>
      <c r="G93" s="894"/>
      <c r="H93" s="893">
        <f>'Sources and Uses Budget'!T94</f>
        <v>0</v>
      </c>
      <c r="I93" s="894"/>
      <c r="J93" s="894"/>
      <c r="K93" s="888"/>
    </row>
    <row r="94" spans="1:11" s="383" customFormat="1">
      <c r="A94" s="373" t="s">
        <v>579</v>
      </c>
      <c r="B94" s="893">
        <f>'Sources and Uses Budget'!C95</f>
        <v>2313519</v>
      </c>
      <c r="C94" s="893">
        <f>SUM(C81:C93)</f>
        <v>2313519</v>
      </c>
      <c r="D94" s="893">
        <f>SUM(D81:D93)</f>
        <v>0</v>
      </c>
      <c r="E94" s="893">
        <f>'Sources and Uses Budget'!S95</f>
        <v>2171577</v>
      </c>
      <c r="F94" s="896">
        <f>SUM(F82:F85,F87:F93)</f>
        <v>2171577</v>
      </c>
      <c r="G94" s="896">
        <f>SUM(G82:G85,G87:G93)</f>
        <v>0</v>
      </c>
      <c r="H94" s="893">
        <f>'Sources and Uses Budget'!T95</f>
        <v>0</v>
      </c>
      <c r="I94" s="893">
        <f>SUM(I82:I85,I87:I93)</f>
        <v>0</v>
      </c>
      <c r="J94" s="893">
        <f>SUM(J82:J85,J87:J93)</f>
        <v>0</v>
      </c>
      <c r="K94" s="888"/>
    </row>
    <row r="95" spans="1:11" s="383" customFormat="1">
      <c r="A95" s="373" t="s">
        <v>1477</v>
      </c>
      <c r="B95" s="893">
        <f>'Sources and Uses Budget'!C96</f>
        <v>33551101</v>
      </c>
      <c r="C95" s="893">
        <f>SUM(C61+C68+C75+C79+C94)</f>
        <v>33551101</v>
      </c>
      <c r="D95" s="893">
        <f>SUM(D61+D68+D75+D79+D94)</f>
        <v>0</v>
      </c>
      <c r="E95" s="893">
        <f>'Sources and Uses Budget'!S96</f>
        <v>21666844</v>
      </c>
      <c r="F95" s="896">
        <f>SUM(+F61+F68+F79+F94)</f>
        <v>21666844</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f t="shared" ref="C97:C101" si="14">+B97</f>
        <v>2200000</v>
      </c>
      <c r="D97" s="894"/>
      <c r="E97" s="893">
        <f>'Sources and Uses Budget'!S98</f>
        <v>2200000</v>
      </c>
      <c r="F97" s="894">
        <f t="shared" ref="F97:F101" si="15">+E97</f>
        <v>2200000</v>
      </c>
      <c r="G97" s="894"/>
      <c r="H97" s="893">
        <f>'Sources and Uses Budget'!T98</f>
        <v>0</v>
      </c>
      <c r="I97" s="894"/>
      <c r="J97" s="894"/>
      <c r="K97" s="888"/>
    </row>
    <row r="98" spans="1:11" s="383" customFormat="1">
      <c r="A98" s="369" t="s">
        <v>2170</v>
      </c>
      <c r="B98" s="893">
        <f>'Sources and Uses Budget'!C99</f>
        <v>0</v>
      </c>
      <c r="C98" s="894">
        <f t="shared" si="14"/>
        <v>0</v>
      </c>
      <c r="D98" s="894"/>
      <c r="E98" s="893">
        <f>'Sources and Uses Budget'!S99</f>
        <v>0</v>
      </c>
      <c r="F98" s="894">
        <f t="shared" si="15"/>
        <v>0</v>
      </c>
      <c r="G98" s="894"/>
      <c r="H98" s="893">
        <f>'Sources and Uses Budget'!T99</f>
        <v>0</v>
      </c>
      <c r="I98" s="894"/>
      <c r="J98" s="894"/>
      <c r="K98" s="888"/>
    </row>
    <row r="99" spans="1:11" s="383" customFormat="1" ht="12" customHeight="1">
      <c r="A99" s="369" t="s">
        <v>583</v>
      </c>
      <c r="B99" s="893">
        <f>'Sources and Uses Budget'!C100</f>
        <v>0</v>
      </c>
      <c r="C99" s="894">
        <f t="shared" si="14"/>
        <v>0</v>
      </c>
      <c r="D99" s="894"/>
      <c r="E99" s="893">
        <f>'Sources and Uses Budget'!S100</f>
        <v>0</v>
      </c>
      <c r="F99" s="894">
        <f t="shared" si="15"/>
        <v>0</v>
      </c>
      <c r="G99" s="894"/>
      <c r="H99" s="893">
        <f>'Sources and Uses Budget'!T100</f>
        <v>0</v>
      </c>
      <c r="I99" s="894"/>
      <c r="J99" s="894"/>
      <c r="K99" s="888"/>
    </row>
    <row r="100" spans="1:11" s="383" customFormat="1">
      <c r="A100" s="369" t="s">
        <v>1342</v>
      </c>
      <c r="B100" s="893">
        <f>'Sources and Uses Budget'!C101</f>
        <v>0</v>
      </c>
      <c r="C100" s="894">
        <f t="shared" si="14"/>
        <v>0</v>
      </c>
      <c r="D100" s="894"/>
      <c r="E100" s="893">
        <f>'Sources and Uses Budget'!S101</f>
        <v>0</v>
      </c>
      <c r="F100" s="894">
        <f t="shared" si="15"/>
        <v>0</v>
      </c>
      <c r="G100" s="894"/>
      <c r="H100" s="893">
        <f>'Sources and Uses Budget'!T101</f>
        <v>0</v>
      </c>
      <c r="I100" s="894"/>
      <c r="J100" s="894"/>
      <c r="K100" s="888"/>
    </row>
    <row r="101" spans="1:11" s="383" customFormat="1">
      <c r="A101" s="700" t="str">
        <f>'Sources and Uses Budget'!$A102</f>
        <v>Other: (Specify)</v>
      </c>
      <c r="B101" s="893">
        <f>'Sources and Uses Budget'!C102</f>
        <v>0</v>
      </c>
      <c r="C101" s="894">
        <f t="shared" si="14"/>
        <v>0</v>
      </c>
      <c r="D101" s="894"/>
      <c r="E101" s="893">
        <f>'Sources and Uses Budget'!S102</f>
        <v>0</v>
      </c>
      <c r="F101" s="894">
        <f t="shared" si="15"/>
        <v>0</v>
      </c>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1478</v>
      </c>
      <c r="B103" s="893">
        <f>'Sources and Uses Budget'!C104</f>
        <v>35751101</v>
      </c>
      <c r="C103" s="896">
        <f>SUM(C95+C102)</f>
        <v>35751101</v>
      </c>
      <c r="D103" s="896">
        <f>SUM(D95+D102)</f>
        <v>0</v>
      </c>
      <c r="E103" s="893">
        <f>'Sources and Uses Budget'!S104</f>
        <v>23866844</v>
      </c>
      <c r="F103" s="896">
        <f>F95+F102</f>
        <v>23866844</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23866844</v>
      </c>
      <c r="F105" s="899">
        <f>F103+F104</f>
        <v>23866844</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145" zoomScale="120" zoomScaleNormal="120" workbookViewId="0">
      <selection activeCell="T141" sqref="T14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705" t="s">
        <v>920</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c r="AM1" s="1705"/>
    </row>
    <row r="2" spans="1:42" s="8" customFormat="1" ht="12.75" customHeight="1" thickBot="1">
      <c r="A2" s="1706"/>
      <c r="B2" s="1706"/>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85" t="s">
        <v>405</v>
      </c>
      <c r="AF4" s="2485"/>
      <c r="AG4" s="2485"/>
      <c r="AH4" s="2485"/>
      <c r="AI4" s="2485"/>
      <c r="AJ4" s="2485"/>
      <c r="AK4" s="2485"/>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4" t="s">
        <v>929</v>
      </c>
      <c r="AG6" s="2354"/>
      <c r="AH6" s="2354"/>
      <c r="AI6" s="2354"/>
      <c r="AJ6" s="2354"/>
      <c r="AK6" s="2354"/>
      <c r="AL6" s="2354"/>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33" t="s">
        <v>2364</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333" t="s">
        <v>1345</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88" t="s">
        <v>135</v>
      </c>
      <c r="AC13" s="2488"/>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333" t="s">
        <v>1209</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60" t="s">
        <v>1788</v>
      </c>
      <c r="C20" s="2360"/>
      <c r="D20" s="2360"/>
      <c r="E20" s="2360"/>
      <c r="F20" s="2360"/>
      <c r="G20" s="2360"/>
      <c r="H20" s="2360"/>
      <c r="I20" s="2360"/>
      <c r="J20" s="2360"/>
      <c r="K20" s="2360"/>
      <c r="L20" s="2360"/>
      <c r="M20" s="2360"/>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1255"/>
      <c r="AM20" s="38"/>
      <c r="AN20" s="1085"/>
    </row>
    <row r="21" spans="1:42" s="8" customFormat="1" ht="12.75" customHeight="1">
      <c r="A21" s="38"/>
      <c r="B21" s="2360"/>
      <c r="C21" s="2360"/>
      <c r="D21" s="2360"/>
      <c r="E21" s="2360"/>
      <c r="F21" s="2360"/>
      <c r="G21" s="2360"/>
      <c r="H21" s="2360"/>
      <c r="I21" s="2360"/>
      <c r="J21" s="2360"/>
      <c r="K21" s="2360"/>
      <c r="L21" s="2360"/>
      <c r="M21" s="2360"/>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c r="AL21" s="1255"/>
      <c r="AM21" s="38"/>
      <c r="AN21" s="1085"/>
      <c r="AP21" s="517"/>
    </row>
    <row r="22" spans="1:42" s="8" customFormat="1" ht="12.75" customHeight="1">
      <c r="A22" s="38"/>
      <c r="B22" s="2360"/>
      <c r="C22" s="2360"/>
      <c r="D22" s="2360"/>
      <c r="E22" s="2360"/>
      <c r="F22" s="2360"/>
      <c r="G22" s="2360"/>
      <c r="H22" s="2360"/>
      <c r="I22" s="2360"/>
      <c r="J22" s="2360"/>
      <c r="K22" s="2360"/>
      <c r="L22" s="2360"/>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0"/>
      <c r="AK22" s="2360"/>
      <c r="AL22" s="1255"/>
      <c r="AM22" s="38"/>
      <c r="AN22" s="1085"/>
    </row>
    <row r="23" spans="1:42" s="46" customFormat="1" ht="12.75" customHeight="1">
      <c r="A23" s="38"/>
      <c r="B23" s="2360"/>
      <c r="C23" s="2360"/>
      <c r="D23" s="2360"/>
      <c r="E23" s="2360"/>
      <c r="F23" s="2360"/>
      <c r="G23" s="2360"/>
      <c r="H23" s="2360"/>
      <c r="I23" s="2360"/>
      <c r="J23" s="2360"/>
      <c r="K23" s="2360"/>
      <c r="L23" s="2360"/>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1255"/>
      <c r="AM23" s="38"/>
      <c r="AN23" s="439"/>
    </row>
    <row r="24" spans="1:42" s="46" customFormat="1" ht="12.75" customHeight="1">
      <c r="A24" s="38"/>
      <c r="B24" s="2360"/>
      <c r="C24" s="2360"/>
      <c r="D24" s="2360"/>
      <c r="E24" s="2360"/>
      <c r="F24" s="2360"/>
      <c r="G24" s="2360"/>
      <c r="H24" s="2360"/>
      <c r="I24" s="2360"/>
      <c r="J24" s="2360"/>
      <c r="K24" s="2360"/>
      <c r="L24" s="2360"/>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c r="AL24" s="1255"/>
      <c r="AM24" s="38"/>
      <c r="AN24" s="1088"/>
      <c r="AO24" s="155"/>
    </row>
    <row r="25" spans="1:42" s="46" customFormat="1" ht="12.75" customHeight="1">
      <c r="A25" s="38"/>
      <c r="B25" s="2360"/>
      <c r="C25" s="2360"/>
      <c r="D25" s="2360"/>
      <c r="E25" s="2360"/>
      <c r="F25" s="2360"/>
      <c r="G25" s="2360"/>
      <c r="H25" s="2360"/>
      <c r="I25" s="2360"/>
      <c r="J25" s="2360"/>
      <c r="K25" s="2360"/>
      <c r="L25" s="2360"/>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1255"/>
      <c r="AM25" s="38"/>
      <c r="AN25" s="1088"/>
    </row>
    <row r="26" spans="1:42" s="137" customFormat="1" ht="12.75" customHeight="1">
      <c r="A26" s="38"/>
      <c r="B26" s="2360"/>
      <c r="C26" s="2360"/>
      <c r="D26" s="2360"/>
      <c r="E26" s="2360"/>
      <c r="F26" s="2360"/>
      <c r="G26" s="2360"/>
      <c r="H26" s="2360"/>
      <c r="I26" s="2360"/>
      <c r="J26" s="2360"/>
      <c r="K26" s="2360"/>
      <c r="L26" s="2360"/>
      <c r="M26" s="2360"/>
      <c r="N26" s="2360"/>
      <c r="O26" s="2360"/>
      <c r="P26" s="2360"/>
      <c r="Q26" s="2360"/>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1255"/>
      <c r="AM26" s="38"/>
      <c r="AN26" s="1089"/>
    </row>
    <row r="27" spans="1:42" s="46" customFormat="1" ht="12.75" customHeight="1">
      <c r="A27" s="38"/>
      <c r="B27" s="2360"/>
      <c r="C27" s="2360"/>
      <c r="D27" s="2360"/>
      <c r="E27" s="2360"/>
      <c r="F27" s="2360"/>
      <c r="G27" s="2360"/>
      <c r="H27" s="2360"/>
      <c r="I27" s="2360"/>
      <c r="J27" s="2360"/>
      <c r="K27" s="2360"/>
      <c r="L27" s="2360"/>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2360"/>
      <c r="AI27" s="2360"/>
      <c r="AJ27" s="2360"/>
      <c r="AK27" s="2360"/>
      <c r="AL27" s="1255"/>
      <c r="AM27" s="38"/>
      <c r="AN27" s="1090"/>
    </row>
    <row r="28" spans="1:42" s="46" customFormat="1" ht="12.75" customHeight="1">
      <c r="A28" s="38"/>
      <c r="B28" s="2360"/>
      <c r="C28" s="2360"/>
      <c r="D28" s="2360"/>
      <c r="E28" s="2360"/>
      <c r="F28" s="2360"/>
      <c r="G28" s="2360"/>
      <c r="H28" s="2360"/>
      <c r="I28" s="2360"/>
      <c r="J28" s="2360"/>
      <c r="K28" s="2360"/>
      <c r="L28" s="2360"/>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c r="AL28" s="1255"/>
      <c r="AM28" s="38"/>
      <c r="AN28" s="1090"/>
    </row>
    <row r="29" spans="1:42" s="46" customFormat="1" ht="31.7" customHeight="1">
      <c r="A29" s="38"/>
      <c r="B29" s="2360"/>
      <c r="C29" s="2360"/>
      <c r="D29" s="2360"/>
      <c r="E29" s="2360"/>
      <c r="F29" s="2360"/>
      <c r="G29" s="2360"/>
      <c r="H29" s="2360"/>
      <c r="I29" s="2360"/>
      <c r="J29" s="2360"/>
      <c r="K29" s="2360"/>
      <c r="L29" s="2360"/>
      <c r="M29" s="2360"/>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c r="AL29" s="1255"/>
      <c r="AM29" s="38"/>
      <c r="AN29" s="1090"/>
      <c r="AO29" s="724" t="s">
        <v>86</v>
      </c>
      <c r="AP29" s="578"/>
    </row>
    <row r="30" spans="1:42" s="46" customFormat="1" ht="12.75" customHeight="1">
      <c r="A30" s="8"/>
      <c r="B30" s="2361"/>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86">
        <f>IF((AND(AND(OR(Application!D211="Nonprofit (qualified nonprofit organization)",Application!D211="Nonprofit (homeless assistance)",Application!D211="Special Needs/SRO"),Application!D214="Special Needs"),$AB$13="N/A")),VLOOKUP($B$16,$AO$14:$AP$16,2,FALSE),VLOOKUP($B$11,$AO$9:$AP$11,2,FALSE))</f>
        <v>7</v>
      </c>
      <c r="AK31" s="2486"/>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4" t="s">
        <v>66</v>
      </c>
      <c r="AG33" s="2354"/>
      <c r="AH33" s="2354"/>
      <c r="AI33" s="2354"/>
      <c r="AJ33" s="2354"/>
      <c r="AK33" s="2354"/>
      <c r="AL33" s="2354"/>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33" t="s">
        <v>1349</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8" t="s">
        <v>135</v>
      </c>
      <c r="AD37" s="2488"/>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33" t="s">
        <v>1209</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3" t="s">
        <v>2408</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97">
        <f>IF((AND(AND(OR(Application!D211="Nonprofit (qualified nonprofit organization)",Application!D211="Nonprofit (homeless assistance)",Application!D211="Special Needs/SRO"),Application!D214="Special Needs"),$AC$37="N/A")),VLOOKUP($C$40,$AO$35:$AP$37,2,FALSE),VLOOKUP($C$35,$AO$29:$AP$32,2,FALSE))</f>
        <v>3</v>
      </c>
      <c r="AK47" s="2397"/>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45" t="s">
        <v>1604</v>
      </c>
      <c r="C49" s="2345"/>
      <c r="D49" s="2345"/>
      <c r="E49" s="2345"/>
      <c r="F49" s="2345"/>
      <c r="G49" s="2345"/>
      <c r="H49" s="2345"/>
      <c r="I49" s="2345"/>
      <c r="J49" s="2345"/>
      <c r="K49" s="2345"/>
      <c r="L49" s="2345"/>
      <c r="M49" s="2345"/>
      <c r="N49" s="2345"/>
      <c r="O49" s="2345"/>
      <c r="P49" s="2345"/>
      <c r="Q49" s="2345"/>
      <c r="R49" s="2345"/>
      <c r="S49" s="2345"/>
      <c r="T49" s="2345"/>
      <c r="U49" s="2345"/>
      <c r="V49" s="2345"/>
      <c r="W49" s="2345"/>
      <c r="X49" s="2345"/>
      <c r="Y49" s="2345"/>
      <c r="Z49" s="2345"/>
      <c r="AA49" s="2345"/>
      <c r="AB49" s="2345"/>
      <c r="AC49" s="2345"/>
      <c r="AD49" s="2345"/>
      <c r="AE49" s="2345"/>
      <c r="AF49" s="2345"/>
      <c r="AG49" s="2345"/>
      <c r="AH49" s="2345"/>
      <c r="AI49" s="2345"/>
      <c r="AJ49" s="2345"/>
      <c r="AK49" s="2345"/>
      <c r="AL49" s="1252"/>
      <c r="AM49" s="163"/>
      <c r="AN49" s="439"/>
      <c r="AP49" s="46" t="s">
        <v>621</v>
      </c>
      <c r="AQ49" s="46">
        <v>10</v>
      </c>
    </row>
    <row r="50" spans="1:43" s="46" customFormat="1" ht="12.75" customHeight="1">
      <c r="A50" s="164"/>
      <c r="B50" s="2345"/>
      <c r="C50" s="2345"/>
      <c r="D50" s="2345"/>
      <c r="E50" s="2345"/>
      <c r="F50" s="2345"/>
      <c r="G50" s="2345"/>
      <c r="H50" s="2345"/>
      <c r="I50" s="2345"/>
      <c r="J50" s="2345"/>
      <c r="K50" s="2345"/>
      <c r="L50" s="2345"/>
      <c r="M50" s="2345"/>
      <c r="N50" s="2345"/>
      <c r="O50" s="2345"/>
      <c r="P50" s="2345"/>
      <c r="Q50" s="2345"/>
      <c r="R50" s="2345"/>
      <c r="S50" s="2345"/>
      <c r="T50" s="2345"/>
      <c r="U50" s="2345"/>
      <c r="V50" s="2345"/>
      <c r="W50" s="2345"/>
      <c r="X50" s="2345"/>
      <c r="Y50" s="2345"/>
      <c r="Z50" s="2345"/>
      <c r="AA50" s="2345"/>
      <c r="AB50" s="2345"/>
      <c r="AC50" s="2345"/>
      <c r="AD50" s="2345"/>
      <c r="AE50" s="2345"/>
      <c r="AF50" s="2345"/>
      <c r="AG50" s="2345"/>
      <c r="AH50" s="2345"/>
      <c r="AI50" s="2345"/>
      <c r="AJ50" s="2345"/>
      <c r="AK50" s="2345"/>
      <c r="AL50" s="1252"/>
      <c r="AM50" s="163"/>
      <c r="AN50" s="439"/>
      <c r="AP50" s="46" t="s">
        <v>677</v>
      </c>
      <c r="AQ50" s="46">
        <v>10</v>
      </c>
    </row>
    <row r="51" spans="1:43" s="46" customFormat="1" ht="12.75" customHeight="1">
      <c r="A51" s="164"/>
      <c r="B51" s="2345"/>
      <c r="C51" s="2345"/>
      <c r="D51" s="2345"/>
      <c r="E51" s="2345"/>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2345"/>
      <c r="AB51" s="2345"/>
      <c r="AC51" s="2345"/>
      <c r="AD51" s="2345"/>
      <c r="AE51" s="2345"/>
      <c r="AF51" s="2345"/>
      <c r="AG51" s="2345"/>
      <c r="AH51" s="2345"/>
      <c r="AI51" s="2345"/>
      <c r="AJ51" s="2345"/>
      <c r="AK51" s="2345"/>
      <c r="AL51" s="1252"/>
      <c r="AM51" s="163"/>
      <c r="AN51" s="439"/>
    </row>
    <row r="52" spans="1:43" s="137" customFormat="1" ht="12.75" customHeight="1">
      <c r="A52" s="164"/>
      <c r="B52" s="2345"/>
      <c r="C52" s="2345"/>
      <c r="D52" s="2345"/>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2345"/>
      <c r="AB52" s="2345"/>
      <c r="AC52" s="2345"/>
      <c r="AD52" s="2345"/>
      <c r="AE52" s="2345"/>
      <c r="AF52" s="2345"/>
      <c r="AG52" s="2345"/>
      <c r="AH52" s="2345"/>
      <c r="AI52" s="2345"/>
      <c r="AJ52" s="2345"/>
      <c r="AK52" s="2345"/>
      <c r="AL52" s="1252"/>
      <c r="AM52" s="163"/>
      <c r="AN52" s="1089"/>
    </row>
    <row r="53" spans="1:43" s="46" customFormat="1" ht="12.75" customHeight="1">
      <c r="A53" s="164"/>
      <c r="B53" s="2345"/>
      <c r="C53" s="2345"/>
      <c r="D53" s="2345"/>
      <c r="E53" s="2345"/>
      <c r="F53" s="2345"/>
      <c r="G53" s="2345"/>
      <c r="H53" s="2345"/>
      <c r="I53" s="2345"/>
      <c r="J53" s="2345"/>
      <c r="K53" s="2345"/>
      <c r="L53" s="2345"/>
      <c r="M53" s="2345"/>
      <c r="N53" s="2345"/>
      <c r="O53" s="2345"/>
      <c r="P53" s="2345"/>
      <c r="Q53" s="2345"/>
      <c r="R53" s="2345"/>
      <c r="S53" s="2345"/>
      <c r="T53" s="2345"/>
      <c r="U53" s="2345"/>
      <c r="V53" s="2345"/>
      <c r="W53" s="2345"/>
      <c r="X53" s="2345"/>
      <c r="Y53" s="2345"/>
      <c r="Z53" s="2345"/>
      <c r="AA53" s="2345"/>
      <c r="AB53" s="2345"/>
      <c r="AC53" s="2345"/>
      <c r="AD53" s="2345"/>
      <c r="AE53" s="2345"/>
      <c r="AF53" s="2345"/>
      <c r="AG53" s="2345"/>
      <c r="AH53" s="2345"/>
      <c r="AI53" s="2345"/>
      <c r="AJ53" s="2345"/>
      <c r="AK53" s="2345"/>
      <c r="AL53" s="1252"/>
      <c r="AM53" s="163"/>
      <c r="AN53" s="439"/>
    </row>
    <row r="54" spans="1:43" s="46" customFormat="1" ht="12.75" customHeight="1">
      <c r="A54" s="164"/>
      <c r="B54" s="2345"/>
      <c r="C54" s="2345"/>
      <c r="D54" s="2345"/>
      <c r="E54" s="2345"/>
      <c r="F54" s="2345"/>
      <c r="G54" s="2345"/>
      <c r="H54" s="2345"/>
      <c r="I54" s="2345"/>
      <c r="J54" s="2345"/>
      <c r="K54" s="2345"/>
      <c r="L54" s="2345"/>
      <c r="M54" s="2345"/>
      <c r="N54" s="2345"/>
      <c r="O54" s="2345"/>
      <c r="P54" s="2345"/>
      <c r="Q54" s="2345"/>
      <c r="R54" s="2345"/>
      <c r="S54" s="2345"/>
      <c r="T54" s="2345"/>
      <c r="U54" s="2345"/>
      <c r="V54" s="2345"/>
      <c r="W54" s="2345"/>
      <c r="X54" s="2345"/>
      <c r="Y54" s="2345"/>
      <c r="Z54" s="2345"/>
      <c r="AA54" s="2345"/>
      <c r="AB54" s="2345"/>
      <c r="AC54" s="2345"/>
      <c r="AD54" s="2345"/>
      <c r="AE54" s="2345"/>
      <c r="AF54" s="2345"/>
      <c r="AG54" s="2345"/>
      <c r="AH54" s="2345"/>
      <c r="AI54" s="2345"/>
      <c r="AJ54" s="2345"/>
      <c r="AK54" s="2345"/>
      <c r="AL54" s="1252"/>
      <c r="AM54" s="163"/>
      <c r="AN54" s="439"/>
    </row>
    <row r="55" spans="1:43" s="46" customFormat="1" ht="33.4" customHeight="1">
      <c r="A55" s="164"/>
      <c r="B55" s="2345"/>
      <c r="C55" s="2345"/>
      <c r="D55" s="2345"/>
      <c r="E55" s="2345"/>
      <c r="F55" s="2345"/>
      <c r="G55" s="2345"/>
      <c r="H55" s="2345"/>
      <c r="I55" s="2345"/>
      <c r="J55" s="2345"/>
      <c r="K55" s="2345"/>
      <c r="L55" s="2345"/>
      <c r="M55" s="2345"/>
      <c r="N55" s="2345"/>
      <c r="O55" s="2345"/>
      <c r="P55" s="2345"/>
      <c r="Q55" s="2345"/>
      <c r="R55" s="2345"/>
      <c r="S55" s="2345"/>
      <c r="T55" s="2345"/>
      <c r="U55" s="2345"/>
      <c r="V55" s="2345"/>
      <c r="W55" s="2345"/>
      <c r="X55" s="2345"/>
      <c r="Y55" s="2345"/>
      <c r="Z55" s="2345"/>
      <c r="AA55" s="2345"/>
      <c r="AB55" s="2345"/>
      <c r="AC55" s="2345"/>
      <c r="AD55" s="2345"/>
      <c r="AE55" s="2345"/>
      <c r="AF55" s="2345"/>
      <c r="AG55" s="2345"/>
      <c r="AH55" s="2345"/>
      <c r="AI55" s="2345"/>
      <c r="AJ55" s="2345"/>
      <c r="AK55" s="2345"/>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5" t="s">
        <v>1605</v>
      </c>
      <c r="C57" s="2345"/>
      <c r="D57" s="2345"/>
      <c r="E57" s="2345"/>
      <c r="F57" s="2345"/>
      <c r="G57" s="2345"/>
      <c r="H57" s="2345"/>
      <c r="I57" s="2345"/>
      <c r="J57" s="2345"/>
      <c r="K57" s="2345"/>
      <c r="L57" s="2345"/>
      <c r="M57" s="2345"/>
      <c r="N57" s="2345"/>
      <c r="O57" s="2345"/>
      <c r="P57" s="2345"/>
      <c r="Q57" s="2345"/>
      <c r="R57" s="2345"/>
      <c r="S57" s="2345"/>
      <c r="T57" s="2345"/>
      <c r="U57" s="2345"/>
      <c r="V57" s="2345"/>
      <c r="W57" s="2345"/>
      <c r="X57" s="2345"/>
      <c r="Y57" s="2345"/>
      <c r="Z57" s="2345"/>
      <c r="AA57" s="2345"/>
      <c r="AB57" s="2345"/>
      <c r="AC57" s="2345"/>
      <c r="AD57" s="2345"/>
      <c r="AE57" s="2345"/>
      <c r="AF57" s="2345"/>
      <c r="AG57" s="2345"/>
      <c r="AH57" s="2345"/>
      <c r="AI57" s="2345"/>
      <c r="AJ57" s="2345"/>
      <c r="AK57" s="2345"/>
      <c r="AL57" s="1252"/>
      <c r="AM57" s="163"/>
      <c r="AN57" s="439"/>
    </row>
    <row r="58" spans="1:43" s="46" customFormat="1" ht="12.75" customHeight="1">
      <c r="A58" s="164"/>
      <c r="B58" s="2345"/>
      <c r="C58" s="2345"/>
      <c r="D58" s="2345"/>
      <c r="E58" s="2345"/>
      <c r="F58" s="2345"/>
      <c r="G58" s="2345"/>
      <c r="H58" s="2345"/>
      <c r="I58" s="2345"/>
      <c r="J58" s="2345"/>
      <c r="K58" s="2345"/>
      <c r="L58" s="2345"/>
      <c r="M58" s="2345"/>
      <c r="N58" s="2345"/>
      <c r="O58" s="2345"/>
      <c r="P58" s="2345"/>
      <c r="Q58" s="2345"/>
      <c r="R58" s="2345"/>
      <c r="S58" s="2345"/>
      <c r="T58" s="2345"/>
      <c r="U58" s="2345"/>
      <c r="V58" s="2345"/>
      <c r="W58" s="2345"/>
      <c r="X58" s="2345"/>
      <c r="Y58" s="2345"/>
      <c r="Z58" s="2345"/>
      <c r="AA58" s="2345"/>
      <c r="AB58" s="2345"/>
      <c r="AC58" s="2345"/>
      <c r="AD58" s="2345"/>
      <c r="AE58" s="2345"/>
      <c r="AF58" s="2345"/>
      <c r="AG58" s="2345"/>
      <c r="AH58" s="2345"/>
      <c r="AI58" s="2345"/>
      <c r="AJ58" s="2345"/>
      <c r="AK58" s="2345"/>
      <c r="AL58" s="1252"/>
      <c r="AM58" s="163"/>
      <c r="AN58" s="439"/>
    </row>
    <row r="59" spans="1:43" s="46" customFormat="1" ht="12.75" customHeight="1">
      <c r="A59" s="164"/>
      <c r="B59" s="2345"/>
      <c r="C59" s="2345"/>
      <c r="D59" s="2345"/>
      <c r="E59" s="2345"/>
      <c r="F59" s="2345"/>
      <c r="G59" s="2345"/>
      <c r="H59" s="2345"/>
      <c r="I59" s="2345"/>
      <c r="J59" s="2345"/>
      <c r="K59" s="2345"/>
      <c r="L59" s="2345"/>
      <c r="M59" s="2345"/>
      <c r="N59" s="2345"/>
      <c r="O59" s="2345"/>
      <c r="P59" s="2345"/>
      <c r="Q59" s="2345"/>
      <c r="R59" s="2345"/>
      <c r="S59" s="2345"/>
      <c r="T59" s="2345"/>
      <c r="U59" s="2345"/>
      <c r="V59" s="2345"/>
      <c r="W59" s="2345"/>
      <c r="X59" s="2345"/>
      <c r="Y59" s="2345"/>
      <c r="Z59" s="2345"/>
      <c r="AA59" s="2345"/>
      <c r="AB59" s="2345"/>
      <c r="AC59" s="2345"/>
      <c r="AD59" s="2345"/>
      <c r="AE59" s="2345"/>
      <c r="AF59" s="2345"/>
      <c r="AG59" s="2345"/>
      <c r="AH59" s="2345"/>
      <c r="AI59" s="2345"/>
      <c r="AJ59" s="2345"/>
      <c r="AK59" s="2345"/>
      <c r="AL59" s="1252"/>
      <c r="AM59" s="163"/>
      <c r="AN59" s="439"/>
    </row>
    <row r="60" spans="1:43" s="46" customFormat="1" ht="17.649999999999999" customHeight="1">
      <c r="A60" s="164"/>
      <c r="B60" s="2345"/>
      <c r="C60" s="2345"/>
      <c r="D60" s="2345"/>
      <c r="E60" s="2345"/>
      <c r="F60" s="2345"/>
      <c r="G60" s="2345"/>
      <c r="H60" s="2345"/>
      <c r="I60" s="2345"/>
      <c r="J60" s="2345"/>
      <c r="K60" s="2345"/>
      <c r="L60" s="2345"/>
      <c r="M60" s="2345"/>
      <c r="N60" s="2345"/>
      <c r="O60" s="2345"/>
      <c r="P60" s="2345"/>
      <c r="Q60" s="2345"/>
      <c r="R60" s="2345"/>
      <c r="S60" s="2345"/>
      <c r="T60" s="2345"/>
      <c r="U60" s="2345"/>
      <c r="V60" s="2345"/>
      <c r="W60" s="2345"/>
      <c r="X60" s="2345"/>
      <c r="Y60" s="2345"/>
      <c r="Z60" s="2345"/>
      <c r="AA60" s="2345"/>
      <c r="AB60" s="2345"/>
      <c r="AC60" s="2345"/>
      <c r="AD60" s="2345"/>
      <c r="AE60" s="2345"/>
      <c r="AF60" s="2345"/>
      <c r="AG60" s="2345"/>
      <c r="AH60" s="2345"/>
      <c r="AI60" s="2345"/>
      <c r="AJ60" s="2345"/>
      <c r="AK60" s="2345"/>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5" t="s">
        <v>1606</v>
      </c>
      <c r="C62" s="2345"/>
      <c r="D62" s="2345"/>
      <c r="E62" s="2345"/>
      <c r="F62" s="2345"/>
      <c r="G62" s="2345"/>
      <c r="H62" s="2345"/>
      <c r="I62" s="2345"/>
      <c r="J62" s="2345"/>
      <c r="K62" s="2345"/>
      <c r="L62" s="2345"/>
      <c r="M62" s="2345"/>
      <c r="N62" s="2345"/>
      <c r="O62" s="2345"/>
      <c r="P62" s="2345"/>
      <c r="Q62" s="2345"/>
      <c r="R62" s="2345"/>
      <c r="S62" s="2345"/>
      <c r="T62" s="2345"/>
      <c r="U62" s="2345"/>
      <c r="V62" s="2345"/>
      <c r="W62" s="2345"/>
      <c r="X62" s="2345"/>
      <c r="Y62" s="2345"/>
      <c r="Z62" s="2345"/>
      <c r="AA62" s="2345"/>
      <c r="AB62" s="2345"/>
      <c r="AC62" s="2345"/>
      <c r="AD62" s="2345"/>
      <c r="AE62" s="2345"/>
      <c r="AF62" s="2345"/>
      <c r="AG62" s="2345"/>
      <c r="AH62" s="2345"/>
      <c r="AI62" s="2345"/>
      <c r="AJ62" s="2345"/>
      <c r="AK62" s="2345"/>
      <c r="AL62" s="1252"/>
      <c r="AM62" s="163"/>
      <c r="AN62" s="439"/>
    </row>
    <row r="63" spans="1:43" s="46" customFormat="1" ht="12.75" customHeight="1">
      <c r="B63" s="2345"/>
      <c r="C63" s="2345"/>
      <c r="D63" s="2345"/>
      <c r="E63" s="2345"/>
      <c r="F63" s="2345"/>
      <c r="G63" s="2345"/>
      <c r="H63" s="2345"/>
      <c r="I63" s="2345"/>
      <c r="J63" s="2345"/>
      <c r="K63" s="2345"/>
      <c r="L63" s="2345"/>
      <c r="M63" s="2345"/>
      <c r="N63" s="2345"/>
      <c r="O63" s="2345"/>
      <c r="P63" s="2345"/>
      <c r="Q63" s="2345"/>
      <c r="R63" s="2345"/>
      <c r="S63" s="2345"/>
      <c r="T63" s="2345"/>
      <c r="U63" s="2345"/>
      <c r="V63" s="2345"/>
      <c r="W63" s="2345"/>
      <c r="X63" s="2345"/>
      <c r="Y63" s="2345"/>
      <c r="Z63" s="2345"/>
      <c r="AA63" s="2345"/>
      <c r="AB63" s="2345"/>
      <c r="AC63" s="2345"/>
      <c r="AD63" s="2345"/>
      <c r="AE63" s="2345"/>
      <c r="AF63" s="2345"/>
      <c r="AG63" s="2345"/>
      <c r="AH63" s="2345"/>
      <c r="AI63" s="2345"/>
      <c r="AJ63" s="2345"/>
      <c r="AK63" s="2345"/>
      <c r="AL63" s="1252"/>
      <c r="AM63" s="163"/>
      <c r="AN63" s="439"/>
    </row>
    <row r="64" spans="1:43" s="46" customFormat="1" ht="22.9" customHeight="1">
      <c r="A64" s="653"/>
      <c r="B64" s="2345"/>
      <c r="C64" s="2345"/>
      <c r="D64" s="2345"/>
      <c r="E64" s="2345"/>
      <c r="F64" s="2345"/>
      <c r="G64" s="2345"/>
      <c r="H64" s="2345"/>
      <c r="I64" s="2345"/>
      <c r="J64" s="2345"/>
      <c r="K64" s="2345"/>
      <c r="L64" s="2345"/>
      <c r="M64" s="2345"/>
      <c r="N64" s="2345"/>
      <c r="O64" s="2345"/>
      <c r="P64" s="2345"/>
      <c r="Q64" s="2345"/>
      <c r="R64" s="2345"/>
      <c r="S64" s="2345"/>
      <c r="T64" s="2345"/>
      <c r="U64" s="2345"/>
      <c r="V64" s="2345"/>
      <c r="W64" s="2345"/>
      <c r="X64" s="2345"/>
      <c r="Y64" s="2345"/>
      <c r="Z64" s="2345"/>
      <c r="AA64" s="2345"/>
      <c r="AB64" s="2345"/>
      <c r="AC64" s="2345"/>
      <c r="AD64" s="2345"/>
      <c r="AE64" s="2345"/>
      <c r="AF64" s="2345"/>
      <c r="AG64" s="2345"/>
      <c r="AH64" s="2345"/>
      <c r="AI64" s="2345"/>
      <c r="AJ64" s="2345"/>
      <c r="AK64" s="2345"/>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62">
        <f>$AJ$31+$AJ$47</f>
        <v>10</v>
      </c>
      <c r="AL66" s="2363"/>
      <c r="AM66" s="236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6" t="s">
        <v>405</v>
      </c>
      <c r="AF69" s="2376"/>
      <c r="AG69" s="2376"/>
      <c r="AH69" s="2376"/>
      <c r="AI69" s="2376"/>
      <c r="AJ69" s="2376"/>
      <c r="AK69" s="2376"/>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3" t="s">
        <v>725</v>
      </c>
      <c r="C71" s="2333"/>
      <c r="D71" s="2333"/>
      <c r="E71" s="2333"/>
      <c r="F71" s="2333"/>
      <c r="G71" s="2333"/>
      <c r="H71" s="2333"/>
      <c r="I71" s="2333"/>
      <c r="J71" s="2333"/>
      <c r="K71" s="2333"/>
      <c r="P71" s="153"/>
      <c r="Q71" s="153"/>
      <c r="R71" s="153"/>
      <c r="S71" s="153"/>
      <c r="T71" s="153"/>
      <c r="U71" s="153"/>
      <c r="V71" s="153"/>
      <c r="W71" s="153"/>
      <c r="X71" s="153"/>
      <c r="AF71" s="2354" t="s">
        <v>1021</v>
      </c>
      <c r="AG71" s="2354"/>
      <c r="AH71" s="2354"/>
      <c r="AI71" s="2354"/>
      <c r="AJ71" s="2354"/>
      <c r="AK71" s="2354"/>
      <c r="AL71" s="2354"/>
      <c r="AN71" s="439"/>
      <c r="AP71" s="46" t="s">
        <v>135</v>
      </c>
    </row>
    <row r="72" spans="1:42" s="46" customFormat="1" ht="12.75" customHeight="1">
      <c r="B72" s="2487" t="s">
        <v>1427</v>
      </c>
      <c r="C72" s="2487"/>
      <c r="D72" s="2487"/>
      <c r="E72" s="2487"/>
      <c r="F72" s="2487"/>
      <c r="G72" s="2487"/>
      <c r="H72" s="2487"/>
      <c r="I72" s="2487"/>
      <c r="J72" s="2487"/>
      <c r="K72" s="2487"/>
      <c r="L72" s="2487"/>
      <c r="M72" s="2487"/>
      <c r="N72" s="2487"/>
      <c r="O72" s="2487"/>
      <c r="P72" s="2487"/>
      <c r="Q72" s="2487"/>
      <c r="R72" s="2487"/>
      <c r="S72" s="2487"/>
      <c r="T72" s="2333" t="s">
        <v>135</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55">
        <f>VLOOKUP($B$71,$AP$45:$AR$50,2,FALSE)</f>
        <v>10</v>
      </c>
      <c r="AL73" s="2356"/>
      <c r="AM73" s="2356"/>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6" t="s">
        <v>1060</v>
      </c>
      <c r="AF78" s="2376"/>
      <c r="AG78" s="2376"/>
      <c r="AH78" s="2376"/>
      <c r="AI78" s="2376"/>
      <c r="AJ78" s="2376"/>
      <c r="AK78" s="2376"/>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5" t="s">
        <v>2012</v>
      </c>
      <c r="C80" s="2345"/>
      <c r="D80" s="2345"/>
      <c r="E80" s="2345"/>
      <c r="F80" s="2345"/>
      <c r="G80" s="2345"/>
      <c r="H80" s="2345"/>
      <c r="I80" s="2345"/>
      <c r="J80" s="2345"/>
      <c r="K80" s="2345"/>
      <c r="L80" s="2345"/>
      <c r="M80" s="2345"/>
      <c r="N80" s="2345"/>
      <c r="O80" s="2345"/>
      <c r="P80" s="2345"/>
      <c r="Q80" s="2345"/>
      <c r="R80" s="2345"/>
      <c r="S80" s="2345"/>
      <c r="T80" s="2345"/>
      <c r="U80" s="2345"/>
      <c r="V80" s="2345"/>
      <c r="W80" s="2345"/>
      <c r="X80" s="2345"/>
      <c r="Y80" s="2345"/>
      <c r="Z80" s="2345"/>
      <c r="AA80" s="2345"/>
      <c r="AB80" s="2345"/>
      <c r="AC80" s="2345"/>
      <c r="AD80" s="2345"/>
      <c r="AE80" s="2345"/>
      <c r="AF80" s="2345"/>
      <c r="AG80" s="2345"/>
      <c r="AH80" s="2345"/>
      <c r="AI80" s="2345"/>
      <c r="AJ80" s="2345"/>
      <c r="AK80" s="2345"/>
      <c r="AL80" s="1252"/>
      <c r="AM80" s="163"/>
      <c r="AN80" s="439"/>
    </row>
    <row r="81" spans="1:42" s="46" customFormat="1" ht="12.75" customHeight="1">
      <c r="A81" s="163"/>
      <c r="B81" s="2345"/>
      <c r="C81" s="2345"/>
      <c r="D81" s="2345"/>
      <c r="E81" s="2345"/>
      <c r="F81" s="2345"/>
      <c r="G81" s="2345"/>
      <c r="H81" s="2345"/>
      <c r="I81" s="2345"/>
      <c r="J81" s="2345"/>
      <c r="K81" s="2345"/>
      <c r="L81" s="2345"/>
      <c r="M81" s="2345"/>
      <c r="N81" s="2345"/>
      <c r="O81" s="2345"/>
      <c r="P81" s="2345"/>
      <c r="Q81" s="2345"/>
      <c r="R81" s="2345"/>
      <c r="S81" s="2345"/>
      <c r="T81" s="2345"/>
      <c r="U81" s="2345"/>
      <c r="V81" s="2345"/>
      <c r="W81" s="2345"/>
      <c r="X81" s="2345"/>
      <c r="Y81" s="2345"/>
      <c r="Z81" s="2345"/>
      <c r="AA81" s="2345"/>
      <c r="AB81" s="2345"/>
      <c r="AC81" s="2345"/>
      <c r="AD81" s="2345"/>
      <c r="AE81" s="2345"/>
      <c r="AF81" s="2345"/>
      <c r="AG81" s="2345"/>
      <c r="AH81" s="2345"/>
      <c r="AI81" s="2345"/>
      <c r="AJ81" s="2345"/>
      <c r="AK81" s="2345"/>
      <c r="AL81" s="1252"/>
      <c r="AM81" s="163"/>
      <c r="AN81" s="439"/>
    </row>
    <row r="82" spans="1:42" s="46" customFormat="1" ht="12.75" customHeight="1">
      <c r="A82" s="163"/>
      <c r="B82" s="2345"/>
      <c r="C82" s="2345"/>
      <c r="D82" s="2345"/>
      <c r="E82" s="2345"/>
      <c r="F82" s="2345"/>
      <c r="G82" s="2345"/>
      <c r="H82" s="2345"/>
      <c r="I82" s="2345"/>
      <c r="J82" s="2345"/>
      <c r="K82" s="2345"/>
      <c r="L82" s="2345"/>
      <c r="M82" s="2345"/>
      <c r="N82" s="2345"/>
      <c r="O82" s="2345"/>
      <c r="P82" s="2345"/>
      <c r="Q82" s="2345"/>
      <c r="R82" s="2345"/>
      <c r="S82" s="2345"/>
      <c r="T82" s="2345"/>
      <c r="U82" s="2345"/>
      <c r="V82" s="2345"/>
      <c r="W82" s="2345"/>
      <c r="X82" s="2345"/>
      <c r="Y82" s="2345"/>
      <c r="Z82" s="2345"/>
      <c r="AA82" s="2345"/>
      <c r="AB82" s="2345"/>
      <c r="AC82" s="2345"/>
      <c r="AD82" s="2345"/>
      <c r="AE82" s="2345"/>
      <c r="AF82" s="2345"/>
      <c r="AG82" s="2345"/>
      <c r="AH82" s="2345"/>
      <c r="AI82" s="2345"/>
      <c r="AJ82" s="2345"/>
      <c r="AK82" s="2345"/>
      <c r="AL82" s="1252"/>
      <c r="AM82" s="163"/>
      <c r="AN82" s="439"/>
    </row>
    <row r="83" spans="1:42" s="46" customFormat="1" ht="12.75" customHeight="1">
      <c r="A83" s="163"/>
      <c r="B83" s="2345"/>
      <c r="C83" s="2345"/>
      <c r="D83" s="2345"/>
      <c r="E83" s="2345"/>
      <c r="F83" s="2345"/>
      <c r="G83" s="2345"/>
      <c r="H83" s="2345"/>
      <c r="I83" s="2345"/>
      <c r="J83" s="2345"/>
      <c r="K83" s="2345"/>
      <c r="L83" s="2345"/>
      <c r="M83" s="2345"/>
      <c r="N83" s="2345"/>
      <c r="O83" s="2345"/>
      <c r="P83" s="2345"/>
      <c r="Q83" s="2345"/>
      <c r="R83" s="2345"/>
      <c r="S83" s="2345"/>
      <c r="T83" s="2345"/>
      <c r="U83" s="2345"/>
      <c r="V83" s="2345"/>
      <c r="W83" s="2345"/>
      <c r="X83" s="2345"/>
      <c r="Y83" s="2345"/>
      <c r="Z83" s="2345"/>
      <c r="AA83" s="2345"/>
      <c r="AB83" s="2345"/>
      <c r="AC83" s="2345"/>
      <c r="AD83" s="2345"/>
      <c r="AE83" s="2345"/>
      <c r="AF83" s="2345"/>
      <c r="AG83" s="2345"/>
      <c r="AH83" s="2345"/>
      <c r="AI83" s="2345"/>
      <c r="AJ83" s="2345"/>
      <c r="AK83" s="2345"/>
      <c r="AL83" s="1252"/>
      <c r="AM83" s="163"/>
      <c r="AN83" s="439"/>
    </row>
    <row r="84" spans="1:42" s="46" customFormat="1" ht="12.75" customHeight="1">
      <c r="A84" s="163"/>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1252"/>
      <c r="AM84" s="163"/>
      <c r="AN84" s="439"/>
    </row>
    <row r="85" spans="1:42" s="46" customFormat="1" ht="12.75" customHeight="1">
      <c r="A85" s="163"/>
      <c r="B85" s="2345"/>
      <c r="C85" s="2345"/>
      <c r="D85" s="2345"/>
      <c r="E85" s="2345"/>
      <c r="F85" s="2345"/>
      <c r="G85" s="2345"/>
      <c r="H85" s="2345"/>
      <c r="I85" s="2345"/>
      <c r="J85" s="2345"/>
      <c r="K85" s="2345"/>
      <c r="L85" s="2345"/>
      <c r="M85" s="2345"/>
      <c r="N85" s="2345"/>
      <c r="O85" s="2345"/>
      <c r="P85" s="2345"/>
      <c r="Q85" s="2345"/>
      <c r="R85" s="2345"/>
      <c r="S85" s="2345"/>
      <c r="T85" s="2345"/>
      <c r="U85" s="2345"/>
      <c r="V85" s="2345"/>
      <c r="W85" s="2345"/>
      <c r="X85" s="2345"/>
      <c r="Y85" s="2345"/>
      <c r="Z85" s="2345"/>
      <c r="AA85" s="2345"/>
      <c r="AB85" s="2345"/>
      <c r="AC85" s="2345"/>
      <c r="AD85" s="2345"/>
      <c r="AE85" s="2345"/>
      <c r="AF85" s="2345"/>
      <c r="AG85" s="2345"/>
      <c r="AH85" s="2345"/>
      <c r="AI85" s="2345"/>
      <c r="AJ85" s="2345"/>
      <c r="AK85" s="2345"/>
      <c r="AL85" s="1252"/>
      <c r="AM85" s="163"/>
      <c r="AN85" s="439"/>
    </row>
    <row r="86" spans="1:42" ht="12.75" customHeight="1">
      <c r="A86" s="163"/>
      <c r="B86" s="2345"/>
      <c r="C86" s="2345"/>
      <c r="D86" s="2345"/>
      <c r="E86" s="2345"/>
      <c r="F86" s="2345"/>
      <c r="G86" s="2345"/>
      <c r="H86" s="2345"/>
      <c r="I86" s="2345"/>
      <c r="J86" s="2345"/>
      <c r="K86" s="2345"/>
      <c r="L86" s="2345"/>
      <c r="M86" s="2345"/>
      <c r="N86" s="2345"/>
      <c r="O86" s="2345"/>
      <c r="P86" s="2345"/>
      <c r="Q86" s="2345"/>
      <c r="R86" s="2345"/>
      <c r="S86" s="2345"/>
      <c r="T86" s="2345"/>
      <c r="U86" s="2345"/>
      <c r="V86" s="2345"/>
      <c r="W86" s="2345"/>
      <c r="X86" s="2345"/>
      <c r="Y86" s="2345"/>
      <c r="Z86" s="2345"/>
      <c r="AA86" s="2345"/>
      <c r="AB86" s="2345"/>
      <c r="AC86" s="2345"/>
      <c r="AD86" s="2345"/>
      <c r="AE86" s="2345"/>
      <c r="AF86" s="2345"/>
      <c r="AG86" s="2345"/>
      <c r="AH86" s="2345"/>
      <c r="AI86" s="2345"/>
      <c r="AJ86" s="2345"/>
      <c r="AK86" s="2345"/>
      <c r="AL86" s="1252"/>
      <c r="AM86" s="163"/>
    </row>
    <row r="87" spans="1:42" s="46" customFormat="1" ht="12.75" customHeight="1">
      <c r="A87" s="28"/>
      <c r="B87" s="2345"/>
      <c r="C87" s="2345"/>
      <c r="D87" s="2345"/>
      <c r="E87" s="2345"/>
      <c r="F87" s="2345"/>
      <c r="G87" s="2345"/>
      <c r="H87" s="2345"/>
      <c r="I87" s="2345"/>
      <c r="J87" s="2345"/>
      <c r="K87" s="2345"/>
      <c r="L87" s="2345"/>
      <c r="M87" s="2345"/>
      <c r="N87" s="2345"/>
      <c r="O87" s="2345"/>
      <c r="P87" s="2345"/>
      <c r="Q87" s="2345"/>
      <c r="R87" s="2345"/>
      <c r="S87" s="2345"/>
      <c r="T87" s="2345"/>
      <c r="U87" s="2345"/>
      <c r="V87" s="2345"/>
      <c r="W87" s="2345"/>
      <c r="X87" s="2345"/>
      <c r="Y87" s="2345"/>
      <c r="Z87" s="2345"/>
      <c r="AA87" s="2345"/>
      <c r="AB87" s="2345"/>
      <c r="AC87" s="2345"/>
      <c r="AD87" s="2345"/>
      <c r="AE87" s="2345"/>
      <c r="AF87" s="2345"/>
      <c r="AG87" s="2345"/>
      <c r="AH87" s="2345"/>
      <c r="AI87" s="2345"/>
      <c r="AJ87" s="2345"/>
      <c r="AK87" s="2345"/>
      <c r="AL87" s="1252"/>
      <c r="AM87" s="153"/>
      <c r="AN87" s="439"/>
    </row>
    <row r="88" spans="1:42" s="46" customFormat="1" ht="12.75" customHeight="1">
      <c r="A88" s="28"/>
      <c r="B88" s="2345"/>
      <c r="C88" s="2345"/>
      <c r="D88" s="2345"/>
      <c r="E88" s="2345"/>
      <c r="F88" s="2345"/>
      <c r="G88" s="2345"/>
      <c r="H88" s="2345"/>
      <c r="I88" s="2345"/>
      <c r="J88" s="2345"/>
      <c r="K88" s="2345"/>
      <c r="L88" s="2345"/>
      <c r="M88" s="2345"/>
      <c r="N88" s="2345"/>
      <c r="O88" s="2345"/>
      <c r="P88" s="2345"/>
      <c r="Q88" s="2345"/>
      <c r="R88" s="2345"/>
      <c r="S88" s="2345"/>
      <c r="T88" s="2345"/>
      <c r="U88" s="2345"/>
      <c r="V88" s="2345"/>
      <c r="W88" s="2345"/>
      <c r="X88" s="2345"/>
      <c r="Y88" s="2345"/>
      <c r="Z88" s="2345"/>
      <c r="AA88" s="2345"/>
      <c r="AB88" s="2345"/>
      <c r="AC88" s="2345"/>
      <c r="AD88" s="2345"/>
      <c r="AE88" s="2345"/>
      <c r="AF88" s="2345"/>
      <c r="AG88" s="2345"/>
      <c r="AH88" s="2345"/>
      <c r="AI88" s="2345"/>
      <c r="AJ88" s="2345"/>
      <c r="AK88" s="2345"/>
      <c r="AL88" s="1252"/>
      <c r="AM88" s="153"/>
      <c r="AN88" s="439"/>
    </row>
    <row r="89" spans="1:42" s="46" customFormat="1" ht="14.45" customHeight="1">
      <c r="A89" s="28"/>
      <c r="B89" s="2345"/>
      <c r="C89" s="2345"/>
      <c r="D89" s="2345"/>
      <c r="E89" s="2345"/>
      <c r="F89" s="2345"/>
      <c r="G89" s="2345"/>
      <c r="H89" s="2345"/>
      <c r="I89" s="2345"/>
      <c r="J89" s="2345"/>
      <c r="K89" s="2345"/>
      <c r="L89" s="2345"/>
      <c r="M89" s="2345"/>
      <c r="N89" s="2345"/>
      <c r="O89" s="2345"/>
      <c r="P89" s="2345"/>
      <c r="Q89" s="2345"/>
      <c r="R89" s="2345"/>
      <c r="S89" s="2345"/>
      <c r="T89" s="2345"/>
      <c r="U89" s="2345"/>
      <c r="V89" s="2345"/>
      <c r="W89" s="2345"/>
      <c r="X89" s="2345"/>
      <c r="Y89" s="2345"/>
      <c r="Z89" s="2345"/>
      <c r="AA89" s="2345"/>
      <c r="AB89" s="2345"/>
      <c r="AC89" s="2345"/>
      <c r="AD89" s="2345"/>
      <c r="AE89" s="2345"/>
      <c r="AF89" s="2345"/>
      <c r="AG89" s="2345"/>
      <c r="AH89" s="2345"/>
      <c r="AI89" s="2345"/>
      <c r="AJ89" s="2345"/>
      <c r="AK89" s="2345"/>
      <c r="AL89" s="1252"/>
      <c r="AM89" s="153"/>
      <c r="AN89" s="439"/>
    </row>
    <row r="90" spans="1:42" s="46" customFormat="1" ht="12.75" customHeight="1">
      <c r="A90" s="28"/>
      <c r="B90" s="2345"/>
      <c r="C90" s="2345"/>
      <c r="D90" s="2345"/>
      <c r="E90" s="2345"/>
      <c r="F90" s="2345"/>
      <c r="G90" s="2345"/>
      <c r="H90" s="2345"/>
      <c r="I90" s="2345"/>
      <c r="J90" s="2345"/>
      <c r="K90" s="2345"/>
      <c r="L90" s="2345"/>
      <c r="M90" s="2345"/>
      <c r="N90" s="2345"/>
      <c r="O90" s="2345"/>
      <c r="P90" s="2345"/>
      <c r="Q90" s="2345"/>
      <c r="R90" s="2345"/>
      <c r="S90" s="2345"/>
      <c r="T90" s="2345"/>
      <c r="U90" s="2345"/>
      <c r="V90" s="2345"/>
      <c r="W90" s="2345"/>
      <c r="X90" s="2345"/>
      <c r="Y90" s="2345"/>
      <c r="Z90" s="2345"/>
      <c r="AA90" s="2345"/>
      <c r="AB90" s="2345"/>
      <c r="AC90" s="2345"/>
      <c r="AD90" s="2345"/>
      <c r="AE90" s="2345"/>
      <c r="AF90" s="2345"/>
      <c r="AG90" s="2345"/>
      <c r="AH90" s="2345"/>
      <c r="AI90" s="2345"/>
      <c r="AJ90" s="2345"/>
      <c r="AK90" s="2345"/>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4" t="s">
        <v>929</v>
      </c>
      <c r="AG95" s="2354"/>
      <c r="AH95" s="2354"/>
      <c r="AI95" s="2354"/>
      <c r="AJ95" s="2354"/>
      <c r="AK95" s="2354"/>
      <c r="AL95" s="2354"/>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4" t="s">
        <v>63</v>
      </c>
      <c r="AG100" s="2354"/>
      <c r="AH100" s="2354"/>
      <c r="AI100" s="2354"/>
      <c r="AJ100" s="2354"/>
      <c r="AK100" s="2354"/>
      <c r="AL100" s="2354"/>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4" t="s">
        <v>64</v>
      </c>
      <c r="AG105" s="2354"/>
      <c r="AH105" s="2354"/>
      <c r="AI105" s="2354"/>
      <c r="AJ105" s="2354"/>
      <c r="AK105" s="2354"/>
      <c r="AL105" s="2354"/>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4" t="s">
        <v>65</v>
      </c>
      <c r="AG110" s="2354"/>
      <c r="AH110" s="2354"/>
      <c r="AI110" s="2354"/>
      <c r="AJ110" s="2354"/>
      <c r="AK110" s="2354"/>
      <c r="AL110" s="2354"/>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4" t="s">
        <v>66</v>
      </c>
      <c r="AG114" s="2354"/>
      <c r="AH114" s="2354"/>
      <c r="AI114" s="2354"/>
      <c r="AJ114" s="2354"/>
      <c r="AK114" s="2354"/>
      <c r="AL114" s="2354"/>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44" t="s">
        <v>213</v>
      </c>
      <c r="I117" s="2344"/>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91" t="s">
        <v>135</v>
      </c>
      <c r="I123" s="2491"/>
      <c r="J123" s="2491"/>
      <c r="K123" s="2491"/>
      <c r="L123" s="2491"/>
      <c r="M123" s="2491"/>
      <c r="N123" s="2491"/>
      <c r="O123" s="2491"/>
      <c r="P123" s="2491"/>
      <c r="Q123" s="2491"/>
      <c r="R123" s="2491"/>
      <c r="S123" s="2491"/>
      <c r="T123" s="2491"/>
      <c r="U123" s="2491"/>
      <c r="V123" s="2491"/>
      <c r="W123" s="2491"/>
      <c r="X123" s="2491"/>
      <c r="Y123" s="2491"/>
      <c r="Z123" s="2491"/>
      <c r="AA123" s="2491"/>
      <c r="AB123" s="2491"/>
      <c r="AC123" s="2491"/>
      <c r="AD123" s="2491"/>
      <c r="AE123" s="2491"/>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679" t="s">
        <v>135</v>
      </c>
      <c r="C125" s="1679"/>
      <c r="D125" s="436"/>
      <c r="E125" s="2345" t="s">
        <v>1938</v>
      </c>
      <c r="F125" s="2345"/>
      <c r="G125" s="2345"/>
      <c r="H125" s="2345"/>
      <c r="I125" s="2345"/>
      <c r="J125" s="2345"/>
      <c r="K125" s="2345"/>
      <c r="L125" s="2345"/>
      <c r="M125" s="2345"/>
      <c r="N125" s="2345"/>
      <c r="O125" s="2345"/>
      <c r="P125" s="2345"/>
      <c r="Q125" s="2345"/>
      <c r="R125" s="2345"/>
      <c r="S125" s="2345"/>
      <c r="T125" s="2345"/>
      <c r="U125" s="2345"/>
      <c r="V125" s="2345"/>
      <c r="W125" s="2345"/>
      <c r="X125" s="2345"/>
      <c r="Y125" s="2345"/>
      <c r="Z125" s="2345"/>
      <c r="AA125" s="2345"/>
      <c r="AB125" s="2345"/>
      <c r="AC125" s="2345"/>
      <c r="AD125" s="2345"/>
      <c r="AE125" s="2345"/>
      <c r="AF125" s="2345"/>
      <c r="AG125" s="2345"/>
      <c r="AH125" s="436"/>
      <c r="AI125" s="436"/>
      <c r="AJ125" s="436"/>
      <c r="AK125" s="436"/>
      <c r="AL125" s="1249"/>
      <c r="AN125" s="439"/>
    </row>
    <row r="126" spans="1:47" s="46" customFormat="1" ht="12.75" customHeight="1">
      <c r="A126" s="28"/>
      <c r="B126" s="161"/>
      <c r="C126" s="187"/>
      <c r="D126" s="436"/>
      <c r="E126" s="2345"/>
      <c r="F126" s="2345"/>
      <c r="G126" s="2345"/>
      <c r="H126" s="2345"/>
      <c r="I126" s="2345"/>
      <c r="J126" s="2345"/>
      <c r="K126" s="2345"/>
      <c r="L126" s="2345"/>
      <c r="M126" s="2345"/>
      <c r="N126" s="2345"/>
      <c r="O126" s="2345"/>
      <c r="P126" s="2345"/>
      <c r="Q126" s="2345"/>
      <c r="R126" s="2345"/>
      <c r="S126" s="2345"/>
      <c r="T126" s="2345"/>
      <c r="U126" s="2345"/>
      <c r="V126" s="2345"/>
      <c r="W126" s="2345"/>
      <c r="X126" s="2345"/>
      <c r="Y126" s="2345"/>
      <c r="Z126" s="2345"/>
      <c r="AA126" s="2345"/>
      <c r="AB126" s="2345"/>
      <c r="AC126" s="2345"/>
      <c r="AD126" s="2345"/>
      <c r="AE126" s="2345"/>
      <c r="AF126" s="2345"/>
      <c r="AG126" s="2345"/>
      <c r="AH126" s="436"/>
      <c r="AI126" s="436"/>
      <c r="AJ126" s="436"/>
      <c r="AK126" s="436"/>
      <c r="AL126" s="1249"/>
      <c r="AN126" s="439"/>
    </row>
    <row r="127" spans="1:47" s="46" customFormat="1" ht="12.75" customHeight="1">
      <c r="A127" s="28"/>
      <c r="B127" s="161"/>
      <c r="C127" s="187"/>
      <c r="D127" s="436"/>
      <c r="E127" s="2345"/>
      <c r="F127" s="2345"/>
      <c r="G127" s="2345"/>
      <c r="H127" s="2345"/>
      <c r="I127" s="2345"/>
      <c r="J127" s="2345"/>
      <c r="K127" s="2345"/>
      <c r="L127" s="2345"/>
      <c r="M127" s="2345"/>
      <c r="N127" s="2345"/>
      <c r="O127" s="2345"/>
      <c r="P127" s="2345"/>
      <c r="Q127" s="2345"/>
      <c r="R127" s="2345"/>
      <c r="S127" s="2345"/>
      <c r="T127" s="2345"/>
      <c r="U127" s="2345"/>
      <c r="V127" s="2345"/>
      <c r="W127" s="2345"/>
      <c r="X127" s="2345"/>
      <c r="Y127" s="2345"/>
      <c r="Z127" s="2345"/>
      <c r="AA127" s="2345"/>
      <c r="AB127" s="2345"/>
      <c r="AC127" s="2345"/>
      <c r="AD127" s="2345"/>
      <c r="AE127" s="2345"/>
      <c r="AF127" s="2345"/>
      <c r="AG127" s="2345"/>
      <c r="AH127" s="436"/>
      <c r="AI127" s="436"/>
      <c r="AJ127" s="436"/>
      <c r="AK127" s="436"/>
      <c r="AL127" s="1249"/>
      <c r="AN127" s="439"/>
    </row>
    <row r="128" spans="1:47" s="46" customFormat="1" ht="12.75" customHeight="1">
      <c r="A128" s="28"/>
      <c r="B128" s="161"/>
      <c r="C128" s="187"/>
      <c r="D128" s="461"/>
      <c r="E128" s="2490"/>
      <c r="F128" s="2490"/>
      <c r="G128" s="2490"/>
      <c r="H128" s="2490"/>
      <c r="I128" s="2490"/>
      <c r="J128" s="2490"/>
      <c r="K128" s="2490"/>
      <c r="L128" s="2490"/>
      <c r="M128" s="2490"/>
      <c r="N128" s="2490"/>
      <c r="O128" s="2490"/>
      <c r="P128" s="2490"/>
      <c r="Q128" s="2490"/>
      <c r="R128" s="2490"/>
      <c r="S128" s="2490"/>
      <c r="T128" s="2490"/>
      <c r="U128" s="2490"/>
      <c r="V128" s="2490"/>
      <c r="W128" s="2490"/>
      <c r="X128" s="2490"/>
      <c r="Y128" s="2490"/>
      <c r="Z128" s="2490"/>
      <c r="AA128" s="2490"/>
      <c r="AB128" s="2490"/>
      <c r="AC128" s="2490"/>
      <c r="AD128" s="2490"/>
      <c r="AE128" s="2490"/>
      <c r="AF128" s="2490"/>
      <c r="AG128" s="249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55">
        <f>VLOOKUP($H$117,$AO$101:$AP$106,2,FALSE)+VLOOKUP($H$123,$AO$121:$AP$123,2,FALSE)</f>
        <v>6</v>
      </c>
      <c r="AK129" s="235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9" t="s">
        <v>2017</v>
      </c>
      <c r="F133" s="2489"/>
      <c r="G133" s="2489"/>
      <c r="H133" s="2489"/>
      <c r="I133" s="2489"/>
      <c r="J133" s="2489"/>
      <c r="K133" s="2489"/>
      <c r="L133" s="2489"/>
      <c r="M133" s="2489"/>
      <c r="N133" s="2489"/>
      <c r="O133" s="2489"/>
      <c r="P133" s="2489"/>
      <c r="Q133" s="2489"/>
      <c r="R133" s="2489"/>
      <c r="S133" s="2489"/>
      <c r="T133" s="2489"/>
      <c r="U133" s="2489"/>
      <c r="V133" s="2489"/>
      <c r="W133" s="2489"/>
      <c r="X133" s="2489"/>
      <c r="Y133" s="2489"/>
      <c r="Z133" s="2489"/>
      <c r="AA133" s="2489"/>
      <c r="AB133" s="2489"/>
      <c r="AC133" s="2489"/>
      <c r="AD133" s="2489"/>
      <c r="AF133" s="2354" t="s">
        <v>66</v>
      </c>
      <c r="AG133" s="2354"/>
      <c r="AH133" s="2354"/>
      <c r="AI133" s="2354"/>
      <c r="AJ133" s="2354"/>
      <c r="AK133" s="2354"/>
      <c r="AL133" s="2354"/>
      <c r="AM133" s="153"/>
      <c r="AN133" s="459"/>
    </row>
    <row r="134" spans="1:42" s="46" customFormat="1" ht="12.75" customHeight="1">
      <c r="A134" s="195"/>
      <c r="B134" s="161"/>
      <c r="C134" s="187"/>
      <c r="D134" s="144"/>
      <c r="E134" s="2489"/>
      <c r="F134" s="2489"/>
      <c r="G134" s="2489"/>
      <c r="H134" s="2489"/>
      <c r="I134" s="2489"/>
      <c r="J134" s="2489"/>
      <c r="K134" s="2489"/>
      <c r="L134" s="2489"/>
      <c r="M134" s="2489"/>
      <c r="N134" s="2489"/>
      <c r="O134" s="2489"/>
      <c r="P134" s="2489"/>
      <c r="Q134" s="2489"/>
      <c r="R134" s="2489"/>
      <c r="S134" s="2489"/>
      <c r="T134" s="2489"/>
      <c r="U134" s="2489"/>
      <c r="V134" s="2489"/>
      <c r="W134" s="2489"/>
      <c r="X134" s="2489"/>
      <c r="Y134" s="2489"/>
      <c r="Z134" s="2489"/>
      <c r="AA134" s="2489"/>
      <c r="AB134" s="2489"/>
      <c r="AC134" s="2489"/>
      <c r="AD134" s="2489"/>
      <c r="AE134" s="153"/>
      <c r="AF134" s="74"/>
      <c r="AG134" s="153"/>
      <c r="AH134" s="153"/>
      <c r="AI134" s="153"/>
      <c r="AJ134" s="153"/>
      <c r="AK134" s="153"/>
      <c r="AL134" s="153"/>
      <c r="AM134" s="153"/>
      <c r="AN134" s="439"/>
    </row>
    <row r="135" spans="1:42" s="46" customFormat="1" ht="12.75" customHeight="1">
      <c r="A135" s="28"/>
      <c r="B135" s="161"/>
      <c r="C135" s="188"/>
      <c r="D135" s="144"/>
      <c r="E135" s="2489"/>
      <c r="F135" s="2489"/>
      <c r="G135" s="2489"/>
      <c r="H135" s="2489"/>
      <c r="I135" s="2489"/>
      <c r="J135" s="2489"/>
      <c r="K135" s="2489"/>
      <c r="L135" s="2489"/>
      <c r="M135" s="2489"/>
      <c r="N135" s="2489"/>
      <c r="O135" s="2489"/>
      <c r="P135" s="2489"/>
      <c r="Q135" s="2489"/>
      <c r="R135" s="2489"/>
      <c r="S135" s="2489"/>
      <c r="T135" s="2489"/>
      <c r="U135" s="2489"/>
      <c r="V135" s="2489"/>
      <c r="W135" s="2489"/>
      <c r="X135" s="2489"/>
      <c r="Y135" s="2489"/>
      <c r="Z135" s="2489"/>
      <c r="AA135" s="2489"/>
      <c r="AB135" s="2489"/>
      <c r="AC135" s="2489"/>
      <c r="AD135" s="2489"/>
      <c r="AE135" s="153"/>
      <c r="AF135" s="74"/>
      <c r="AG135" s="153"/>
      <c r="AH135" s="153"/>
      <c r="AI135" s="153"/>
      <c r="AJ135" s="153"/>
      <c r="AK135" s="153"/>
      <c r="AL135" s="153"/>
      <c r="AM135" s="153"/>
      <c r="AN135" s="439"/>
    </row>
    <row r="136" spans="1:42" s="46" customFormat="1" ht="12.75" customHeight="1">
      <c r="A136" s="57"/>
      <c r="B136" s="173"/>
      <c r="C136" s="196"/>
      <c r="D136" s="144"/>
      <c r="E136" s="2489"/>
      <c r="F136" s="2489"/>
      <c r="G136" s="2489"/>
      <c r="H136" s="2489"/>
      <c r="I136" s="2489"/>
      <c r="J136" s="2489"/>
      <c r="K136" s="2489"/>
      <c r="L136" s="2489"/>
      <c r="M136" s="2489"/>
      <c r="N136" s="2489"/>
      <c r="O136" s="2489"/>
      <c r="P136" s="2489"/>
      <c r="Q136" s="2489"/>
      <c r="R136" s="2489"/>
      <c r="S136" s="2489"/>
      <c r="T136" s="2489"/>
      <c r="U136" s="2489"/>
      <c r="V136" s="2489"/>
      <c r="W136" s="2489"/>
      <c r="X136" s="2489"/>
      <c r="Y136" s="2489"/>
      <c r="Z136" s="2489"/>
      <c r="AA136" s="2489"/>
      <c r="AB136" s="2489"/>
      <c r="AC136" s="2489"/>
      <c r="AD136" s="2489"/>
      <c r="AE136" s="27"/>
      <c r="AF136" s="173"/>
      <c r="AG136" s="27"/>
      <c r="AH136" s="27"/>
      <c r="AI136" s="27"/>
      <c r="AJ136" s="27"/>
      <c r="AK136" s="153"/>
      <c r="AL136" s="153"/>
      <c r="AM136" s="153"/>
      <c r="AN136" s="439"/>
    </row>
    <row r="137" spans="1:42" s="46" customFormat="1" ht="22.9" customHeight="1">
      <c r="A137" s="28"/>
      <c r="B137" s="173"/>
      <c r="C137" s="196"/>
      <c r="D137" s="144"/>
      <c r="E137" s="2489"/>
      <c r="F137" s="2489"/>
      <c r="G137" s="2489"/>
      <c r="H137" s="2489"/>
      <c r="I137" s="2489"/>
      <c r="J137" s="2489"/>
      <c r="K137" s="2489"/>
      <c r="L137" s="2489"/>
      <c r="M137" s="2489"/>
      <c r="N137" s="2489"/>
      <c r="O137" s="2489"/>
      <c r="P137" s="2489"/>
      <c r="Q137" s="2489"/>
      <c r="R137" s="2489"/>
      <c r="S137" s="2489"/>
      <c r="T137" s="2489"/>
      <c r="U137" s="2489"/>
      <c r="V137" s="2489"/>
      <c r="W137" s="2489"/>
      <c r="X137" s="2489"/>
      <c r="Y137" s="2489"/>
      <c r="Z137" s="2489"/>
      <c r="AA137" s="2489"/>
      <c r="AB137" s="2489"/>
      <c r="AC137" s="2489"/>
      <c r="AD137" s="2489"/>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92" t="s">
        <v>135</v>
      </c>
      <c r="T138" s="2492"/>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4" t="s">
        <v>114</v>
      </c>
      <c r="AG140" s="2354"/>
      <c r="AH140" s="2354"/>
      <c r="AI140" s="2354"/>
      <c r="AJ140" s="2354"/>
      <c r="AK140" s="2354"/>
      <c r="AL140" s="2354"/>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44" t="s">
        <v>638</v>
      </c>
      <c r="I142" s="2344"/>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55">
        <f>VLOOKUP($H$142,$AO$116:$AP$118,2,FALSE)</f>
        <v>3</v>
      </c>
      <c r="AK144" s="235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4" t="s">
        <v>66</v>
      </c>
      <c r="AG148" s="2354"/>
      <c r="AH148" s="2354"/>
      <c r="AI148" s="2354"/>
      <c r="AJ148" s="2354"/>
      <c r="AK148" s="2354"/>
      <c r="AL148" s="2354"/>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4" t="s">
        <v>114</v>
      </c>
      <c r="AG151" s="2354"/>
      <c r="AH151" s="2354"/>
      <c r="AI151" s="2354"/>
      <c r="AJ151" s="2354"/>
      <c r="AK151" s="2354"/>
      <c r="AL151" s="2354"/>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44" t="s">
        <v>135</v>
      </c>
      <c r="I154" s="234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55">
        <f>VLOOKUP(H154,AT116:AU118,2,FALSE)</f>
        <v>0</v>
      </c>
      <c r="AK156" s="2357"/>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45" t="s">
        <v>809</v>
      </c>
      <c r="F161" s="2345"/>
      <c r="G161" s="2345"/>
      <c r="H161" s="2345"/>
      <c r="I161" s="2345"/>
      <c r="J161" s="2345"/>
      <c r="K161" s="2345"/>
      <c r="L161" s="2345"/>
      <c r="M161" s="2345"/>
      <c r="N161" s="2345"/>
      <c r="O161" s="2345"/>
      <c r="P161" s="2345"/>
      <c r="Q161" s="2345"/>
      <c r="R161" s="2345"/>
      <c r="S161" s="2345"/>
      <c r="T161" s="2345"/>
      <c r="U161" s="2345"/>
      <c r="V161" s="2345"/>
      <c r="W161" s="2345"/>
      <c r="X161" s="2345"/>
      <c r="Y161" s="2345"/>
      <c r="Z161" s="2345"/>
      <c r="AA161" s="2345"/>
      <c r="AB161" s="2345"/>
      <c r="AC161" s="2345"/>
      <c r="AF161" s="2354" t="s">
        <v>64</v>
      </c>
      <c r="AG161" s="2354"/>
      <c r="AH161" s="2354"/>
      <c r="AI161" s="2354"/>
      <c r="AJ161" s="2354"/>
      <c r="AK161" s="2354"/>
      <c r="AL161" s="2354"/>
      <c r="AN161" s="439"/>
    </row>
    <row r="162" spans="1:42" s="46" customFormat="1" ht="12.75" customHeight="1">
      <c r="C162" s="48"/>
      <c r="E162" s="2345"/>
      <c r="F162" s="2345"/>
      <c r="G162" s="2345"/>
      <c r="H162" s="2345"/>
      <c r="I162" s="2345"/>
      <c r="J162" s="2345"/>
      <c r="K162" s="2345"/>
      <c r="L162" s="2345"/>
      <c r="M162" s="2345"/>
      <c r="N162" s="2345"/>
      <c r="O162" s="2345"/>
      <c r="P162" s="2345"/>
      <c r="Q162" s="2345"/>
      <c r="R162" s="2345"/>
      <c r="S162" s="2345"/>
      <c r="T162" s="2345"/>
      <c r="U162" s="2345"/>
      <c r="V162" s="2345"/>
      <c r="W162" s="2345"/>
      <c r="X162" s="2345"/>
      <c r="Y162" s="2345"/>
      <c r="Z162" s="2345"/>
      <c r="AA162" s="2345"/>
      <c r="AB162" s="2345"/>
      <c r="AC162" s="2345"/>
      <c r="AN162" s="439"/>
    </row>
    <row r="163" spans="1:42" s="46" customFormat="1" ht="12.75" customHeight="1">
      <c r="C163" s="48"/>
      <c r="D163" s="144"/>
      <c r="E163" s="2345"/>
      <c r="F163" s="2345"/>
      <c r="G163" s="2345"/>
      <c r="H163" s="2345"/>
      <c r="I163" s="2345"/>
      <c r="J163" s="2345"/>
      <c r="K163" s="2345"/>
      <c r="L163" s="2345"/>
      <c r="M163" s="2345"/>
      <c r="N163" s="2345"/>
      <c r="O163" s="2345"/>
      <c r="P163" s="2345"/>
      <c r="Q163" s="2345"/>
      <c r="R163" s="2345"/>
      <c r="S163" s="2345"/>
      <c r="T163" s="2345"/>
      <c r="U163" s="2345"/>
      <c r="V163" s="2345"/>
      <c r="W163" s="2345"/>
      <c r="X163" s="2345"/>
      <c r="Y163" s="2345"/>
      <c r="Z163" s="2345"/>
      <c r="AA163" s="2345"/>
      <c r="AB163" s="2345"/>
      <c r="AC163" s="2345"/>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5" t="s">
        <v>1877</v>
      </c>
      <c r="F165" s="2345"/>
      <c r="G165" s="2345"/>
      <c r="H165" s="2345"/>
      <c r="I165" s="2345"/>
      <c r="J165" s="2345"/>
      <c r="K165" s="2345"/>
      <c r="L165" s="2345"/>
      <c r="M165" s="2345"/>
      <c r="N165" s="2345"/>
      <c r="O165" s="2345"/>
      <c r="P165" s="2345"/>
      <c r="Q165" s="2345"/>
      <c r="R165" s="2345"/>
      <c r="S165" s="2345"/>
      <c r="T165" s="2345"/>
      <c r="U165" s="2345"/>
      <c r="V165" s="2345"/>
      <c r="W165" s="2345"/>
      <c r="X165" s="2345"/>
      <c r="Y165" s="2345"/>
      <c r="Z165" s="2345"/>
      <c r="AA165" s="2345"/>
      <c r="AB165" s="2345"/>
      <c r="AC165" s="2345"/>
      <c r="AF165" s="2354" t="s">
        <v>65</v>
      </c>
      <c r="AG165" s="2354"/>
      <c r="AH165" s="2354"/>
      <c r="AI165" s="2354"/>
      <c r="AJ165" s="2354"/>
      <c r="AK165" s="2354"/>
      <c r="AL165" s="2354"/>
      <c r="AN165" s="439"/>
    </row>
    <row r="166" spans="1:42" s="46" customFormat="1" ht="12.75" customHeight="1">
      <c r="C166" s="48"/>
      <c r="E166" s="2345"/>
      <c r="F166" s="2345"/>
      <c r="G166" s="2345"/>
      <c r="H166" s="2345"/>
      <c r="I166" s="2345"/>
      <c r="J166" s="2345"/>
      <c r="K166" s="2345"/>
      <c r="L166" s="2345"/>
      <c r="M166" s="2345"/>
      <c r="N166" s="2345"/>
      <c r="O166" s="2345"/>
      <c r="P166" s="2345"/>
      <c r="Q166" s="2345"/>
      <c r="R166" s="2345"/>
      <c r="S166" s="2345"/>
      <c r="T166" s="2345"/>
      <c r="U166" s="2345"/>
      <c r="V166" s="2345"/>
      <c r="W166" s="2345"/>
      <c r="X166" s="2345"/>
      <c r="Y166" s="2345"/>
      <c r="Z166" s="2345"/>
      <c r="AA166" s="2345"/>
      <c r="AB166" s="2345"/>
      <c r="AC166" s="2345"/>
      <c r="AN166" s="439"/>
    </row>
    <row r="167" spans="1:42" s="46" customFormat="1" ht="15" customHeight="1">
      <c r="C167" s="48"/>
      <c r="D167" s="144"/>
      <c r="E167" s="2345"/>
      <c r="F167" s="2345"/>
      <c r="G167" s="2345"/>
      <c r="H167" s="2345"/>
      <c r="I167" s="2345"/>
      <c r="J167" s="2345"/>
      <c r="K167" s="2345"/>
      <c r="L167" s="2345"/>
      <c r="M167" s="2345"/>
      <c r="N167" s="2345"/>
      <c r="O167" s="2345"/>
      <c r="P167" s="2345"/>
      <c r="Q167" s="2345"/>
      <c r="R167" s="2345"/>
      <c r="S167" s="2345"/>
      <c r="T167" s="2345"/>
      <c r="U167" s="2345"/>
      <c r="V167" s="2345"/>
      <c r="W167" s="2345"/>
      <c r="X167" s="2345"/>
      <c r="Y167" s="2345"/>
      <c r="Z167" s="2345"/>
      <c r="AA167" s="2345"/>
      <c r="AB167" s="2345"/>
      <c r="AC167" s="2345"/>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45" t="s">
        <v>1878</v>
      </c>
      <c r="F169" s="2345"/>
      <c r="G169" s="2345"/>
      <c r="H169" s="2345"/>
      <c r="I169" s="2345"/>
      <c r="J169" s="2345"/>
      <c r="K169" s="2345"/>
      <c r="L169" s="2345"/>
      <c r="M169" s="2345"/>
      <c r="N169" s="2345"/>
      <c r="O169" s="2345"/>
      <c r="P169" s="2345"/>
      <c r="Q169" s="2345"/>
      <c r="R169" s="2345"/>
      <c r="S169" s="2345"/>
      <c r="T169" s="2345"/>
      <c r="U169" s="2345"/>
      <c r="V169" s="2345"/>
      <c r="W169" s="2345"/>
      <c r="X169" s="2345"/>
      <c r="Y169" s="2345"/>
      <c r="Z169" s="2345"/>
      <c r="AA169" s="2345"/>
      <c r="AB169" s="2345"/>
      <c r="AC169" s="2345"/>
      <c r="AF169" s="2354" t="s">
        <v>66</v>
      </c>
      <c r="AG169" s="2354"/>
      <c r="AH169" s="2354"/>
      <c r="AI169" s="2354"/>
      <c r="AJ169" s="2354"/>
      <c r="AK169" s="2354"/>
      <c r="AL169" s="2354"/>
      <c r="AN169" s="439"/>
    </row>
    <row r="170" spans="1:42" s="46" customFormat="1" ht="12.75" customHeight="1">
      <c r="A170" s="28"/>
      <c r="B170" s="161"/>
      <c r="C170" s="188"/>
      <c r="E170" s="2345"/>
      <c r="F170" s="2345"/>
      <c r="G170" s="2345"/>
      <c r="H170" s="2345"/>
      <c r="I170" s="2345"/>
      <c r="J170" s="2345"/>
      <c r="K170" s="2345"/>
      <c r="L170" s="2345"/>
      <c r="M170" s="2345"/>
      <c r="N170" s="2345"/>
      <c r="O170" s="2345"/>
      <c r="P170" s="2345"/>
      <c r="Q170" s="2345"/>
      <c r="R170" s="2345"/>
      <c r="S170" s="2345"/>
      <c r="T170" s="2345"/>
      <c r="U170" s="2345"/>
      <c r="V170" s="2345"/>
      <c r="W170" s="2345"/>
      <c r="X170" s="2345"/>
      <c r="Y170" s="2345"/>
      <c r="Z170" s="2345"/>
      <c r="AA170" s="2345"/>
      <c r="AB170" s="2345"/>
      <c r="AC170" s="2345"/>
      <c r="AE170" s="2354"/>
      <c r="AF170" s="2354"/>
      <c r="AG170" s="2354"/>
      <c r="AH170" s="2354"/>
      <c r="AI170" s="2354"/>
      <c r="AJ170" s="2354"/>
      <c r="AK170" s="2354"/>
      <c r="AL170" s="1253"/>
      <c r="AM170" s="153"/>
      <c r="AN170" s="439"/>
      <c r="AO170" s="46" t="s">
        <v>135</v>
      </c>
      <c r="AP170" s="730">
        <v>0</v>
      </c>
    </row>
    <row r="171" spans="1:42" s="46" customFormat="1" ht="12.75" customHeight="1">
      <c r="A171" s="195"/>
      <c r="D171" s="144"/>
      <c r="E171" s="2345"/>
      <c r="F171" s="2345"/>
      <c r="G171" s="2345"/>
      <c r="H171" s="2345"/>
      <c r="I171" s="2345"/>
      <c r="J171" s="2345"/>
      <c r="K171" s="2345"/>
      <c r="L171" s="2345"/>
      <c r="M171" s="2345"/>
      <c r="N171" s="2345"/>
      <c r="O171" s="2345"/>
      <c r="P171" s="2345"/>
      <c r="Q171" s="2345"/>
      <c r="R171" s="2345"/>
      <c r="S171" s="2345"/>
      <c r="T171" s="2345"/>
      <c r="U171" s="2345"/>
      <c r="V171" s="2345"/>
      <c r="W171" s="2345"/>
      <c r="X171" s="2345"/>
      <c r="Y171" s="2345"/>
      <c r="Z171" s="2345"/>
      <c r="AA171" s="2345"/>
      <c r="AB171" s="2345"/>
      <c r="AC171" s="2345"/>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5" t="s">
        <v>1879</v>
      </c>
      <c r="F173" s="2345"/>
      <c r="G173" s="2345"/>
      <c r="H173" s="2345"/>
      <c r="I173" s="2345"/>
      <c r="J173" s="2345"/>
      <c r="K173" s="2345"/>
      <c r="L173" s="2345"/>
      <c r="M173" s="2345"/>
      <c r="N173" s="2345"/>
      <c r="O173" s="2345"/>
      <c r="P173" s="2345"/>
      <c r="Q173" s="2345"/>
      <c r="R173" s="2345"/>
      <c r="S173" s="2345"/>
      <c r="T173" s="2345"/>
      <c r="U173" s="2345"/>
      <c r="V173" s="2345"/>
      <c r="W173" s="2345"/>
      <c r="X173" s="2345"/>
      <c r="Y173" s="2345"/>
      <c r="Z173" s="2345"/>
      <c r="AA173" s="2345"/>
      <c r="AB173" s="2345"/>
      <c r="AC173" s="2345"/>
      <c r="AF173" s="2354" t="s">
        <v>65</v>
      </c>
      <c r="AG173" s="2354"/>
      <c r="AH173" s="2354"/>
      <c r="AI173" s="2354"/>
      <c r="AJ173" s="2354"/>
      <c r="AK173" s="2354"/>
      <c r="AL173" s="2354"/>
      <c r="AN173" s="439"/>
    </row>
    <row r="174" spans="1:42" s="46" customFormat="1" ht="12.75" customHeight="1">
      <c r="A174" s="183"/>
      <c r="B174" s="161"/>
      <c r="C174" s="202"/>
      <c r="D174" s="144"/>
      <c r="E174" s="2345"/>
      <c r="F174" s="2345"/>
      <c r="G174" s="2345"/>
      <c r="H174" s="2345"/>
      <c r="I174" s="2345"/>
      <c r="J174" s="2345"/>
      <c r="K174" s="2345"/>
      <c r="L174" s="2345"/>
      <c r="M174" s="2345"/>
      <c r="N174" s="2345"/>
      <c r="O174" s="2345"/>
      <c r="P174" s="2345"/>
      <c r="Q174" s="2345"/>
      <c r="R174" s="2345"/>
      <c r="S174" s="2345"/>
      <c r="T174" s="2345"/>
      <c r="U174" s="2345"/>
      <c r="V174" s="2345"/>
      <c r="W174" s="2345"/>
      <c r="X174" s="2345"/>
      <c r="Y174" s="2345"/>
      <c r="Z174" s="2345"/>
      <c r="AA174" s="2345"/>
      <c r="AB174" s="2345"/>
      <c r="AC174" s="2345"/>
      <c r="AE174" s="179"/>
      <c r="AF174" s="179"/>
      <c r="AG174" s="179"/>
      <c r="AH174" s="179"/>
      <c r="AI174" s="179"/>
      <c r="AJ174" s="179"/>
      <c r="AK174" s="179"/>
      <c r="AL174" s="1253"/>
      <c r="AM174" s="203"/>
      <c r="AN174" s="439"/>
    </row>
    <row r="175" spans="1:42" s="46" customFormat="1" ht="12.75" customHeight="1">
      <c r="A175" s="183"/>
      <c r="B175" s="161"/>
      <c r="C175" s="202"/>
      <c r="D175" s="144"/>
      <c r="E175" s="2345"/>
      <c r="F175" s="2345"/>
      <c r="G175" s="2345"/>
      <c r="H175" s="2345"/>
      <c r="I175" s="2345"/>
      <c r="J175" s="2345"/>
      <c r="K175" s="2345"/>
      <c r="L175" s="2345"/>
      <c r="M175" s="2345"/>
      <c r="N175" s="2345"/>
      <c r="O175" s="2345"/>
      <c r="P175" s="2345"/>
      <c r="Q175" s="2345"/>
      <c r="R175" s="2345"/>
      <c r="S175" s="2345"/>
      <c r="T175" s="2345"/>
      <c r="U175" s="2345"/>
      <c r="V175" s="2345"/>
      <c r="W175" s="2345"/>
      <c r="X175" s="2345"/>
      <c r="Y175" s="2345"/>
      <c r="Z175" s="2345"/>
      <c r="AA175" s="2345"/>
      <c r="AB175" s="2345"/>
      <c r="AC175" s="2345"/>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45" t="s">
        <v>1880</v>
      </c>
      <c r="F177" s="2345"/>
      <c r="G177" s="2345"/>
      <c r="H177" s="2345"/>
      <c r="I177" s="2345"/>
      <c r="J177" s="2345"/>
      <c r="K177" s="2345"/>
      <c r="L177" s="2345"/>
      <c r="M177" s="2345"/>
      <c r="N177" s="2345"/>
      <c r="O177" s="2345"/>
      <c r="P177" s="2345"/>
      <c r="Q177" s="2345"/>
      <c r="R177" s="2345"/>
      <c r="S177" s="2345"/>
      <c r="T177" s="2345"/>
      <c r="U177" s="2345"/>
      <c r="V177" s="2345"/>
      <c r="W177" s="2345"/>
      <c r="X177" s="2345"/>
      <c r="Y177" s="2345"/>
      <c r="Z177" s="2345"/>
      <c r="AA177" s="2345"/>
      <c r="AB177" s="2345"/>
      <c r="AC177" s="2345"/>
      <c r="AF177" s="2354" t="s">
        <v>66</v>
      </c>
      <c r="AG177" s="2354"/>
      <c r="AH177" s="2354"/>
      <c r="AI177" s="2354"/>
      <c r="AJ177" s="2354"/>
      <c r="AK177" s="2354"/>
      <c r="AL177" s="2354"/>
      <c r="AM177" s="203"/>
      <c r="AN177" s="439"/>
    </row>
    <row r="178" spans="1:42" s="46" customFormat="1" ht="12.75" customHeight="1">
      <c r="A178" s="28"/>
      <c r="B178" s="161"/>
      <c r="C178" s="188"/>
      <c r="D178" s="144"/>
      <c r="E178" s="2345"/>
      <c r="F178" s="2345"/>
      <c r="G178" s="2345"/>
      <c r="H178" s="2345"/>
      <c r="I178" s="2345"/>
      <c r="J178" s="2345"/>
      <c r="K178" s="2345"/>
      <c r="L178" s="2345"/>
      <c r="M178" s="2345"/>
      <c r="N178" s="2345"/>
      <c r="O178" s="2345"/>
      <c r="P178" s="2345"/>
      <c r="Q178" s="2345"/>
      <c r="R178" s="2345"/>
      <c r="S178" s="2345"/>
      <c r="T178" s="2345"/>
      <c r="U178" s="2345"/>
      <c r="V178" s="2345"/>
      <c r="W178" s="2345"/>
      <c r="X178" s="2345"/>
      <c r="Y178" s="2345"/>
      <c r="Z178" s="2345"/>
      <c r="AA178" s="2345"/>
      <c r="AB178" s="2345"/>
      <c r="AC178" s="2345"/>
      <c r="AE178" s="153"/>
      <c r="AF178" s="74"/>
      <c r="AH178" s="153"/>
      <c r="AI178" s="153"/>
      <c r="AJ178" s="153"/>
      <c r="AK178" s="153"/>
      <c r="AL178" s="153"/>
      <c r="AM178" s="203"/>
      <c r="AN178" s="439"/>
    </row>
    <row r="179" spans="1:42" s="46" customFormat="1" ht="12.75" customHeight="1">
      <c r="A179" s="28"/>
      <c r="B179" s="161"/>
      <c r="C179" s="188"/>
      <c r="D179" s="144"/>
      <c r="E179" s="2345"/>
      <c r="F179" s="2345"/>
      <c r="G179" s="2345"/>
      <c r="H179" s="2345"/>
      <c r="I179" s="2345"/>
      <c r="J179" s="2345"/>
      <c r="K179" s="2345"/>
      <c r="L179" s="2345"/>
      <c r="M179" s="2345"/>
      <c r="N179" s="2345"/>
      <c r="O179" s="2345"/>
      <c r="P179" s="2345"/>
      <c r="Q179" s="2345"/>
      <c r="R179" s="2345"/>
      <c r="S179" s="2345"/>
      <c r="T179" s="2345"/>
      <c r="U179" s="2345"/>
      <c r="V179" s="2345"/>
      <c r="W179" s="2345"/>
      <c r="X179" s="2345"/>
      <c r="Y179" s="2345"/>
      <c r="Z179" s="2345"/>
      <c r="AA179" s="2345"/>
      <c r="AB179" s="2345"/>
      <c r="AC179" s="234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5" t="s">
        <v>1609</v>
      </c>
      <c r="F181" s="2345"/>
      <c r="G181" s="2345"/>
      <c r="H181" s="2345"/>
      <c r="I181" s="2345"/>
      <c r="J181" s="2345"/>
      <c r="K181" s="2345"/>
      <c r="L181" s="2345"/>
      <c r="M181" s="2345"/>
      <c r="N181" s="2345"/>
      <c r="O181" s="2345"/>
      <c r="P181" s="2345"/>
      <c r="Q181" s="2345"/>
      <c r="R181" s="2345"/>
      <c r="S181" s="2345"/>
      <c r="T181" s="2345"/>
      <c r="U181" s="2345"/>
      <c r="V181" s="2345"/>
      <c r="W181" s="2345"/>
      <c r="X181" s="2345"/>
      <c r="Y181" s="2345"/>
      <c r="Z181" s="2345"/>
      <c r="AA181" s="2345"/>
      <c r="AB181" s="2345"/>
      <c r="AC181" s="2345"/>
      <c r="AF181" s="2354" t="s">
        <v>114</v>
      </c>
      <c r="AG181" s="2354"/>
      <c r="AH181" s="2354"/>
      <c r="AI181" s="2354"/>
      <c r="AJ181" s="2354"/>
      <c r="AK181" s="2354"/>
      <c r="AL181" s="2354"/>
      <c r="AM181" s="203"/>
      <c r="AN181" s="439"/>
    </row>
    <row r="182" spans="1:42" s="46" customFormat="1" ht="22.9" customHeight="1">
      <c r="A182" s="195"/>
      <c r="B182" s="74"/>
      <c r="C182" s="77"/>
      <c r="D182" s="144"/>
      <c r="E182" s="2345"/>
      <c r="F182" s="2345"/>
      <c r="G182" s="2345"/>
      <c r="H182" s="2345"/>
      <c r="I182" s="2345"/>
      <c r="J182" s="2345"/>
      <c r="K182" s="2345"/>
      <c r="L182" s="2345"/>
      <c r="M182" s="2345"/>
      <c r="N182" s="2345"/>
      <c r="O182" s="2345"/>
      <c r="P182" s="2345"/>
      <c r="Q182" s="2345"/>
      <c r="R182" s="2345"/>
      <c r="S182" s="2345"/>
      <c r="T182" s="2345"/>
      <c r="U182" s="2345"/>
      <c r="V182" s="2345"/>
      <c r="W182" s="2345"/>
      <c r="X182" s="2345"/>
      <c r="Y182" s="2345"/>
      <c r="Z182" s="2345"/>
      <c r="AA182" s="2345"/>
      <c r="AB182" s="2345"/>
      <c r="AC182" s="2345"/>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5" t="s">
        <v>1610</v>
      </c>
      <c r="F184" s="2345"/>
      <c r="G184" s="2345"/>
      <c r="H184" s="2345"/>
      <c r="I184" s="2345"/>
      <c r="J184" s="2345"/>
      <c r="K184" s="2345"/>
      <c r="L184" s="2345"/>
      <c r="M184" s="2345"/>
      <c r="N184" s="2345"/>
      <c r="O184" s="2345"/>
      <c r="P184" s="2345"/>
      <c r="Q184" s="2345"/>
      <c r="R184" s="2345"/>
      <c r="S184" s="2345"/>
      <c r="T184" s="2345"/>
      <c r="U184" s="2345"/>
      <c r="V184" s="2345"/>
      <c r="W184" s="2345"/>
      <c r="X184" s="2345"/>
      <c r="Y184" s="2345"/>
      <c r="Z184" s="2345"/>
      <c r="AA184" s="2345"/>
      <c r="AB184" s="2345"/>
      <c r="AC184" s="2345"/>
      <c r="AF184" s="2354" t="s">
        <v>353</v>
      </c>
      <c r="AG184" s="2354"/>
      <c r="AH184" s="2354"/>
      <c r="AI184" s="2354"/>
      <c r="AJ184" s="2354"/>
      <c r="AK184" s="2354"/>
      <c r="AL184" s="2354"/>
      <c r="AM184" s="203"/>
      <c r="AN184" s="439"/>
      <c r="AO184" s="144" t="s">
        <v>638</v>
      </c>
      <c r="AP184" s="46">
        <v>3</v>
      </c>
    </row>
    <row r="185" spans="1:42" s="46" customFormat="1" ht="22.9" customHeight="1">
      <c r="A185" s="195"/>
      <c r="B185" s="74"/>
      <c r="C185" s="77"/>
      <c r="D185" s="144"/>
      <c r="E185" s="2345"/>
      <c r="F185" s="2345"/>
      <c r="G185" s="2345"/>
      <c r="H185" s="2345"/>
      <c r="I185" s="2345"/>
      <c r="J185" s="2345"/>
      <c r="K185" s="2345"/>
      <c r="L185" s="2345"/>
      <c r="M185" s="2345"/>
      <c r="N185" s="2345"/>
      <c r="O185" s="2345"/>
      <c r="P185" s="2345"/>
      <c r="Q185" s="2345"/>
      <c r="R185" s="2345"/>
      <c r="S185" s="2345"/>
      <c r="T185" s="2345"/>
      <c r="U185" s="2345"/>
      <c r="V185" s="2345"/>
      <c r="W185" s="2345"/>
      <c r="X185" s="2345"/>
      <c r="Y185" s="2345"/>
      <c r="Z185" s="2345"/>
      <c r="AA185" s="2345"/>
      <c r="AB185" s="2345"/>
      <c r="AC185" s="2345"/>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44" t="s">
        <v>213</v>
      </c>
      <c r="I187" s="234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55">
        <f>VLOOKUP($H$187,$AO$137:$AP$144,2,FALSE)</f>
        <v>4</v>
      </c>
      <c r="AK189" s="235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45" t="s">
        <v>2160</v>
      </c>
      <c r="F193" s="2345"/>
      <c r="G193" s="2345"/>
      <c r="H193" s="2345"/>
      <c r="I193" s="2345"/>
      <c r="J193" s="2345"/>
      <c r="K193" s="2345"/>
      <c r="L193" s="2345"/>
      <c r="M193" s="2345"/>
      <c r="N193" s="2345"/>
      <c r="O193" s="2345"/>
      <c r="P193" s="2345"/>
      <c r="Q193" s="2345"/>
      <c r="R193" s="2345"/>
      <c r="S193" s="2345"/>
      <c r="T193" s="2345"/>
      <c r="U193" s="2345"/>
      <c r="V193" s="2345"/>
      <c r="W193" s="2345"/>
      <c r="X193" s="2345"/>
      <c r="Y193" s="2345"/>
      <c r="Z193" s="2345"/>
      <c r="AA193" s="2345"/>
      <c r="AB193" s="2345"/>
      <c r="AC193" s="46"/>
      <c r="AD193" s="46"/>
      <c r="AF193" s="2354" t="s">
        <v>66</v>
      </c>
      <c r="AG193" s="2354"/>
      <c r="AH193" s="2354"/>
      <c r="AI193" s="2354"/>
      <c r="AJ193" s="2354"/>
      <c r="AK193" s="2354"/>
      <c r="AL193" s="2354"/>
      <c r="AM193" s="153"/>
      <c r="AN193" s="1089"/>
    </row>
    <row r="194" spans="1:42" s="137" customFormat="1" ht="12.75" customHeight="1">
      <c r="A194" s="28"/>
      <c r="B194" s="161"/>
      <c r="C194" s="196"/>
      <c r="D194" s="144"/>
      <c r="E194" s="2345"/>
      <c r="F194" s="2345"/>
      <c r="G194" s="2345"/>
      <c r="H194" s="2345"/>
      <c r="I194" s="2345"/>
      <c r="J194" s="2345"/>
      <c r="K194" s="2345"/>
      <c r="L194" s="2345"/>
      <c r="M194" s="2345"/>
      <c r="N194" s="2345"/>
      <c r="O194" s="2345"/>
      <c r="P194" s="2345"/>
      <c r="Q194" s="2345"/>
      <c r="R194" s="2345"/>
      <c r="S194" s="2345"/>
      <c r="T194" s="2345"/>
      <c r="U194" s="2345"/>
      <c r="V194" s="2345"/>
      <c r="W194" s="2345"/>
      <c r="X194" s="2345"/>
      <c r="Y194" s="2345"/>
      <c r="Z194" s="2345"/>
      <c r="AA194" s="2345"/>
      <c r="AB194" s="2345"/>
      <c r="AC194" s="46"/>
      <c r="AD194" s="46"/>
      <c r="AE194" s="27"/>
      <c r="AM194" s="153"/>
      <c r="AN194" s="1089"/>
      <c r="AO194" s="2563"/>
      <c r="AP194" s="2563"/>
    </row>
    <row r="195" spans="1:42" s="137" customFormat="1" ht="12.75" customHeight="1">
      <c r="A195" s="28"/>
      <c r="B195" s="161"/>
      <c r="C195" s="196"/>
      <c r="D195" s="144"/>
      <c r="E195" s="2345"/>
      <c r="F195" s="2345"/>
      <c r="G195" s="2345"/>
      <c r="H195" s="2345"/>
      <c r="I195" s="2345"/>
      <c r="J195" s="2345"/>
      <c r="K195" s="2345"/>
      <c r="L195" s="2345"/>
      <c r="M195" s="2345"/>
      <c r="N195" s="2345"/>
      <c r="O195" s="2345"/>
      <c r="P195" s="2345"/>
      <c r="Q195" s="2345"/>
      <c r="R195" s="2345"/>
      <c r="S195" s="2345"/>
      <c r="T195" s="2345"/>
      <c r="U195" s="2345"/>
      <c r="V195" s="2345"/>
      <c r="W195" s="2345"/>
      <c r="X195" s="2345"/>
      <c r="Y195" s="2345"/>
      <c r="Z195" s="2345"/>
      <c r="AA195" s="2345"/>
      <c r="AB195" s="2345"/>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5"/>
      <c r="F196" s="2345"/>
      <c r="G196" s="2345"/>
      <c r="H196" s="2345"/>
      <c r="I196" s="2345"/>
      <c r="J196" s="2345"/>
      <c r="K196" s="2345"/>
      <c r="L196" s="2345"/>
      <c r="M196" s="2345"/>
      <c r="N196" s="2345"/>
      <c r="O196" s="2345"/>
      <c r="P196" s="2345"/>
      <c r="Q196" s="2345"/>
      <c r="R196" s="2345"/>
      <c r="S196" s="2345"/>
      <c r="T196" s="2345"/>
      <c r="U196" s="2345"/>
      <c r="V196" s="2345"/>
      <c r="W196" s="2345"/>
      <c r="X196" s="2345"/>
      <c r="Y196" s="2345"/>
      <c r="Z196" s="2345"/>
      <c r="AA196" s="2345"/>
      <c r="AB196" s="2345"/>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45" t="s">
        <v>2161</v>
      </c>
      <c r="F198" s="2345"/>
      <c r="G198" s="2345"/>
      <c r="H198" s="2345"/>
      <c r="I198" s="2345"/>
      <c r="J198" s="2345"/>
      <c r="K198" s="2345"/>
      <c r="L198" s="2345"/>
      <c r="M198" s="2345"/>
      <c r="N198" s="2345"/>
      <c r="O198" s="2345"/>
      <c r="P198" s="2345"/>
      <c r="Q198" s="2345"/>
      <c r="R198" s="2345"/>
      <c r="S198" s="2345"/>
      <c r="T198" s="2345"/>
      <c r="U198" s="2345"/>
      <c r="V198" s="2345"/>
      <c r="W198" s="2345"/>
      <c r="X198" s="2345"/>
      <c r="Y198" s="2345"/>
      <c r="Z198" s="2345"/>
      <c r="AA198" s="2345"/>
      <c r="AB198" s="2345"/>
      <c r="AF198" s="2354" t="s">
        <v>114</v>
      </c>
      <c r="AG198" s="2354"/>
      <c r="AH198" s="2354"/>
      <c r="AI198" s="2354"/>
      <c r="AJ198" s="2354"/>
      <c r="AK198" s="2354"/>
      <c r="AL198" s="2354"/>
      <c r="AM198" s="153"/>
      <c r="AN198" s="439"/>
      <c r="AO198" s="144" t="s">
        <v>213</v>
      </c>
      <c r="AP198" s="46">
        <v>1</v>
      </c>
    </row>
    <row r="199" spans="1:42" s="46" customFormat="1" ht="12.75" customHeight="1">
      <c r="A199" s="153"/>
      <c r="B199" s="8"/>
      <c r="C199" s="204"/>
      <c r="E199" s="2345"/>
      <c r="F199" s="2345"/>
      <c r="G199" s="2345"/>
      <c r="H199" s="2345"/>
      <c r="I199" s="2345"/>
      <c r="J199" s="2345"/>
      <c r="K199" s="2345"/>
      <c r="L199" s="2345"/>
      <c r="M199" s="2345"/>
      <c r="N199" s="2345"/>
      <c r="O199" s="2345"/>
      <c r="P199" s="2345"/>
      <c r="Q199" s="2345"/>
      <c r="R199" s="2345"/>
      <c r="S199" s="2345"/>
      <c r="T199" s="2345"/>
      <c r="U199" s="2345"/>
      <c r="V199" s="2345"/>
      <c r="W199" s="2345"/>
      <c r="X199" s="2345"/>
      <c r="Y199" s="2345"/>
      <c r="Z199" s="2345"/>
      <c r="AA199" s="2345"/>
      <c r="AB199" s="2345"/>
      <c r="AD199" s="8"/>
      <c r="AE199" s="27"/>
      <c r="AM199" s="153"/>
      <c r="AN199" s="439"/>
    </row>
    <row r="200" spans="1:42" s="46" customFormat="1" ht="12.75" customHeight="1">
      <c r="A200" s="153"/>
      <c r="B200" s="8"/>
      <c r="C200" s="204"/>
      <c r="E200" s="2345"/>
      <c r="F200" s="2345"/>
      <c r="G200" s="2345"/>
      <c r="H200" s="2345"/>
      <c r="I200" s="2345"/>
      <c r="J200" s="2345"/>
      <c r="K200" s="2345"/>
      <c r="L200" s="2345"/>
      <c r="M200" s="2345"/>
      <c r="N200" s="2345"/>
      <c r="O200" s="2345"/>
      <c r="P200" s="2345"/>
      <c r="Q200" s="2345"/>
      <c r="R200" s="2345"/>
      <c r="S200" s="2345"/>
      <c r="T200" s="2345"/>
      <c r="U200" s="2345"/>
      <c r="V200" s="2345"/>
      <c r="W200" s="2345"/>
      <c r="X200" s="2345"/>
      <c r="Y200" s="2345"/>
      <c r="Z200" s="2345"/>
      <c r="AA200" s="2345"/>
      <c r="AB200" s="2345"/>
      <c r="AD200" s="8"/>
      <c r="AE200" s="27"/>
      <c r="AM200" s="153"/>
      <c r="AN200" s="439"/>
    </row>
    <row r="201" spans="1:42" s="16" customFormat="1" ht="12.75" customHeight="1">
      <c r="A201" s="153"/>
      <c r="B201" s="8"/>
      <c r="C201" s="204"/>
      <c r="D201" s="46"/>
      <c r="E201" s="2345"/>
      <c r="F201" s="2345"/>
      <c r="G201" s="2345"/>
      <c r="H201" s="2345"/>
      <c r="I201" s="2345"/>
      <c r="J201" s="2345"/>
      <c r="K201" s="2345"/>
      <c r="L201" s="2345"/>
      <c r="M201" s="2345"/>
      <c r="N201" s="2345"/>
      <c r="O201" s="2345"/>
      <c r="P201" s="2345"/>
      <c r="Q201" s="2345"/>
      <c r="R201" s="2345"/>
      <c r="S201" s="2345"/>
      <c r="T201" s="2345"/>
      <c r="U201" s="2345"/>
      <c r="V201" s="2345"/>
      <c r="W201" s="2345"/>
      <c r="X201" s="2345"/>
      <c r="Y201" s="2345"/>
      <c r="Z201" s="2345"/>
      <c r="AA201" s="2345"/>
      <c r="AB201" s="234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0" t="s">
        <v>2162</v>
      </c>
      <c r="F203" s="2330"/>
      <c r="G203" s="2330"/>
      <c r="H203" s="2330"/>
      <c r="I203" s="2330"/>
      <c r="J203" s="2330"/>
      <c r="K203" s="2330"/>
      <c r="L203" s="2330"/>
      <c r="M203" s="2330"/>
      <c r="N203" s="2330"/>
      <c r="O203" s="2330"/>
      <c r="P203" s="2330"/>
      <c r="Q203" s="2330"/>
      <c r="R203" s="2330"/>
      <c r="S203" s="2330"/>
      <c r="T203" s="2330"/>
      <c r="U203" s="2330"/>
      <c r="V203" s="2330"/>
      <c r="W203" s="2330"/>
      <c r="X203" s="2330"/>
      <c r="Y203" s="2330"/>
      <c r="Z203" s="2330"/>
      <c r="AA203" s="2330"/>
      <c r="AB203" s="233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0"/>
      <c r="F204" s="2330"/>
      <c r="G204" s="2330"/>
      <c r="H204" s="2330"/>
      <c r="I204" s="2330"/>
      <c r="J204" s="2330"/>
      <c r="K204" s="2330"/>
      <c r="L204" s="2330"/>
      <c r="M204" s="2330"/>
      <c r="N204" s="2330"/>
      <c r="O204" s="2330"/>
      <c r="P204" s="2330"/>
      <c r="Q204" s="2330"/>
      <c r="R204" s="2330"/>
      <c r="S204" s="2330"/>
      <c r="T204" s="2330"/>
      <c r="U204" s="2330"/>
      <c r="V204" s="2330"/>
      <c r="W204" s="2330"/>
      <c r="X204" s="2330"/>
      <c r="Y204" s="2330"/>
      <c r="Z204" s="2330"/>
      <c r="AA204" s="2330"/>
      <c r="AB204" s="233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0"/>
      <c r="F205" s="2330"/>
      <c r="G205" s="2330"/>
      <c r="H205" s="2330"/>
      <c r="I205" s="2330"/>
      <c r="J205" s="2330"/>
      <c r="K205" s="2330"/>
      <c r="L205" s="2330"/>
      <c r="M205" s="2330"/>
      <c r="N205" s="2330"/>
      <c r="O205" s="2330"/>
      <c r="P205" s="2330"/>
      <c r="Q205" s="2330"/>
      <c r="R205" s="2330"/>
      <c r="S205" s="2330"/>
      <c r="T205" s="2330"/>
      <c r="U205" s="2330"/>
      <c r="V205" s="2330"/>
      <c r="W205" s="2330"/>
      <c r="X205" s="2330"/>
      <c r="Y205" s="2330"/>
      <c r="Z205" s="2330"/>
      <c r="AA205" s="2330"/>
      <c r="AB205" s="2330"/>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44" t="s">
        <v>213</v>
      </c>
      <c r="I206" s="234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55">
        <f>VLOOKUP($H$206,$AO$156:$AP$158,2,FALSE)</f>
        <v>2</v>
      </c>
      <c r="AK208" s="235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93" t="s">
        <v>1356</v>
      </c>
      <c r="F212" s="2493"/>
      <c r="G212" s="2493"/>
      <c r="H212" s="2493"/>
      <c r="I212" s="2493"/>
      <c r="J212" s="2493"/>
      <c r="K212" s="2493"/>
      <c r="L212" s="2493"/>
      <c r="M212" s="2493"/>
      <c r="N212" s="2493"/>
      <c r="O212" s="2493"/>
      <c r="P212" s="2493"/>
      <c r="Q212" s="2493"/>
      <c r="R212" s="2493"/>
      <c r="S212" s="2493"/>
      <c r="T212" s="2493"/>
      <c r="U212" s="2493"/>
      <c r="V212" s="2493"/>
      <c r="W212" s="2493"/>
      <c r="X212" s="2493"/>
      <c r="Y212" s="2493"/>
      <c r="Z212" s="2493"/>
      <c r="AA212" s="2493"/>
      <c r="AB212" s="2493"/>
      <c r="AC212" s="46"/>
      <c r="AD212" s="46"/>
      <c r="AF212" s="2354" t="s">
        <v>66</v>
      </c>
      <c r="AG212" s="2354"/>
      <c r="AH212" s="2354"/>
      <c r="AI212" s="2354"/>
      <c r="AJ212" s="2354"/>
      <c r="AK212" s="2354"/>
      <c r="AL212" s="2354"/>
      <c r="AM212" s="153"/>
      <c r="AN212" s="317"/>
      <c r="AP212" s="50" t="s">
        <v>109</v>
      </c>
    </row>
    <row r="213" spans="1:52" s="16" customFormat="1" ht="11.85" customHeight="1">
      <c r="A213" s="28"/>
      <c r="B213" s="161"/>
      <c r="C213" s="187"/>
      <c r="D213" s="144"/>
      <c r="E213" s="2493"/>
      <c r="F213" s="2493"/>
      <c r="G213" s="2493"/>
      <c r="H213" s="2493"/>
      <c r="I213" s="2493"/>
      <c r="J213" s="2493"/>
      <c r="K213" s="2493"/>
      <c r="L213" s="2493"/>
      <c r="M213" s="2493"/>
      <c r="N213" s="2493"/>
      <c r="O213" s="2493"/>
      <c r="P213" s="2493"/>
      <c r="Q213" s="2493"/>
      <c r="R213" s="2493"/>
      <c r="S213" s="2493"/>
      <c r="T213" s="2493"/>
      <c r="U213" s="2493"/>
      <c r="V213" s="2493"/>
      <c r="W213" s="2493"/>
      <c r="X213" s="2493"/>
      <c r="Y213" s="2493"/>
      <c r="Z213" s="2493"/>
      <c r="AA213" s="2493"/>
      <c r="AB213" s="2493"/>
      <c r="AC213" s="46"/>
      <c r="AD213" s="46"/>
      <c r="AE213" s="28"/>
      <c r="AM213" s="153"/>
      <c r="AN213" s="317"/>
      <c r="AP213" s="50" t="s">
        <v>106</v>
      </c>
    </row>
    <row r="214" spans="1:52" s="16" customFormat="1" ht="13.9" customHeight="1">
      <c r="A214" s="28"/>
      <c r="B214" s="148"/>
      <c r="C214" s="188"/>
      <c r="D214" s="144"/>
      <c r="E214" s="2493"/>
      <c r="F214" s="2493"/>
      <c r="G214" s="2493"/>
      <c r="H214" s="2493"/>
      <c r="I214" s="2493"/>
      <c r="J214" s="2493"/>
      <c r="K214" s="2493"/>
      <c r="L214" s="2493"/>
      <c r="M214" s="2493"/>
      <c r="N214" s="2493"/>
      <c r="O214" s="2493"/>
      <c r="P214" s="2493"/>
      <c r="Q214" s="2493"/>
      <c r="R214" s="2493"/>
      <c r="S214" s="2493"/>
      <c r="T214" s="2493"/>
      <c r="U214" s="2493"/>
      <c r="V214" s="2493"/>
      <c r="W214" s="2493"/>
      <c r="X214" s="2493"/>
      <c r="Y214" s="2493"/>
      <c r="Z214" s="2493"/>
      <c r="AA214" s="2493"/>
      <c r="AB214" s="2493"/>
      <c r="AC214" s="46"/>
      <c r="AD214" s="46"/>
      <c r="AE214" s="27"/>
      <c r="AM214" s="153"/>
      <c r="AN214" s="317"/>
      <c r="AP214" s="50" t="s">
        <v>107</v>
      </c>
    </row>
    <row r="215" spans="1:52" s="16" customFormat="1" ht="13.9" customHeight="1">
      <c r="A215" s="28"/>
      <c r="B215" s="74"/>
      <c r="C215" s="77"/>
      <c r="D215" s="144" t="s">
        <v>213</v>
      </c>
      <c r="E215" s="2359" t="s">
        <v>1357</v>
      </c>
      <c r="F215" s="2359"/>
      <c r="G215" s="2359"/>
      <c r="H215" s="2359"/>
      <c r="I215" s="2359"/>
      <c r="J215" s="2359"/>
      <c r="K215" s="2359"/>
      <c r="L215" s="2359"/>
      <c r="M215" s="2359"/>
      <c r="N215" s="2359"/>
      <c r="O215" s="2359"/>
      <c r="P215" s="2359"/>
      <c r="Q215" s="2359"/>
      <c r="R215" s="2359"/>
      <c r="S215" s="2359"/>
      <c r="T215" s="2359"/>
      <c r="U215" s="2359"/>
      <c r="V215" s="2359"/>
      <c r="W215" s="2359"/>
      <c r="X215" s="2359"/>
      <c r="Y215" s="2359"/>
      <c r="Z215" s="2359"/>
      <c r="AA215" s="2359"/>
      <c r="AB215" s="2359"/>
      <c r="AC215" s="46"/>
      <c r="AD215" s="46"/>
      <c r="AF215" s="2354" t="s">
        <v>114</v>
      </c>
      <c r="AG215" s="2354"/>
      <c r="AH215" s="2354"/>
      <c r="AI215" s="2354"/>
      <c r="AJ215" s="2354"/>
      <c r="AK215" s="2354"/>
      <c r="AL215" s="2354"/>
      <c r="AM215" s="153"/>
      <c r="AN215" s="1091"/>
      <c r="AP215" s="482" t="s">
        <v>386</v>
      </c>
    </row>
    <row r="216" spans="1:52" s="16" customFormat="1" ht="12.75" customHeight="1">
      <c r="A216" s="28"/>
      <c r="B216" s="161"/>
      <c r="C216" s="187"/>
      <c r="D216" s="28"/>
      <c r="E216" s="2359"/>
      <c r="F216" s="2359"/>
      <c r="G216" s="2359"/>
      <c r="H216" s="2359"/>
      <c r="I216" s="2359"/>
      <c r="J216" s="2359"/>
      <c r="K216" s="2359"/>
      <c r="L216" s="2359"/>
      <c r="M216" s="2359"/>
      <c r="N216" s="2359"/>
      <c r="O216" s="2359"/>
      <c r="P216" s="2359"/>
      <c r="Q216" s="2359"/>
      <c r="R216" s="2359"/>
      <c r="S216" s="2359"/>
      <c r="T216" s="2359"/>
      <c r="U216" s="2359"/>
      <c r="V216" s="2359"/>
      <c r="W216" s="2359"/>
      <c r="X216" s="2359"/>
      <c r="Y216" s="2359"/>
      <c r="Z216" s="2359"/>
      <c r="AA216" s="2359"/>
      <c r="AB216" s="2359"/>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59"/>
      <c r="F217" s="2359"/>
      <c r="G217" s="2359"/>
      <c r="H217" s="2359"/>
      <c r="I217" s="2359"/>
      <c r="J217" s="2359"/>
      <c r="K217" s="2359"/>
      <c r="L217" s="2359"/>
      <c r="M217" s="2359"/>
      <c r="N217" s="2359"/>
      <c r="O217" s="2359"/>
      <c r="P217" s="2359"/>
      <c r="Q217" s="2359"/>
      <c r="R217" s="2359"/>
      <c r="S217" s="2359"/>
      <c r="T217" s="2359"/>
      <c r="U217" s="2359"/>
      <c r="V217" s="2359"/>
      <c r="W217" s="2359"/>
      <c r="X217" s="2359"/>
      <c r="Y217" s="2359"/>
      <c r="Z217" s="2359"/>
      <c r="AA217" s="2359"/>
      <c r="AB217" s="2359"/>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44" t="s">
        <v>135</v>
      </c>
      <c r="I218" s="234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5">
        <f>VLOOKUP($H$218,$AO$156:$AP$158,2,FALSE)</f>
        <v>0</v>
      </c>
      <c r="AK220" s="2357"/>
      <c r="AL220" s="25"/>
      <c r="AM220" s="137"/>
      <c r="AN220" s="1092"/>
      <c r="AP220" s="2355"/>
      <c r="AQ220" s="235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45" t="s">
        <v>1627</v>
      </c>
      <c r="F224" s="2345"/>
      <c r="G224" s="2345"/>
      <c r="H224" s="2345"/>
      <c r="I224" s="2345"/>
      <c r="J224" s="2345"/>
      <c r="K224" s="2345"/>
      <c r="L224" s="2345"/>
      <c r="M224" s="2345"/>
      <c r="N224" s="2345"/>
      <c r="O224" s="2345"/>
      <c r="P224" s="2345"/>
      <c r="Q224" s="2345"/>
      <c r="R224" s="2345"/>
      <c r="S224" s="2345"/>
      <c r="T224" s="2345"/>
      <c r="U224" s="2345"/>
      <c r="V224" s="2345"/>
      <c r="W224" s="2345"/>
      <c r="X224" s="2345"/>
      <c r="Y224" s="2345"/>
      <c r="Z224" s="2345"/>
      <c r="AA224" s="2345"/>
      <c r="AB224" s="2345"/>
      <c r="AC224" s="46"/>
      <c r="AD224" s="46"/>
      <c r="AF224" s="2354" t="s">
        <v>66</v>
      </c>
      <c r="AG224" s="2354"/>
      <c r="AH224" s="2354"/>
      <c r="AI224" s="2354"/>
      <c r="AJ224" s="2354"/>
      <c r="AK224" s="2354"/>
      <c r="AL224" s="2354"/>
      <c r="AM224" s="153"/>
      <c r="AN224" s="317"/>
      <c r="AT224" s="65"/>
      <c r="AU224" s="65"/>
      <c r="AV224" s="65"/>
      <c r="AW224" s="65"/>
      <c r="AX224" s="65"/>
      <c r="AY224" s="65"/>
      <c r="AZ224" s="65"/>
    </row>
    <row r="225" spans="1:82" s="16" customFormat="1">
      <c r="A225" s="28"/>
      <c r="B225" s="161"/>
      <c r="C225" s="187"/>
      <c r="D225" s="144"/>
      <c r="E225" s="2345"/>
      <c r="F225" s="2345"/>
      <c r="G225" s="2345"/>
      <c r="H225" s="2345"/>
      <c r="I225" s="2345"/>
      <c r="J225" s="2345"/>
      <c r="K225" s="2345"/>
      <c r="L225" s="2345"/>
      <c r="M225" s="2345"/>
      <c r="N225" s="2345"/>
      <c r="O225" s="2345"/>
      <c r="P225" s="2345"/>
      <c r="Q225" s="2345"/>
      <c r="R225" s="2345"/>
      <c r="S225" s="2345"/>
      <c r="T225" s="2345"/>
      <c r="U225" s="2345"/>
      <c r="V225" s="2345"/>
      <c r="W225" s="2345"/>
      <c r="X225" s="2345"/>
      <c r="Y225" s="2345"/>
      <c r="Z225" s="2345"/>
      <c r="AA225" s="2345"/>
      <c r="AB225" s="234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5" t="s">
        <v>960</v>
      </c>
      <c r="F227" s="2345"/>
      <c r="G227" s="2345"/>
      <c r="H227" s="2345"/>
      <c r="I227" s="2345"/>
      <c r="J227" s="2345"/>
      <c r="K227" s="2345"/>
      <c r="L227" s="2345"/>
      <c r="M227" s="2345"/>
      <c r="N227" s="2345"/>
      <c r="O227" s="2345"/>
      <c r="P227" s="2345"/>
      <c r="Q227" s="2345"/>
      <c r="R227" s="2345"/>
      <c r="S227" s="2345"/>
      <c r="T227" s="2345"/>
      <c r="U227" s="2345"/>
      <c r="V227" s="2345"/>
      <c r="W227" s="2345"/>
      <c r="X227" s="2345"/>
      <c r="Y227" s="2345"/>
      <c r="Z227" s="2345"/>
      <c r="AA227" s="2345"/>
      <c r="AB227" s="2345"/>
      <c r="AC227" s="46"/>
      <c r="AD227" s="46"/>
      <c r="AF227" s="2354" t="s">
        <v>114</v>
      </c>
      <c r="AG227" s="2354"/>
      <c r="AH227" s="2354"/>
      <c r="AI227" s="2354"/>
      <c r="AJ227" s="2354"/>
      <c r="AK227" s="2354"/>
      <c r="AL227" s="2354"/>
      <c r="AM227" s="153"/>
      <c r="AN227" s="317"/>
      <c r="AT227" s="65"/>
      <c r="AU227" s="65"/>
      <c r="AV227" s="65"/>
      <c r="AW227" s="65"/>
      <c r="AX227" s="65"/>
      <c r="AY227" s="65"/>
      <c r="AZ227" s="65"/>
    </row>
    <row r="228" spans="1:82" s="16" customFormat="1">
      <c r="A228" s="28"/>
      <c r="B228" s="161"/>
      <c r="C228" s="187"/>
      <c r="D228" s="28"/>
      <c r="E228" s="2345"/>
      <c r="F228" s="2345"/>
      <c r="G228" s="2345"/>
      <c r="H228" s="2345"/>
      <c r="I228" s="2345"/>
      <c r="J228" s="2345"/>
      <c r="K228" s="2345"/>
      <c r="L228" s="2345"/>
      <c r="M228" s="2345"/>
      <c r="N228" s="2345"/>
      <c r="O228" s="2345"/>
      <c r="P228" s="2345"/>
      <c r="Q228" s="2345"/>
      <c r="R228" s="2345"/>
      <c r="S228" s="2345"/>
      <c r="T228" s="2345"/>
      <c r="U228" s="2345"/>
      <c r="V228" s="2345"/>
      <c r="W228" s="2345"/>
      <c r="X228" s="2345"/>
      <c r="Y228" s="2345"/>
      <c r="Z228" s="2345"/>
      <c r="AA228" s="2345"/>
      <c r="AB228" s="234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44" t="s">
        <v>135</v>
      </c>
      <c r="I230" s="234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5">
        <f>VLOOKUP($H$230,$AO$170:$AP$172,2,FALSE)</f>
        <v>0</v>
      </c>
      <c r="AK232" s="235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45" t="s">
        <v>1214</v>
      </c>
      <c r="F236" s="2345"/>
      <c r="G236" s="2345"/>
      <c r="H236" s="2345"/>
      <c r="I236" s="2345"/>
      <c r="J236" s="2345"/>
      <c r="K236" s="2345"/>
      <c r="L236" s="2345"/>
      <c r="M236" s="2345"/>
      <c r="N236" s="2345"/>
      <c r="O236" s="2345"/>
      <c r="P236" s="2345"/>
      <c r="Q236" s="2345"/>
      <c r="R236" s="2345"/>
      <c r="S236" s="2345"/>
      <c r="T236" s="2345"/>
      <c r="U236" s="2345"/>
      <c r="V236" s="2345"/>
      <c r="W236" s="2345"/>
      <c r="X236" s="2345"/>
      <c r="Y236" s="2345"/>
      <c r="Z236" s="2345"/>
      <c r="AA236" s="2345"/>
      <c r="AB236" s="2345"/>
      <c r="AC236" s="46"/>
      <c r="AD236" s="46"/>
      <c r="AF236" s="2354" t="s">
        <v>66</v>
      </c>
      <c r="AG236" s="2354"/>
      <c r="AH236" s="2354"/>
      <c r="AI236" s="2354"/>
      <c r="AJ236" s="2354"/>
      <c r="AK236" s="2354"/>
      <c r="AL236" s="2354"/>
      <c r="AM236" s="153"/>
      <c r="AN236" s="317"/>
      <c r="AT236" s="65"/>
      <c r="AU236" s="65"/>
      <c r="AV236" s="65"/>
      <c r="AW236" s="65"/>
      <c r="AX236" s="65"/>
      <c r="AY236" s="65"/>
      <c r="AZ236" s="65"/>
    </row>
    <row r="237" spans="1:82" s="16" customFormat="1">
      <c r="A237" s="28"/>
      <c r="B237" s="161"/>
      <c r="C237" s="187"/>
      <c r="D237" s="144"/>
      <c r="E237" s="2345"/>
      <c r="F237" s="2345"/>
      <c r="G237" s="2345"/>
      <c r="H237" s="2345"/>
      <c r="I237" s="2345"/>
      <c r="J237" s="2345"/>
      <c r="K237" s="2345"/>
      <c r="L237" s="2345"/>
      <c r="M237" s="2345"/>
      <c r="N237" s="2345"/>
      <c r="O237" s="2345"/>
      <c r="P237" s="2345"/>
      <c r="Q237" s="2345"/>
      <c r="R237" s="2345"/>
      <c r="S237" s="2345"/>
      <c r="T237" s="2345"/>
      <c r="U237" s="2345"/>
      <c r="V237" s="2345"/>
      <c r="W237" s="2345"/>
      <c r="X237" s="2345"/>
      <c r="Y237" s="2345"/>
      <c r="Z237" s="2345"/>
      <c r="AA237" s="2345"/>
      <c r="AB237" s="2345"/>
      <c r="AC237" s="46"/>
      <c r="AD237" s="46"/>
      <c r="AL237" s="153"/>
      <c r="AM237" s="153"/>
      <c r="AN237" s="317"/>
    </row>
    <row r="238" spans="1:82" s="50" customFormat="1" ht="12.75" customHeight="1">
      <c r="A238" s="28"/>
      <c r="B238" s="161"/>
      <c r="C238" s="187"/>
      <c r="D238" s="144"/>
      <c r="E238" s="2345"/>
      <c r="F238" s="2345"/>
      <c r="G238" s="2345"/>
      <c r="H238" s="2345"/>
      <c r="I238" s="2345"/>
      <c r="J238" s="2345"/>
      <c r="K238" s="2345"/>
      <c r="L238" s="2345"/>
      <c r="M238" s="2345"/>
      <c r="N238" s="2345"/>
      <c r="O238" s="2345"/>
      <c r="P238" s="2345"/>
      <c r="Q238" s="2345"/>
      <c r="R238" s="2345"/>
      <c r="S238" s="2345"/>
      <c r="T238" s="2345"/>
      <c r="U238" s="2345"/>
      <c r="V238" s="2345"/>
      <c r="W238" s="2345"/>
      <c r="X238" s="2345"/>
      <c r="Y238" s="2345"/>
      <c r="Z238" s="2345"/>
      <c r="AA238" s="2345"/>
      <c r="AB238" s="2345"/>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5" t="s">
        <v>1215</v>
      </c>
      <c r="F240" s="2345"/>
      <c r="G240" s="2345"/>
      <c r="H240" s="2345"/>
      <c r="I240" s="2345"/>
      <c r="J240" s="2345"/>
      <c r="K240" s="2345"/>
      <c r="L240" s="2345"/>
      <c r="M240" s="2345"/>
      <c r="N240" s="2345"/>
      <c r="O240" s="2345"/>
      <c r="P240" s="2345"/>
      <c r="Q240" s="2345"/>
      <c r="R240" s="2345"/>
      <c r="S240" s="2345"/>
      <c r="T240" s="2345"/>
      <c r="U240" s="2345"/>
      <c r="V240" s="2345"/>
      <c r="W240" s="2345"/>
      <c r="X240" s="2345"/>
      <c r="Y240" s="2345"/>
      <c r="Z240" s="2345"/>
      <c r="AA240" s="2345"/>
      <c r="AB240" s="522"/>
      <c r="AC240" s="46"/>
      <c r="AD240" s="46"/>
      <c r="AF240" s="2354" t="s">
        <v>114</v>
      </c>
      <c r="AG240" s="2354"/>
      <c r="AH240" s="2354"/>
      <c r="AI240" s="2354"/>
      <c r="AJ240" s="2354"/>
      <c r="AK240" s="2354"/>
      <c r="AL240" s="2354"/>
      <c r="AM240" s="153"/>
      <c r="AN240" s="317"/>
      <c r="AO240" s="132"/>
      <c r="AP240" s="65"/>
    </row>
    <row r="241" spans="1:74" s="16" customFormat="1">
      <c r="A241" s="28"/>
      <c r="B241" s="74"/>
      <c r="C241" s="77"/>
      <c r="D241" s="28"/>
      <c r="E241" s="2345"/>
      <c r="F241" s="2345"/>
      <c r="G241" s="2345"/>
      <c r="H241" s="2345"/>
      <c r="I241" s="2345"/>
      <c r="J241" s="2345"/>
      <c r="K241" s="2345"/>
      <c r="L241" s="2345"/>
      <c r="M241" s="2345"/>
      <c r="N241" s="2345"/>
      <c r="O241" s="2345"/>
      <c r="P241" s="2345"/>
      <c r="Q241" s="2345"/>
      <c r="R241" s="2345"/>
      <c r="S241" s="2345"/>
      <c r="T241" s="2345"/>
      <c r="U241" s="2345"/>
      <c r="V241" s="2345"/>
      <c r="W241" s="2345"/>
      <c r="X241" s="2345"/>
      <c r="Y241" s="2345"/>
      <c r="Z241" s="2345"/>
      <c r="AA241" s="2345"/>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5"/>
      <c r="F242" s="2345"/>
      <c r="G242" s="2345"/>
      <c r="H242" s="2345"/>
      <c r="I242" s="2345"/>
      <c r="J242" s="2345"/>
      <c r="K242" s="2345"/>
      <c r="L242" s="2345"/>
      <c r="M242" s="2345"/>
      <c r="N242" s="2345"/>
      <c r="O242" s="2345"/>
      <c r="P242" s="2345"/>
      <c r="Q242" s="2345"/>
      <c r="R242" s="2345"/>
      <c r="S242" s="2345"/>
      <c r="T242" s="2345"/>
      <c r="U242" s="2345"/>
      <c r="V242" s="2345"/>
      <c r="W242" s="2345"/>
      <c r="X242" s="2345"/>
      <c r="Y242" s="2345"/>
      <c r="Z242" s="2345"/>
      <c r="AA242" s="2345"/>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44" t="s">
        <v>638</v>
      </c>
      <c r="I244" s="234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55">
        <f>VLOOKUP($H$244,$AO$183:$AP$185,2,FALSE)</f>
        <v>3</v>
      </c>
      <c r="AK246" s="2357"/>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45" t="s">
        <v>352</v>
      </c>
      <c r="F250" s="2345"/>
      <c r="G250" s="2345"/>
      <c r="H250" s="2345"/>
      <c r="I250" s="2345"/>
      <c r="J250" s="2345"/>
      <c r="K250" s="2345"/>
      <c r="L250" s="2345"/>
      <c r="M250" s="2345"/>
      <c r="N250" s="2345"/>
      <c r="O250" s="2345"/>
      <c r="P250" s="2345"/>
      <c r="Q250" s="2345"/>
      <c r="R250" s="2345"/>
      <c r="S250" s="2345"/>
      <c r="T250" s="2345"/>
      <c r="U250" s="2345"/>
      <c r="V250" s="2345"/>
      <c r="W250" s="2345"/>
      <c r="X250" s="2345"/>
      <c r="Y250" s="2345"/>
      <c r="Z250" s="2345"/>
      <c r="AA250" s="2345"/>
      <c r="AB250" s="2345"/>
      <c r="AC250" s="46"/>
      <c r="AD250" s="46"/>
      <c r="AF250" s="2354" t="s">
        <v>114</v>
      </c>
      <c r="AG250" s="2354"/>
      <c r="AH250" s="2354"/>
      <c r="AI250" s="2354"/>
      <c r="AJ250" s="2354"/>
      <c r="AK250" s="2354"/>
      <c r="AL250" s="2354"/>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5"/>
      <c r="F251" s="2345"/>
      <c r="G251" s="2345"/>
      <c r="H251" s="2345"/>
      <c r="I251" s="2345"/>
      <c r="J251" s="2345"/>
      <c r="K251" s="2345"/>
      <c r="L251" s="2345"/>
      <c r="M251" s="2345"/>
      <c r="N251" s="2345"/>
      <c r="O251" s="2345"/>
      <c r="P251" s="2345"/>
      <c r="Q251" s="2345"/>
      <c r="R251" s="2345"/>
      <c r="S251" s="2345"/>
      <c r="T251" s="2345"/>
      <c r="U251" s="2345"/>
      <c r="V251" s="2345"/>
      <c r="W251" s="2345"/>
      <c r="X251" s="2345"/>
      <c r="Y251" s="2345"/>
      <c r="Z251" s="2345"/>
      <c r="AA251" s="2345"/>
      <c r="AB251" s="2345"/>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5" t="s">
        <v>1358</v>
      </c>
      <c r="F253" s="2345"/>
      <c r="G253" s="2345"/>
      <c r="H253" s="2345"/>
      <c r="I253" s="2345"/>
      <c r="J253" s="2345"/>
      <c r="K253" s="2345"/>
      <c r="L253" s="2345"/>
      <c r="M253" s="2345"/>
      <c r="N253" s="2345"/>
      <c r="O253" s="2345"/>
      <c r="P253" s="2345"/>
      <c r="Q253" s="2345"/>
      <c r="R253" s="2345"/>
      <c r="S253" s="2345"/>
      <c r="T253" s="2345"/>
      <c r="U253" s="2345"/>
      <c r="V253" s="2345"/>
      <c r="W253" s="2345"/>
      <c r="X253" s="2345"/>
      <c r="Y253" s="2345"/>
      <c r="Z253" s="2345"/>
      <c r="AA253" s="2345"/>
      <c r="AB253" s="2345"/>
      <c r="AC253" s="46"/>
      <c r="AD253" s="46"/>
      <c r="AF253" s="2354" t="s">
        <v>353</v>
      </c>
      <c r="AG253" s="2354"/>
      <c r="AH253" s="2354"/>
      <c r="AI253" s="2354"/>
      <c r="AJ253" s="2354"/>
      <c r="AK253" s="2354"/>
      <c r="AL253" s="2354"/>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5"/>
      <c r="F254" s="2345"/>
      <c r="G254" s="2345"/>
      <c r="H254" s="2345"/>
      <c r="I254" s="2345"/>
      <c r="J254" s="2345"/>
      <c r="K254" s="2345"/>
      <c r="L254" s="2345"/>
      <c r="M254" s="2345"/>
      <c r="N254" s="2345"/>
      <c r="O254" s="2345"/>
      <c r="P254" s="2345"/>
      <c r="Q254" s="2345"/>
      <c r="R254" s="2345"/>
      <c r="S254" s="2345"/>
      <c r="T254" s="2345"/>
      <c r="U254" s="2345"/>
      <c r="V254" s="2345"/>
      <c r="W254" s="2345"/>
      <c r="X254" s="2345"/>
      <c r="Y254" s="2345"/>
      <c r="Z254" s="2345"/>
      <c r="AA254" s="2345"/>
      <c r="AB254" s="2345"/>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44" t="s">
        <v>638</v>
      </c>
      <c r="I256" s="234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5">
        <f>VLOOKUP($H$256,$AO$196:$AP$198,2,FALSE)</f>
        <v>2</v>
      </c>
      <c r="AK258" s="2357"/>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45" t="s">
        <v>2158</v>
      </c>
      <c r="F262" s="2345"/>
      <c r="G262" s="2345"/>
      <c r="H262" s="2345"/>
      <c r="I262" s="2345"/>
      <c r="J262" s="2345"/>
      <c r="K262" s="2345"/>
      <c r="L262" s="2345"/>
      <c r="M262" s="2345"/>
      <c r="N262" s="2345"/>
      <c r="O262" s="2345"/>
      <c r="P262" s="2345"/>
      <c r="Q262" s="2345"/>
      <c r="R262" s="2345"/>
      <c r="S262" s="2345"/>
      <c r="T262" s="2345"/>
      <c r="U262" s="2345"/>
      <c r="V262" s="2345"/>
      <c r="W262" s="2345"/>
      <c r="X262" s="2345"/>
      <c r="Y262" s="2345"/>
      <c r="Z262" s="2345"/>
      <c r="AA262" s="2345"/>
      <c r="AB262" s="2345"/>
      <c r="AC262" s="2345"/>
      <c r="AD262" s="2345"/>
      <c r="AF262" s="2354" t="s">
        <v>114</v>
      </c>
      <c r="AG262" s="2354"/>
      <c r="AH262" s="2354"/>
      <c r="AI262" s="2354"/>
      <c r="AJ262" s="2354"/>
      <c r="AK262" s="2354"/>
      <c r="AL262" s="2354"/>
      <c r="AM262" s="175"/>
      <c r="AN262" s="317"/>
    </row>
    <row r="263" spans="1:74" s="16" customFormat="1">
      <c r="A263" s="28"/>
      <c r="B263" s="173"/>
      <c r="C263" s="218"/>
      <c r="D263" s="144"/>
      <c r="E263" s="2345"/>
      <c r="F263" s="2345"/>
      <c r="G263" s="2345"/>
      <c r="H263" s="2345"/>
      <c r="I263" s="2345"/>
      <c r="J263" s="2345"/>
      <c r="K263" s="2345"/>
      <c r="L263" s="2345"/>
      <c r="M263" s="2345"/>
      <c r="N263" s="2345"/>
      <c r="O263" s="2345"/>
      <c r="P263" s="2345"/>
      <c r="Q263" s="2345"/>
      <c r="R263" s="2345"/>
      <c r="S263" s="2345"/>
      <c r="T263" s="2345"/>
      <c r="U263" s="2345"/>
      <c r="V263" s="2345"/>
      <c r="W263" s="2345"/>
      <c r="X263" s="2345"/>
      <c r="Y263" s="2345"/>
      <c r="Z263" s="2345"/>
      <c r="AA263" s="2345"/>
      <c r="AB263" s="2345"/>
      <c r="AC263" s="2345"/>
      <c r="AD263" s="2345"/>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5"/>
      <c r="F264" s="2345"/>
      <c r="G264" s="2345"/>
      <c r="H264" s="2345"/>
      <c r="I264" s="2345"/>
      <c r="J264" s="2345"/>
      <c r="K264" s="2345"/>
      <c r="L264" s="2345"/>
      <c r="M264" s="2345"/>
      <c r="N264" s="2345"/>
      <c r="O264" s="2345"/>
      <c r="P264" s="2345"/>
      <c r="Q264" s="2345"/>
      <c r="R264" s="2345"/>
      <c r="S264" s="2345"/>
      <c r="T264" s="2345"/>
      <c r="U264" s="2345"/>
      <c r="V264" s="2345"/>
      <c r="W264" s="2345"/>
      <c r="X264" s="2345"/>
      <c r="Y264" s="2345"/>
      <c r="Z264" s="2345"/>
      <c r="AA264" s="2345"/>
      <c r="AB264" s="2345"/>
      <c r="AC264" s="2345"/>
      <c r="AD264" s="2345"/>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61" t="s">
        <v>2159</v>
      </c>
      <c r="F266" s="2561"/>
      <c r="G266" s="2561"/>
      <c r="H266" s="2561"/>
      <c r="I266" s="2561"/>
      <c r="J266" s="2561"/>
      <c r="K266" s="2561"/>
      <c r="L266" s="2561"/>
      <c r="M266" s="2561"/>
      <c r="N266" s="2561"/>
      <c r="O266" s="2561"/>
      <c r="P266" s="2561"/>
      <c r="Q266" s="2561"/>
      <c r="R266" s="2561"/>
      <c r="S266" s="2561"/>
      <c r="T266" s="2561"/>
      <c r="U266" s="2561"/>
      <c r="V266" s="2561"/>
      <c r="W266" s="2561"/>
      <c r="X266" s="2561"/>
      <c r="Y266" s="2561"/>
      <c r="Z266" s="2561"/>
      <c r="AA266" s="2561"/>
      <c r="AB266" s="2561"/>
      <c r="AC266" s="2561"/>
      <c r="AD266" s="2561"/>
      <c r="AF266" s="2354" t="s">
        <v>66</v>
      </c>
      <c r="AG266" s="2354"/>
      <c r="AH266" s="2354"/>
      <c r="AI266" s="2354"/>
      <c r="AJ266" s="2354"/>
      <c r="AK266" s="2354"/>
      <c r="AL266" s="2354"/>
      <c r="AM266" s="175"/>
      <c r="AN266" s="439"/>
    </row>
    <row r="267" spans="1:74" s="46" customFormat="1" ht="12.75" customHeight="1">
      <c r="A267" s="28"/>
      <c r="B267" s="173"/>
      <c r="C267" s="218"/>
      <c r="D267" s="144"/>
      <c r="E267" s="2561"/>
      <c r="F267" s="2561"/>
      <c r="G267" s="2561"/>
      <c r="H267" s="2561"/>
      <c r="I267" s="2561"/>
      <c r="J267" s="2561"/>
      <c r="K267" s="2561"/>
      <c r="L267" s="2561"/>
      <c r="M267" s="2561"/>
      <c r="N267" s="2561"/>
      <c r="O267" s="2561"/>
      <c r="P267" s="2561"/>
      <c r="Q267" s="2561"/>
      <c r="R267" s="2561"/>
      <c r="S267" s="2561"/>
      <c r="T267" s="2561"/>
      <c r="U267" s="2561"/>
      <c r="V267" s="2561"/>
      <c r="W267" s="2561"/>
      <c r="X267" s="2561"/>
      <c r="Y267" s="2561"/>
      <c r="Z267" s="2561"/>
      <c r="AA267" s="2561"/>
      <c r="AB267" s="2561"/>
      <c r="AC267" s="2561"/>
      <c r="AD267" s="2561"/>
      <c r="AE267" s="179"/>
      <c r="AF267" s="179"/>
      <c r="AG267" s="179"/>
      <c r="AH267" s="179"/>
      <c r="AI267" s="179"/>
      <c r="AJ267" s="179"/>
      <c r="AK267" s="179"/>
      <c r="AL267" s="1253"/>
      <c r="AM267" s="175"/>
      <c r="AN267" s="439"/>
    </row>
    <row r="268" spans="1:74" s="46" customFormat="1" ht="12.75" customHeight="1">
      <c r="A268" s="28"/>
      <c r="B268" s="173"/>
      <c r="C268" s="218"/>
      <c r="D268" s="144"/>
      <c r="E268" s="2561"/>
      <c r="F268" s="2561"/>
      <c r="G268" s="2561"/>
      <c r="H268" s="2561"/>
      <c r="I268" s="2561"/>
      <c r="J268" s="2561"/>
      <c r="K268" s="2561"/>
      <c r="L268" s="2561"/>
      <c r="M268" s="2561"/>
      <c r="N268" s="2561"/>
      <c r="O268" s="2561"/>
      <c r="P268" s="2561"/>
      <c r="Q268" s="2561"/>
      <c r="R268" s="2561"/>
      <c r="S268" s="2561"/>
      <c r="T268" s="2561"/>
      <c r="U268" s="2561"/>
      <c r="V268" s="2561"/>
      <c r="W268" s="2561"/>
      <c r="X268" s="2561"/>
      <c r="Y268" s="2561"/>
      <c r="Z268" s="2561"/>
      <c r="AA268" s="2561"/>
      <c r="AB268" s="2561"/>
      <c r="AC268" s="2561"/>
      <c r="AD268" s="2561"/>
      <c r="AE268" s="179"/>
      <c r="AF268" s="179"/>
      <c r="AG268" s="179"/>
      <c r="AH268" s="179"/>
      <c r="AI268" s="179"/>
      <c r="AJ268" s="179"/>
      <c r="AK268" s="179"/>
      <c r="AL268" s="1253"/>
      <c r="AM268" s="175"/>
      <c r="AN268" s="439"/>
    </row>
    <row r="269" spans="1:74" s="46" customFormat="1" ht="12.75" customHeight="1">
      <c r="A269" s="28"/>
      <c r="B269" s="173"/>
      <c r="C269" s="218"/>
      <c r="D269" s="144"/>
      <c r="E269" s="2561"/>
      <c r="F269" s="2561"/>
      <c r="G269" s="2561"/>
      <c r="H269" s="2561"/>
      <c r="I269" s="2561"/>
      <c r="J269" s="2561"/>
      <c r="K269" s="2561"/>
      <c r="L269" s="2561"/>
      <c r="M269" s="2561"/>
      <c r="N269" s="2561"/>
      <c r="O269" s="2561"/>
      <c r="P269" s="2561"/>
      <c r="Q269" s="2561"/>
      <c r="R269" s="2561"/>
      <c r="S269" s="2561"/>
      <c r="T269" s="2561"/>
      <c r="U269" s="2561"/>
      <c r="V269" s="2561"/>
      <c r="W269" s="2561"/>
      <c r="X269" s="2561"/>
      <c r="Y269" s="2561"/>
      <c r="Z269" s="2561"/>
      <c r="AA269" s="2561"/>
      <c r="AB269" s="2561"/>
      <c r="AC269" s="2561"/>
      <c r="AD269" s="2561"/>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44" t="s">
        <v>135</v>
      </c>
      <c r="I271" s="234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5">
        <f>VLOOKUP($H$271,$AP$216:$AQ$218,2,FALSE)</f>
        <v>0</v>
      </c>
      <c r="AK273" s="235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45" t="s">
        <v>2157</v>
      </c>
      <c r="F277" s="2345"/>
      <c r="G277" s="2345"/>
      <c r="H277" s="2345"/>
      <c r="I277" s="2345"/>
      <c r="J277" s="2345"/>
      <c r="K277" s="2345"/>
      <c r="L277" s="2345"/>
      <c r="M277" s="2345"/>
      <c r="N277" s="2345"/>
      <c r="O277" s="2345"/>
      <c r="P277" s="2345"/>
      <c r="Q277" s="2345"/>
      <c r="R277" s="2345"/>
      <c r="S277" s="2345"/>
      <c r="T277" s="2345"/>
      <c r="U277" s="2345"/>
      <c r="V277" s="2345"/>
      <c r="W277" s="2345"/>
      <c r="X277" s="2345"/>
      <c r="Y277" s="2345"/>
      <c r="Z277" s="2345"/>
      <c r="AA277" s="2345"/>
      <c r="AB277" s="2345"/>
      <c r="AC277" s="2345"/>
      <c r="AD277" s="2345"/>
      <c r="AF277" s="2354" t="s">
        <v>1787</v>
      </c>
      <c r="AG277" s="2354"/>
      <c r="AH277" s="2354"/>
      <c r="AI277" s="2354"/>
      <c r="AJ277" s="2354"/>
      <c r="AK277" s="2354"/>
      <c r="AL277" s="2354"/>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45"/>
      <c r="F278" s="2345"/>
      <c r="G278" s="2345"/>
      <c r="H278" s="2345"/>
      <c r="I278" s="2345"/>
      <c r="J278" s="2345"/>
      <c r="K278" s="2345"/>
      <c r="L278" s="2345"/>
      <c r="M278" s="2345"/>
      <c r="N278" s="2345"/>
      <c r="O278" s="2345"/>
      <c r="P278" s="2345"/>
      <c r="Q278" s="2345"/>
      <c r="R278" s="2345"/>
      <c r="S278" s="2345"/>
      <c r="T278" s="2345"/>
      <c r="U278" s="2345"/>
      <c r="V278" s="2345"/>
      <c r="W278" s="2345"/>
      <c r="X278" s="2345"/>
      <c r="Y278" s="2345"/>
      <c r="Z278" s="2345"/>
      <c r="AA278" s="2345"/>
      <c r="AB278" s="2345"/>
      <c r="AC278" s="2345"/>
      <c r="AD278" s="2345"/>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5"/>
      <c r="F279" s="2345"/>
      <c r="G279" s="2345"/>
      <c r="H279" s="2345"/>
      <c r="I279" s="2345"/>
      <c r="J279" s="2345"/>
      <c r="K279" s="2345"/>
      <c r="L279" s="2345"/>
      <c r="M279" s="2345"/>
      <c r="N279" s="2345"/>
      <c r="O279" s="2345"/>
      <c r="P279" s="2345"/>
      <c r="Q279" s="2345"/>
      <c r="R279" s="2345"/>
      <c r="S279" s="2345"/>
      <c r="T279" s="2345"/>
      <c r="U279" s="2345"/>
      <c r="V279" s="2345"/>
      <c r="W279" s="2345"/>
      <c r="X279" s="2345"/>
      <c r="Y279" s="2345"/>
      <c r="Z279" s="2345"/>
      <c r="AA279" s="2345"/>
      <c r="AB279" s="2345"/>
      <c r="AC279" s="2345"/>
      <c r="AD279" s="2345"/>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44" t="s">
        <v>135</v>
      </c>
      <c r="I281" s="234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55">
        <f>VLOOKUP($H$281,$AO$276:$AP$277,2,FALSE)</f>
        <v>0</v>
      </c>
      <c r="AK283" s="2357"/>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55">
        <f>$AJ$129+$AJ$144+$AJ$156+$AJ$189+$AJ$208+$AJ$220+$AJ$232+$AJ$246+$AJ$258+$AJ$273+AJ283</f>
        <v>20</v>
      </c>
      <c r="AL285" s="2356"/>
      <c r="AM285" s="235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4" t="s">
        <v>2420</v>
      </c>
      <c r="I289" s="1664"/>
      <c r="J289" s="1664"/>
      <c r="K289" s="1664"/>
      <c r="L289" s="1664"/>
      <c r="M289" s="1664"/>
      <c r="N289" s="1664"/>
      <c r="O289" s="1664"/>
      <c r="P289" s="1664"/>
      <c r="Q289" s="1664"/>
      <c r="R289" s="1664"/>
      <c r="S289" s="16"/>
      <c r="T289" s="72" t="s">
        <v>100</v>
      </c>
      <c r="U289" s="16"/>
      <c r="V289" s="72"/>
      <c r="W289" s="72"/>
      <c r="X289" s="72"/>
      <c r="Y289" s="72"/>
      <c r="Z289" s="16"/>
      <c r="AA289" s="1664" t="s">
        <v>2437</v>
      </c>
      <c r="AB289" s="1664"/>
      <c r="AC289" s="1664"/>
      <c r="AD289" s="1664"/>
      <c r="AE289" s="1664"/>
      <c r="AF289" s="1664"/>
      <c r="AG289" s="1664"/>
      <c r="AH289" s="1664"/>
      <c r="AI289" s="1664"/>
      <c r="AJ289" s="1664"/>
      <c r="AK289" s="1664"/>
      <c r="AL289" s="25"/>
      <c r="AM289" s="137"/>
      <c r="AN289" s="439"/>
    </row>
    <row r="290" spans="1:41" s="46" customFormat="1" ht="12.75" customHeight="1">
      <c r="A290" s="153"/>
      <c r="B290" s="72" t="s">
        <v>761</v>
      </c>
      <c r="C290" s="72"/>
      <c r="D290" s="72"/>
      <c r="E290" s="72"/>
      <c r="F290" s="72"/>
      <c r="G290" s="16"/>
      <c r="H290" s="2583" t="s">
        <v>2421</v>
      </c>
      <c r="I290" s="2583"/>
      <c r="J290" s="2583"/>
      <c r="K290" s="2583"/>
      <c r="L290" s="2583"/>
      <c r="M290" s="2583"/>
      <c r="N290" s="2583"/>
      <c r="O290" s="2583"/>
      <c r="P290" s="2583"/>
      <c r="Q290" s="2583"/>
      <c r="R290" s="2583"/>
      <c r="S290" s="16"/>
      <c r="T290" s="72" t="s">
        <v>761</v>
      </c>
      <c r="U290" s="16"/>
      <c r="V290" s="72"/>
      <c r="W290" s="72"/>
      <c r="X290" s="72"/>
      <c r="Y290" s="72"/>
      <c r="Z290" s="16"/>
      <c r="AA290" s="1676" t="s">
        <v>2438</v>
      </c>
      <c r="AB290" s="1676"/>
      <c r="AC290" s="1676"/>
      <c r="AD290" s="1676"/>
      <c r="AE290" s="1676"/>
      <c r="AF290" s="1676"/>
      <c r="AG290" s="1676"/>
      <c r="AH290" s="1676"/>
      <c r="AI290" s="1676"/>
      <c r="AJ290" s="1676"/>
      <c r="AK290" s="1676"/>
      <c r="AL290" s="25"/>
      <c r="AM290" s="137"/>
      <c r="AN290" s="439"/>
    </row>
    <row r="291" spans="1:41" s="46" customFormat="1" ht="12.75" customHeight="1">
      <c r="A291" s="153"/>
      <c r="B291" s="72" t="s">
        <v>110</v>
      </c>
      <c r="C291" s="72"/>
      <c r="D291" s="72"/>
      <c r="E291" s="72"/>
      <c r="F291" s="72"/>
      <c r="G291" s="16"/>
      <c r="H291" s="1701" t="s">
        <v>2422</v>
      </c>
      <c r="I291" s="1701"/>
      <c r="J291" s="1701"/>
      <c r="K291" s="1701"/>
      <c r="L291" s="1701"/>
      <c r="M291" s="1701"/>
      <c r="N291" s="1701"/>
      <c r="O291" s="1701"/>
      <c r="P291" s="1701"/>
      <c r="Q291" s="1701"/>
      <c r="R291" s="1701"/>
      <c r="S291" s="16"/>
      <c r="T291" s="72" t="s">
        <v>110</v>
      </c>
      <c r="U291" s="16"/>
      <c r="V291" s="72"/>
      <c r="W291" s="72"/>
      <c r="X291" s="72"/>
      <c r="Y291" s="72"/>
      <c r="Z291" s="16"/>
      <c r="AA291" s="1676" t="s">
        <v>2433</v>
      </c>
      <c r="AB291" s="1676"/>
      <c r="AC291" s="1676"/>
      <c r="AD291" s="1676"/>
      <c r="AE291" s="1676"/>
      <c r="AF291" s="1676"/>
      <c r="AG291" s="1676"/>
      <c r="AH291" s="1676"/>
      <c r="AI291" s="1676"/>
      <c r="AJ291" s="1676"/>
      <c r="AK291" s="1676"/>
      <c r="AL291" s="25"/>
      <c r="AM291" s="137"/>
      <c r="AN291" s="439"/>
      <c r="AO291" s="331"/>
    </row>
    <row r="292" spans="1:41" s="46" customFormat="1" ht="12.75" customHeight="1">
      <c r="A292" s="153"/>
      <c r="B292" s="72" t="s">
        <v>415</v>
      </c>
      <c r="C292" s="72"/>
      <c r="D292" s="72"/>
      <c r="E292" s="72"/>
      <c r="F292" s="72"/>
      <c r="G292" s="16"/>
      <c r="H292" s="1676" t="s">
        <v>2423</v>
      </c>
      <c r="I292" s="1676"/>
      <c r="J292" s="1676"/>
      <c r="K292" s="1676"/>
      <c r="L292" s="1676"/>
      <c r="M292" s="1676"/>
      <c r="N292" s="1676"/>
      <c r="O292" s="1676"/>
      <c r="P292" s="1676"/>
      <c r="Q292" s="1676"/>
      <c r="R292" s="1676"/>
      <c r="S292" s="16"/>
      <c r="T292" s="72" t="s">
        <v>415</v>
      </c>
      <c r="U292" s="16"/>
      <c r="V292" s="72"/>
      <c r="W292" s="72"/>
      <c r="X292" s="72"/>
      <c r="Y292" s="72"/>
      <c r="Z292" s="16"/>
      <c r="AA292" s="1676" t="s">
        <v>2439</v>
      </c>
      <c r="AB292" s="1676"/>
      <c r="AC292" s="1676"/>
      <c r="AD292" s="1676"/>
      <c r="AE292" s="1676"/>
      <c r="AF292" s="1676"/>
      <c r="AG292" s="1676"/>
      <c r="AH292" s="1676"/>
      <c r="AI292" s="1676"/>
      <c r="AJ292" s="1676"/>
      <c r="AK292" s="1676"/>
      <c r="AL292" s="25"/>
      <c r="AM292" s="137"/>
      <c r="AN292" s="439"/>
      <c r="AO292" s="331"/>
    </row>
    <row r="293" spans="1:41" s="46" customFormat="1" ht="12.75" customHeight="1">
      <c r="A293" s="153"/>
      <c r="B293" s="72" t="s">
        <v>416</v>
      </c>
      <c r="C293" s="72"/>
      <c r="D293" s="72"/>
      <c r="E293" s="72"/>
      <c r="F293" s="72"/>
      <c r="G293" s="72"/>
      <c r="H293" s="1702">
        <v>9252265754</v>
      </c>
      <c r="I293" s="1702"/>
      <c r="J293" s="1702"/>
      <c r="K293" s="1702"/>
      <c r="L293" s="1702"/>
      <c r="M293" s="1702"/>
      <c r="N293" s="8" t="s">
        <v>892</v>
      </c>
      <c r="O293" s="8"/>
      <c r="P293" s="1699"/>
      <c r="Q293" s="1699"/>
      <c r="R293" s="1699"/>
      <c r="S293" s="72"/>
      <c r="T293" s="72" t="s">
        <v>416</v>
      </c>
      <c r="U293" s="16"/>
      <c r="V293" s="72"/>
      <c r="W293" s="72"/>
      <c r="X293" s="72"/>
      <c r="Y293" s="72"/>
      <c r="Z293" s="16"/>
      <c r="AA293" s="1702">
        <v>7077784380</v>
      </c>
      <c r="AB293" s="1702"/>
      <c r="AC293" s="1702"/>
      <c r="AD293" s="1702"/>
      <c r="AE293" s="1702"/>
      <c r="AF293" s="1702"/>
      <c r="AG293" s="8" t="s">
        <v>892</v>
      </c>
      <c r="AH293" s="8"/>
      <c r="AI293" s="1699"/>
      <c r="AJ293" s="1699"/>
      <c r="AK293" s="1699"/>
      <c r="AL293" s="25"/>
      <c r="AM293" s="137"/>
      <c r="AN293" s="439"/>
      <c r="AO293" s="331"/>
    </row>
    <row r="294" spans="1:41" s="46" customFormat="1" ht="12.75" customHeight="1">
      <c r="A294" s="153"/>
      <c r="B294" s="72" t="s">
        <v>99</v>
      </c>
      <c r="C294" s="72"/>
      <c r="D294" s="72"/>
      <c r="E294" s="72"/>
      <c r="F294" s="72"/>
      <c r="G294" s="72"/>
      <c r="H294" s="1676" t="s">
        <v>385</v>
      </c>
      <c r="I294" s="1676"/>
      <c r="J294" s="1676"/>
      <c r="K294" s="1676"/>
      <c r="L294" s="1676"/>
      <c r="M294" s="1676"/>
      <c r="N294" s="1676"/>
      <c r="O294" s="1676"/>
      <c r="P294" s="1676"/>
      <c r="Q294" s="1676"/>
      <c r="R294" s="1676"/>
      <c r="S294" s="72"/>
      <c r="T294" s="72" t="s">
        <v>99</v>
      </c>
      <c r="U294" s="16"/>
      <c r="V294" s="72"/>
      <c r="W294" s="72"/>
      <c r="X294" s="72"/>
      <c r="Y294" s="72"/>
      <c r="Z294" s="16"/>
      <c r="AA294" s="1676" t="s">
        <v>103</v>
      </c>
      <c r="AB294" s="1676"/>
      <c r="AC294" s="1676"/>
      <c r="AD294" s="1676"/>
      <c r="AE294" s="1676"/>
      <c r="AF294" s="1676"/>
      <c r="AG294" s="1676"/>
      <c r="AH294" s="1676"/>
      <c r="AI294" s="1676"/>
      <c r="AJ294" s="1676"/>
      <c r="AK294" s="1676"/>
      <c r="AL294" s="25"/>
      <c r="AM294" s="137"/>
      <c r="AN294" s="439"/>
      <c r="AO294" s="331"/>
    </row>
    <row r="295" spans="1:41" s="46" customFormat="1" ht="12.75" customHeight="1">
      <c r="A295" s="153"/>
      <c r="B295" s="72" t="s">
        <v>101</v>
      </c>
      <c r="C295" s="72"/>
      <c r="D295" s="72"/>
      <c r="E295" s="72"/>
      <c r="F295" s="72"/>
      <c r="G295" s="72"/>
      <c r="H295" s="1676" t="s">
        <v>2424</v>
      </c>
      <c r="I295" s="1676"/>
      <c r="J295" s="1676"/>
      <c r="K295" s="1676"/>
      <c r="L295" s="1676"/>
      <c r="M295" s="1676"/>
      <c r="N295" s="1676"/>
      <c r="O295" s="1676"/>
      <c r="P295" s="1676"/>
      <c r="Q295" s="1676"/>
      <c r="R295" s="1676"/>
      <c r="S295" s="72"/>
      <c r="T295" s="72" t="s">
        <v>101</v>
      </c>
      <c r="U295" s="16"/>
      <c r="V295" s="72"/>
      <c r="W295" s="72"/>
      <c r="X295" s="72"/>
      <c r="Y295" s="72"/>
      <c r="Z295" s="16"/>
      <c r="AA295" s="1676" t="s">
        <v>2440</v>
      </c>
      <c r="AB295" s="1676"/>
      <c r="AC295" s="1676"/>
      <c r="AD295" s="1676"/>
      <c r="AE295" s="1676"/>
      <c r="AF295" s="1676"/>
      <c r="AG295" s="1676"/>
      <c r="AH295" s="1676"/>
      <c r="AI295" s="1676"/>
      <c r="AJ295" s="1676"/>
      <c r="AK295" s="1676"/>
      <c r="AL295" s="25"/>
      <c r="AM295" s="137"/>
      <c r="AN295" s="439"/>
    </row>
    <row r="296" spans="1:41" s="137" customFormat="1" ht="12.75" customHeight="1">
      <c r="A296" s="153"/>
      <c r="B296" s="72" t="s">
        <v>112</v>
      </c>
      <c r="C296" s="72"/>
      <c r="D296" s="72"/>
      <c r="E296" s="72"/>
      <c r="F296" s="72"/>
      <c r="G296" s="72"/>
      <c r="H296" s="2389" t="s">
        <v>2425</v>
      </c>
      <c r="I296" s="2389"/>
      <c r="J296" s="2389"/>
      <c r="K296" s="2389"/>
      <c r="L296" s="2389"/>
      <c r="M296" s="2389"/>
      <c r="N296" s="2389"/>
      <c r="O296" s="2389"/>
      <c r="P296" s="2389"/>
      <c r="Q296" s="2389"/>
      <c r="R296" s="2389"/>
      <c r="S296" s="72"/>
      <c r="T296" s="72" t="s">
        <v>112</v>
      </c>
      <c r="U296" s="72"/>
      <c r="V296" s="72"/>
      <c r="W296" s="72"/>
      <c r="X296" s="72"/>
      <c r="Y296" s="72"/>
      <c r="Z296" s="18"/>
      <c r="AA296" s="2389" t="s">
        <v>2441</v>
      </c>
      <c r="AB296" s="2389"/>
      <c r="AC296" s="2389"/>
      <c r="AD296" s="2389"/>
      <c r="AE296" s="2389"/>
      <c r="AF296" s="2389"/>
      <c r="AG296" s="2389"/>
      <c r="AH296" s="2389"/>
      <c r="AI296" s="2389"/>
      <c r="AJ296" s="2389"/>
      <c r="AK296" s="2389"/>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0" t="s">
        <v>2426</v>
      </c>
      <c r="I298" s="1664"/>
      <c r="J298" s="1664"/>
      <c r="K298" s="1664"/>
      <c r="L298" s="1664"/>
      <c r="M298" s="1664"/>
      <c r="N298" s="1664"/>
      <c r="O298" s="1664"/>
      <c r="P298" s="1664"/>
      <c r="Q298" s="1664"/>
      <c r="R298" s="1664"/>
      <c r="S298" s="16"/>
      <c r="T298" s="72" t="s">
        <v>100</v>
      </c>
      <c r="U298" s="16"/>
      <c r="V298" s="72"/>
      <c r="W298" s="72"/>
      <c r="X298" s="72"/>
      <c r="Y298" s="72"/>
      <c r="Z298" s="16"/>
      <c r="AA298" s="1664" t="s">
        <v>2442</v>
      </c>
      <c r="AB298" s="1664"/>
      <c r="AC298" s="1664"/>
      <c r="AD298" s="1664"/>
      <c r="AE298" s="1664"/>
      <c r="AF298" s="1664"/>
      <c r="AG298" s="1664"/>
      <c r="AH298" s="1664"/>
      <c r="AI298" s="1664"/>
      <c r="AJ298" s="1664"/>
      <c r="AK298" s="1664"/>
      <c r="AL298" s="25"/>
      <c r="AM298" s="137"/>
      <c r="AN298" s="439"/>
    </row>
    <row r="299" spans="1:41" s="205" customFormat="1" ht="12.75" customHeight="1">
      <c r="A299" s="153"/>
      <c r="B299" s="72" t="s">
        <v>761</v>
      </c>
      <c r="C299" s="72"/>
      <c r="D299" s="72"/>
      <c r="E299" s="72"/>
      <c r="F299" s="72"/>
      <c r="G299" s="16"/>
      <c r="H299" s="1701" t="s">
        <v>2427</v>
      </c>
      <c r="I299" s="1676"/>
      <c r="J299" s="1676"/>
      <c r="K299" s="1676"/>
      <c r="L299" s="1676"/>
      <c r="M299" s="1676"/>
      <c r="N299" s="1676"/>
      <c r="O299" s="1676"/>
      <c r="P299" s="1676"/>
      <c r="Q299" s="1676"/>
      <c r="R299" s="1676"/>
      <c r="S299" s="16"/>
      <c r="T299" s="72" t="s">
        <v>761</v>
      </c>
      <c r="U299" s="16"/>
      <c r="V299" s="72"/>
      <c r="W299" s="72"/>
      <c r="X299" s="72"/>
      <c r="Y299" s="72"/>
      <c r="Z299" s="16"/>
      <c r="AA299" s="1676" t="s">
        <v>2443</v>
      </c>
      <c r="AB299" s="1676"/>
      <c r="AC299" s="1676"/>
      <c r="AD299" s="1676"/>
      <c r="AE299" s="1676"/>
      <c r="AF299" s="1676"/>
      <c r="AG299" s="1676"/>
      <c r="AH299" s="1676"/>
      <c r="AI299" s="1676"/>
      <c r="AJ299" s="1676"/>
      <c r="AK299" s="1676"/>
      <c r="AL299" s="25"/>
      <c r="AM299" s="137"/>
      <c r="AN299" s="439"/>
      <c r="AO299" s="46"/>
    </row>
    <row r="300" spans="1:41" s="205" customFormat="1" ht="12.75" customHeight="1">
      <c r="A300" s="153"/>
      <c r="B300" s="72" t="s">
        <v>110</v>
      </c>
      <c r="C300" s="72"/>
      <c r="D300" s="72"/>
      <c r="E300" s="72"/>
      <c r="F300" s="72"/>
      <c r="G300" s="16"/>
      <c r="H300" s="1701" t="s">
        <v>2422</v>
      </c>
      <c r="I300" s="1676"/>
      <c r="J300" s="1676"/>
      <c r="K300" s="1676"/>
      <c r="L300" s="1676"/>
      <c r="M300" s="1676"/>
      <c r="N300" s="1676"/>
      <c r="O300" s="1676"/>
      <c r="P300" s="1676"/>
      <c r="Q300" s="1676"/>
      <c r="R300" s="1676"/>
      <c r="S300" s="16"/>
      <c r="T300" s="72" t="s">
        <v>110</v>
      </c>
      <c r="U300" s="16"/>
      <c r="V300" s="72"/>
      <c r="W300" s="72"/>
      <c r="X300" s="72"/>
      <c r="Y300" s="72"/>
      <c r="Z300" s="16"/>
      <c r="AA300" s="1676" t="s">
        <v>2433</v>
      </c>
      <c r="AB300" s="1676"/>
      <c r="AC300" s="1676"/>
      <c r="AD300" s="1676"/>
      <c r="AE300" s="1676"/>
      <c r="AF300" s="1676"/>
      <c r="AG300" s="1676"/>
      <c r="AH300" s="1676"/>
      <c r="AI300" s="1676"/>
      <c r="AJ300" s="1676"/>
      <c r="AK300" s="1676"/>
      <c r="AL300" s="25"/>
      <c r="AM300" s="137"/>
      <c r="AN300" s="439"/>
      <c r="AO300" s="46"/>
    </row>
    <row r="301" spans="1:41" s="46" customFormat="1" ht="12.75" customHeight="1">
      <c r="A301" s="153"/>
      <c r="B301" s="72" t="s">
        <v>415</v>
      </c>
      <c r="C301" s="72"/>
      <c r="D301" s="72"/>
      <c r="E301" s="72"/>
      <c r="F301" s="72"/>
      <c r="G301" s="16"/>
      <c r="H301" s="1676" t="s">
        <v>2428</v>
      </c>
      <c r="I301" s="1676"/>
      <c r="J301" s="1676"/>
      <c r="K301" s="1676"/>
      <c r="L301" s="1676"/>
      <c r="M301" s="1676"/>
      <c r="N301" s="1676"/>
      <c r="O301" s="1676"/>
      <c r="P301" s="1676"/>
      <c r="Q301" s="1676"/>
      <c r="R301" s="1676"/>
      <c r="S301" s="16"/>
      <c r="T301" s="72" t="s">
        <v>415</v>
      </c>
      <c r="U301" s="16"/>
      <c r="V301" s="72"/>
      <c r="W301" s="72"/>
      <c r="X301" s="72"/>
      <c r="Y301" s="72"/>
      <c r="Z301" s="16"/>
      <c r="AA301" s="1676" t="s">
        <v>2444</v>
      </c>
      <c r="AB301" s="1676"/>
      <c r="AC301" s="1676"/>
      <c r="AD301" s="1676"/>
      <c r="AE301" s="1676"/>
      <c r="AF301" s="1676"/>
      <c r="AG301" s="1676"/>
      <c r="AH301" s="1676"/>
      <c r="AI301" s="1676"/>
      <c r="AJ301" s="1676"/>
      <c r="AK301" s="1676"/>
      <c r="AL301" s="25"/>
      <c r="AM301" s="137"/>
      <c r="AN301" s="439"/>
    </row>
    <row r="302" spans="1:41" s="46" customFormat="1" ht="12.75" customHeight="1">
      <c r="A302" s="153"/>
      <c r="B302" s="72" t="s">
        <v>416</v>
      </c>
      <c r="C302" s="72"/>
      <c r="D302" s="72"/>
      <c r="E302" s="72"/>
      <c r="F302" s="72"/>
      <c r="G302" s="72"/>
      <c r="H302" s="1702">
        <v>7077653331</v>
      </c>
      <c r="I302" s="1702"/>
      <c r="J302" s="1702"/>
      <c r="K302" s="1702"/>
      <c r="L302" s="1702"/>
      <c r="M302" s="1702"/>
      <c r="N302" s="8" t="s">
        <v>892</v>
      </c>
      <c r="O302" s="8"/>
      <c r="P302" s="1699"/>
      <c r="Q302" s="1699"/>
      <c r="R302" s="1699"/>
      <c r="S302" s="72"/>
      <c r="T302" s="72" t="s">
        <v>416</v>
      </c>
      <c r="U302" s="16"/>
      <c r="V302" s="72"/>
      <c r="W302" s="72"/>
      <c r="X302" s="72"/>
      <c r="Y302" s="72"/>
      <c r="Z302" s="16"/>
      <c r="AA302" s="1702" t="s">
        <v>2445</v>
      </c>
      <c r="AB302" s="1702"/>
      <c r="AC302" s="1702"/>
      <c r="AD302" s="1702"/>
      <c r="AE302" s="1702"/>
      <c r="AF302" s="1702"/>
      <c r="AG302" s="8" t="s">
        <v>892</v>
      </c>
      <c r="AH302" s="8"/>
      <c r="AI302" s="1699"/>
      <c r="AJ302" s="1699"/>
      <c r="AK302" s="1699"/>
      <c r="AL302" s="25"/>
      <c r="AM302" s="137"/>
      <c r="AN302" s="439"/>
    </row>
    <row r="303" spans="1:41" s="46" customFormat="1" ht="12.75" customHeight="1">
      <c r="A303" s="153"/>
      <c r="B303" s="72" t="s">
        <v>99</v>
      </c>
      <c r="C303" s="72"/>
      <c r="D303" s="72"/>
      <c r="E303" s="72"/>
      <c r="F303" s="72"/>
      <c r="G303" s="72"/>
      <c r="H303" s="1676" t="s">
        <v>111</v>
      </c>
      <c r="I303" s="1676"/>
      <c r="J303" s="1676"/>
      <c r="K303" s="1676"/>
      <c r="L303" s="1676"/>
      <c r="M303" s="1676"/>
      <c r="N303" s="1676"/>
      <c r="O303" s="1676"/>
      <c r="P303" s="1676"/>
      <c r="Q303" s="1676"/>
      <c r="R303" s="1676"/>
      <c r="S303" s="72"/>
      <c r="T303" s="72" t="s">
        <v>99</v>
      </c>
      <c r="U303" s="16"/>
      <c r="V303" s="72"/>
      <c r="W303" s="72"/>
      <c r="X303" s="72"/>
      <c r="Y303" s="72"/>
      <c r="Z303" s="16"/>
      <c r="AA303" s="1676" t="s">
        <v>102</v>
      </c>
      <c r="AB303" s="1676"/>
      <c r="AC303" s="1676"/>
      <c r="AD303" s="1676"/>
      <c r="AE303" s="1676"/>
      <c r="AF303" s="1676"/>
      <c r="AG303" s="1676"/>
      <c r="AH303" s="1676"/>
      <c r="AI303" s="1676"/>
      <c r="AJ303" s="1676"/>
      <c r="AK303" s="1676"/>
      <c r="AL303" s="25"/>
      <c r="AM303" s="137"/>
      <c r="AN303" s="439"/>
    </row>
    <row r="304" spans="1:41" s="46" customFormat="1" ht="12.75" customHeight="1">
      <c r="A304" s="153"/>
      <c r="B304" s="72" t="s">
        <v>101</v>
      </c>
      <c r="C304" s="72"/>
      <c r="D304" s="72"/>
      <c r="E304" s="72"/>
      <c r="F304" s="72"/>
      <c r="G304" s="72"/>
      <c r="H304" s="1676" t="s">
        <v>2429</v>
      </c>
      <c r="I304" s="1676"/>
      <c r="J304" s="1676"/>
      <c r="K304" s="1676"/>
      <c r="L304" s="1676"/>
      <c r="M304" s="1676"/>
      <c r="N304" s="1676"/>
      <c r="O304" s="1676"/>
      <c r="P304" s="1676"/>
      <c r="Q304" s="1676"/>
      <c r="R304" s="1676"/>
      <c r="S304" s="72"/>
      <c r="T304" s="72" t="s">
        <v>101</v>
      </c>
      <c r="U304" s="16"/>
      <c r="V304" s="72"/>
      <c r="W304" s="72"/>
      <c r="X304" s="72"/>
      <c r="Y304" s="72"/>
      <c r="Z304" s="16"/>
      <c r="AA304" s="1516" t="s">
        <v>2446</v>
      </c>
      <c r="AB304" s="1516"/>
      <c r="AC304" s="1516"/>
      <c r="AD304" s="1516"/>
      <c r="AE304" s="1516"/>
      <c r="AF304" s="1516"/>
      <c r="AG304" s="1516"/>
      <c r="AH304" s="1516"/>
      <c r="AI304" s="1516"/>
      <c r="AJ304" s="1516"/>
      <c r="AK304" s="1516"/>
      <c r="AL304" s="25"/>
      <c r="AM304" s="137"/>
      <c r="AN304" s="439"/>
    </row>
    <row r="305" spans="1:40" s="46" customFormat="1" ht="12.75" customHeight="1">
      <c r="A305" s="153"/>
      <c r="B305" s="72" t="s">
        <v>112</v>
      </c>
      <c r="C305" s="72"/>
      <c r="D305" s="72"/>
      <c r="E305" s="72"/>
      <c r="F305" s="72"/>
      <c r="G305" s="72"/>
      <c r="H305" s="2389" t="s">
        <v>2430</v>
      </c>
      <c r="I305" s="2389"/>
      <c r="J305" s="2389"/>
      <c r="K305" s="2389"/>
      <c r="L305" s="2389"/>
      <c r="M305" s="2389"/>
      <c r="N305" s="2389"/>
      <c r="O305" s="2389"/>
      <c r="P305" s="2389"/>
      <c r="Q305" s="2389"/>
      <c r="R305" s="2389"/>
      <c r="S305" s="72"/>
      <c r="T305" s="72" t="s">
        <v>112</v>
      </c>
      <c r="U305" s="72"/>
      <c r="V305" s="72"/>
      <c r="W305" s="72"/>
      <c r="X305" s="72"/>
      <c r="Y305" s="72"/>
      <c r="Z305" s="18"/>
      <c r="AA305" s="2389" t="s">
        <v>2447</v>
      </c>
      <c r="AB305" s="2389"/>
      <c r="AC305" s="2389"/>
      <c r="AD305" s="2389"/>
      <c r="AE305" s="2389"/>
      <c r="AF305" s="2389"/>
      <c r="AG305" s="2389"/>
      <c r="AH305" s="2389"/>
      <c r="AI305" s="2389"/>
      <c r="AJ305" s="2389"/>
      <c r="AK305" s="238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4" t="s">
        <v>2431</v>
      </c>
      <c r="I307" s="1664"/>
      <c r="J307" s="1664"/>
      <c r="K307" s="1664"/>
      <c r="L307" s="1664"/>
      <c r="M307" s="1664"/>
      <c r="N307" s="1664"/>
      <c r="O307" s="1664"/>
      <c r="P307" s="1664"/>
      <c r="Q307" s="1664"/>
      <c r="R307" s="1664"/>
      <c r="S307" s="16"/>
      <c r="T307" s="72" t="s">
        <v>100</v>
      </c>
      <c r="U307" s="16"/>
      <c r="V307" s="72"/>
      <c r="W307" s="72"/>
      <c r="X307" s="72"/>
      <c r="Y307" s="72"/>
      <c r="Z307" s="16"/>
      <c r="AA307" s="1664" t="s">
        <v>2431</v>
      </c>
      <c r="AB307" s="1664"/>
      <c r="AC307" s="1664"/>
      <c r="AD307" s="1664"/>
      <c r="AE307" s="1664"/>
      <c r="AF307" s="1664"/>
      <c r="AG307" s="1664"/>
      <c r="AH307" s="1664"/>
      <c r="AI307" s="1664"/>
      <c r="AJ307" s="1664"/>
      <c r="AK307" s="1664"/>
      <c r="AL307" s="25"/>
      <c r="AM307" s="137"/>
      <c r="AN307" s="439"/>
    </row>
    <row r="308" spans="1:40" s="46" customFormat="1" ht="12.75" customHeight="1">
      <c r="A308" s="153"/>
      <c r="B308" s="72" t="s">
        <v>761</v>
      </c>
      <c r="C308" s="72"/>
      <c r="D308" s="72"/>
      <c r="E308" s="72"/>
      <c r="F308" s="72"/>
      <c r="G308" s="16"/>
      <c r="H308" s="1676" t="s">
        <v>2432</v>
      </c>
      <c r="I308" s="1676"/>
      <c r="J308" s="1676"/>
      <c r="K308" s="1676"/>
      <c r="L308" s="1676"/>
      <c r="M308" s="1676"/>
      <c r="N308" s="1676"/>
      <c r="O308" s="1676"/>
      <c r="P308" s="1676"/>
      <c r="Q308" s="1676"/>
      <c r="R308" s="1676"/>
      <c r="S308" s="16"/>
      <c r="T308" s="72" t="s">
        <v>761</v>
      </c>
      <c r="U308" s="16"/>
      <c r="V308" s="72"/>
      <c r="W308" s="72"/>
      <c r="X308" s="72"/>
      <c r="Y308" s="72"/>
      <c r="Z308" s="16"/>
      <c r="AA308" s="1676" t="s">
        <v>2432</v>
      </c>
      <c r="AB308" s="1676"/>
      <c r="AC308" s="1676"/>
      <c r="AD308" s="1676"/>
      <c r="AE308" s="1676"/>
      <c r="AF308" s="1676"/>
      <c r="AG308" s="1676"/>
      <c r="AH308" s="1676"/>
      <c r="AI308" s="1676"/>
      <c r="AJ308" s="1676"/>
      <c r="AK308" s="1676"/>
      <c r="AL308" s="25"/>
      <c r="AM308" s="137"/>
      <c r="AN308" s="439"/>
    </row>
    <row r="309" spans="1:40" s="46" customFormat="1" ht="12.75" customHeight="1">
      <c r="A309" s="153"/>
      <c r="B309" s="72" t="s">
        <v>110</v>
      </c>
      <c r="C309" s="72"/>
      <c r="D309" s="72"/>
      <c r="E309" s="72"/>
      <c r="F309" s="72"/>
      <c r="G309" s="16"/>
      <c r="H309" s="1676" t="s">
        <v>2433</v>
      </c>
      <c r="I309" s="1676"/>
      <c r="J309" s="1676"/>
      <c r="K309" s="1676"/>
      <c r="L309" s="1676"/>
      <c r="M309" s="1676"/>
      <c r="N309" s="1676"/>
      <c r="O309" s="1676"/>
      <c r="P309" s="1676"/>
      <c r="Q309" s="1676"/>
      <c r="R309" s="1676"/>
      <c r="S309" s="16"/>
      <c r="T309" s="72" t="s">
        <v>110</v>
      </c>
      <c r="U309" s="16"/>
      <c r="V309" s="72"/>
      <c r="W309" s="72"/>
      <c r="X309" s="72"/>
      <c r="Y309" s="72"/>
      <c r="Z309" s="16"/>
      <c r="AA309" s="1676" t="s">
        <v>2433</v>
      </c>
      <c r="AB309" s="1676"/>
      <c r="AC309" s="1676"/>
      <c r="AD309" s="1676"/>
      <c r="AE309" s="1676"/>
      <c r="AF309" s="1676"/>
      <c r="AG309" s="1676"/>
      <c r="AH309" s="1676"/>
      <c r="AI309" s="1676"/>
      <c r="AJ309" s="1676"/>
      <c r="AK309" s="1676"/>
      <c r="AL309" s="25"/>
      <c r="AM309" s="137"/>
      <c r="AN309" s="439"/>
    </row>
    <row r="310" spans="1:40" s="46" customFormat="1" ht="12.75" customHeight="1">
      <c r="A310" s="153"/>
      <c r="B310" s="72" t="s">
        <v>415</v>
      </c>
      <c r="C310" s="72"/>
      <c r="D310" s="72"/>
      <c r="E310" s="72"/>
      <c r="F310" s="72"/>
      <c r="G310" s="16"/>
      <c r="H310" s="1676" t="s">
        <v>2434</v>
      </c>
      <c r="I310" s="1676"/>
      <c r="J310" s="1676"/>
      <c r="K310" s="1676"/>
      <c r="L310" s="1676"/>
      <c r="M310" s="1676"/>
      <c r="N310" s="1676"/>
      <c r="O310" s="1676"/>
      <c r="P310" s="1676"/>
      <c r="Q310" s="1676"/>
      <c r="R310" s="1676"/>
      <c r="S310" s="16"/>
      <c r="T310" s="72" t="s">
        <v>415</v>
      </c>
      <c r="U310" s="16"/>
      <c r="V310" s="72"/>
      <c r="W310" s="72"/>
      <c r="X310" s="72"/>
      <c r="Y310" s="72"/>
      <c r="Z310" s="16"/>
      <c r="AA310" s="1676" t="s">
        <v>2434</v>
      </c>
      <c r="AB310" s="1676"/>
      <c r="AC310" s="1676"/>
      <c r="AD310" s="1676"/>
      <c r="AE310" s="1676"/>
      <c r="AF310" s="1676"/>
      <c r="AG310" s="1676"/>
      <c r="AH310" s="1676"/>
      <c r="AI310" s="1676"/>
      <c r="AJ310" s="1676"/>
      <c r="AK310" s="1676"/>
      <c r="AL310" s="25"/>
      <c r="AM310" s="137"/>
      <c r="AN310" s="439"/>
    </row>
    <row r="311" spans="1:40" s="46" customFormat="1" ht="12.75" customHeight="1">
      <c r="A311" s="153"/>
      <c r="B311" s="72" t="s">
        <v>416</v>
      </c>
      <c r="C311" s="72"/>
      <c r="D311" s="72"/>
      <c r="E311" s="72"/>
      <c r="F311" s="72"/>
      <c r="G311" s="72"/>
      <c r="H311" s="1702">
        <v>7075597500</v>
      </c>
      <c r="I311" s="1702"/>
      <c r="J311" s="1702"/>
      <c r="K311" s="1702"/>
      <c r="L311" s="1702"/>
      <c r="M311" s="1702"/>
      <c r="N311" s="8" t="s">
        <v>892</v>
      </c>
      <c r="O311" s="8"/>
      <c r="P311" s="1699"/>
      <c r="Q311" s="1699"/>
      <c r="R311" s="1699"/>
      <c r="S311" s="72"/>
      <c r="T311" s="72" t="s">
        <v>416</v>
      </c>
      <c r="U311" s="16"/>
      <c r="V311" s="72"/>
      <c r="W311" s="72"/>
      <c r="X311" s="72"/>
      <c r="Y311" s="72"/>
      <c r="Z311" s="16"/>
      <c r="AA311" s="1702">
        <v>7075597500</v>
      </c>
      <c r="AB311" s="1702"/>
      <c r="AC311" s="1702"/>
      <c r="AD311" s="1702"/>
      <c r="AE311" s="1702"/>
      <c r="AF311" s="1702"/>
      <c r="AG311" s="8" t="s">
        <v>892</v>
      </c>
      <c r="AH311" s="8"/>
      <c r="AI311" s="1699"/>
      <c r="AJ311" s="1699"/>
      <c r="AK311" s="1699"/>
      <c r="AL311" s="25"/>
      <c r="AM311" s="137"/>
      <c r="AN311" s="439"/>
    </row>
    <row r="312" spans="1:40" s="46" customFormat="1" ht="12.75" customHeight="1">
      <c r="A312" s="153"/>
      <c r="B312" s="72" t="s">
        <v>99</v>
      </c>
      <c r="C312" s="72"/>
      <c r="D312" s="72"/>
      <c r="E312" s="72"/>
      <c r="F312" s="72"/>
      <c r="G312" s="72"/>
      <c r="H312" s="1676" t="s">
        <v>106</v>
      </c>
      <c r="I312" s="1676"/>
      <c r="J312" s="1676"/>
      <c r="K312" s="1676"/>
      <c r="L312" s="1676"/>
      <c r="M312" s="1676"/>
      <c r="N312" s="1676"/>
      <c r="O312" s="1676"/>
      <c r="P312" s="1676"/>
      <c r="Q312" s="1676"/>
      <c r="R312" s="1676"/>
      <c r="S312" s="72"/>
      <c r="T312" s="72" t="s">
        <v>99</v>
      </c>
      <c r="U312" s="16"/>
      <c r="V312" s="72"/>
      <c r="W312" s="72"/>
      <c r="X312" s="72"/>
      <c r="Y312" s="72"/>
      <c r="Z312" s="16"/>
      <c r="AA312" s="1676" t="s">
        <v>106</v>
      </c>
      <c r="AB312" s="1676"/>
      <c r="AC312" s="1676"/>
      <c r="AD312" s="1676"/>
      <c r="AE312" s="1676"/>
      <c r="AF312" s="1676"/>
      <c r="AG312" s="1676"/>
      <c r="AH312" s="1676"/>
      <c r="AI312" s="1676"/>
      <c r="AJ312" s="1676"/>
      <c r="AK312" s="1676"/>
      <c r="AL312" s="25"/>
      <c r="AM312" s="137"/>
      <c r="AN312" s="439"/>
    </row>
    <row r="313" spans="1:40" s="46" customFormat="1" ht="12.75" customHeight="1">
      <c r="A313" s="153"/>
      <c r="B313" s="72" t="s">
        <v>101</v>
      </c>
      <c r="C313" s="72"/>
      <c r="D313" s="72"/>
      <c r="E313" s="72"/>
      <c r="F313" s="72"/>
      <c r="G313" s="72"/>
      <c r="H313" s="1676" t="s">
        <v>2435</v>
      </c>
      <c r="I313" s="1676"/>
      <c r="J313" s="1676"/>
      <c r="K313" s="1676"/>
      <c r="L313" s="1676"/>
      <c r="M313" s="1676"/>
      <c r="N313" s="1676"/>
      <c r="O313" s="1676"/>
      <c r="P313" s="1676"/>
      <c r="Q313" s="1676"/>
      <c r="R313" s="1676"/>
      <c r="S313" s="72"/>
      <c r="T313" s="72" t="s">
        <v>101</v>
      </c>
      <c r="U313" s="16"/>
      <c r="V313" s="72"/>
      <c r="W313" s="72"/>
      <c r="X313" s="72"/>
      <c r="Y313" s="72"/>
      <c r="Z313" s="16"/>
      <c r="AA313" s="1676" t="s">
        <v>2435</v>
      </c>
      <c r="AB313" s="1676"/>
      <c r="AC313" s="1676"/>
      <c r="AD313" s="1676"/>
      <c r="AE313" s="1676"/>
      <c r="AF313" s="1676"/>
      <c r="AG313" s="1676"/>
      <c r="AH313" s="1676"/>
      <c r="AI313" s="1676"/>
      <c r="AJ313" s="1676"/>
      <c r="AK313" s="1676"/>
      <c r="AL313" s="25"/>
      <c r="AM313" s="137"/>
      <c r="AN313" s="439"/>
    </row>
    <row r="314" spans="1:40" s="46" customFormat="1" ht="12.75" customHeight="1">
      <c r="A314" s="153"/>
      <c r="B314" s="72" t="s">
        <v>112</v>
      </c>
      <c r="C314" s="72"/>
      <c r="D314" s="72"/>
      <c r="E314" s="72"/>
      <c r="F314" s="72"/>
      <c r="G314" s="72"/>
      <c r="H314" s="2389" t="s">
        <v>2436</v>
      </c>
      <c r="I314" s="2389"/>
      <c r="J314" s="2389"/>
      <c r="K314" s="2389"/>
      <c r="L314" s="2389"/>
      <c r="M314" s="2389"/>
      <c r="N314" s="2389"/>
      <c r="O314" s="2389"/>
      <c r="P314" s="2389"/>
      <c r="Q314" s="2389"/>
      <c r="R314" s="2389"/>
      <c r="S314" s="72"/>
      <c r="T314" s="72" t="s">
        <v>112</v>
      </c>
      <c r="U314" s="72"/>
      <c r="V314" s="72"/>
      <c r="W314" s="72"/>
      <c r="X314" s="72"/>
      <c r="Y314" s="72"/>
      <c r="Z314" s="18"/>
      <c r="AA314" s="2389" t="s">
        <v>2436</v>
      </c>
      <c r="AB314" s="2389"/>
      <c r="AC314" s="2389"/>
      <c r="AD314" s="2389"/>
      <c r="AE314" s="2389"/>
      <c r="AF314" s="2389"/>
      <c r="AG314" s="2389"/>
      <c r="AH314" s="2389"/>
      <c r="AI314" s="2389"/>
      <c r="AJ314" s="2389"/>
      <c r="AK314" s="238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4"/>
      <c r="I316" s="1664"/>
      <c r="J316" s="1664"/>
      <c r="K316" s="1664"/>
      <c r="L316" s="1664"/>
      <c r="M316" s="1664"/>
      <c r="N316" s="1664"/>
      <c r="O316" s="1664"/>
      <c r="P316" s="1664"/>
      <c r="Q316" s="1664"/>
      <c r="R316" s="1664"/>
      <c r="S316" s="16"/>
      <c r="T316" s="72" t="s">
        <v>100</v>
      </c>
      <c r="U316" s="16"/>
      <c r="V316" s="72"/>
      <c r="W316" s="72"/>
      <c r="X316" s="72"/>
      <c r="Y316" s="72"/>
      <c r="Z316" s="16"/>
      <c r="AA316" s="1664"/>
      <c r="AB316" s="1664"/>
      <c r="AC316" s="1664"/>
      <c r="AD316" s="1664"/>
      <c r="AE316" s="1664"/>
      <c r="AF316" s="1664"/>
      <c r="AG316" s="1664"/>
      <c r="AH316" s="1664"/>
      <c r="AI316" s="1664"/>
      <c r="AJ316" s="1664"/>
      <c r="AK316" s="1664"/>
      <c r="AL316" s="25"/>
      <c r="AM316" s="137"/>
      <c r="AN316" s="439"/>
    </row>
    <row r="317" spans="1:40" s="46" customFormat="1" ht="12.75" customHeight="1">
      <c r="A317" s="153"/>
      <c r="B317" s="72" t="s">
        <v>761</v>
      </c>
      <c r="C317" s="72"/>
      <c r="D317" s="72"/>
      <c r="E317" s="72"/>
      <c r="F317" s="72"/>
      <c r="G317" s="16"/>
      <c r="H317" s="1676"/>
      <c r="I317" s="1676"/>
      <c r="J317" s="1676"/>
      <c r="K317" s="1676"/>
      <c r="L317" s="1676"/>
      <c r="M317" s="1676"/>
      <c r="N317" s="1676"/>
      <c r="O317" s="1676"/>
      <c r="P317" s="1676"/>
      <c r="Q317" s="1676"/>
      <c r="R317" s="1676"/>
      <c r="S317" s="16"/>
      <c r="T317" s="72" t="s">
        <v>761</v>
      </c>
      <c r="U317" s="16"/>
      <c r="V317" s="72"/>
      <c r="W317" s="72"/>
      <c r="X317" s="72"/>
      <c r="Y317" s="72"/>
      <c r="Z317" s="16"/>
      <c r="AA317" s="1676"/>
      <c r="AB317" s="1676"/>
      <c r="AC317" s="1676"/>
      <c r="AD317" s="1676"/>
      <c r="AE317" s="1676"/>
      <c r="AF317" s="1676"/>
      <c r="AG317" s="1676"/>
      <c r="AH317" s="1676"/>
      <c r="AI317" s="1676"/>
      <c r="AJ317" s="1676"/>
      <c r="AK317" s="1676"/>
      <c r="AL317" s="25"/>
      <c r="AM317" s="137"/>
      <c r="AN317" s="439"/>
    </row>
    <row r="318" spans="1:40" s="46" customFormat="1" ht="12.75" customHeight="1">
      <c r="A318" s="153"/>
      <c r="B318" s="72" t="s">
        <v>110</v>
      </c>
      <c r="C318" s="72"/>
      <c r="D318" s="72"/>
      <c r="E318" s="72"/>
      <c r="F318" s="72"/>
      <c r="G318" s="16"/>
      <c r="H318" s="1676"/>
      <c r="I318" s="1676"/>
      <c r="J318" s="1676"/>
      <c r="K318" s="1676"/>
      <c r="L318" s="1676"/>
      <c r="M318" s="1676"/>
      <c r="N318" s="1676"/>
      <c r="O318" s="1676"/>
      <c r="P318" s="1676"/>
      <c r="Q318" s="1676"/>
      <c r="R318" s="1676"/>
      <c r="S318" s="16"/>
      <c r="T318" s="72" t="s">
        <v>110</v>
      </c>
      <c r="U318" s="16"/>
      <c r="V318" s="72"/>
      <c r="W318" s="72"/>
      <c r="X318" s="72"/>
      <c r="Y318" s="72"/>
      <c r="Z318" s="16"/>
      <c r="AA318" s="1676"/>
      <c r="AB318" s="1676"/>
      <c r="AC318" s="1676"/>
      <c r="AD318" s="1676"/>
      <c r="AE318" s="1676"/>
      <c r="AF318" s="1676"/>
      <c r="AG318" s="1676"/>
      <c r="AH318" s="1676"/>
      <c r="AI318" s="1676"/>
      <c r="AJ318" s="1676"/>
      <c r="AK318" s="1676"/>
      <c r="AL318" s="25"/>
      <c r="AM318" s="137"/>
      <c r="AN318" s="439"/>
    </row>
    <row r="319" spans="1:40" s="46" customFormat="1" ht="12.75" customHeight="1">
      <c r="A319" s="153"/>
      <c r="B319" s="72" t="s">
        <v>415</v>
      </c>
      <c r="C319" s="72"/>
      <c r="D319" s="72"/>
      <c r="E319" s="72"/>
      <c r="F319" s="72"/>
      <c r="G319" s="16"/>
      <c r="H319" s="1676"/>
      <c r="I319" s="1676"/>
      <c r="J319" s="1676"/>
      <c r="K319" s="1676"/>
      <c r="L319" s="1676"/>
      <c r="M319" s="1676"/>
      <c r="N319" s="1676"/>
      <c r="O319" s="1676"/>
      <c r="P319" s="1676"/>
      <c r="Q319" s="1676"/>
      <c r="R319" s="1676"/>
      <c r="S319" s="16"/>
      <c r="T319" s="72" t="s">
        <v>415</v>
      </c>
      <c r="U319" s="16"/>
      <c r="V319" s="72"/>
      <c r="W319" s="72"/>
      <c r="X319" s="72"/>
      <c r="Y319" s="72"/>
      <c r="Z319" s="16"/>
      <c r="AA319" s="1676"/>
      <c r="AB319" s="1676"/>
      <c r="AC319" s="1676"/>
      <c r="AD319" s="1676"/>
      <c r="AE319" s="1676"/>
      <c r="AF319" s="1676"/>
      <c r="AG319" s="1676"/>
      <c r="AH319" s="1676"/>
      <c r="AI319" s="1676"/>
      <c r="AJ319" s="1676"/>
      <c r="AK319" s="1676"/>
      <c r="AL319" s="25"/>
      <c r="AM319" s="137"/>
      <c r="AN319" s="439"/>
    </row>
    <row r="320" spans="1:40" s="46" customFormat="1" ht="12.75" customHeight="1">
      <c r="A320" s="153"/>
      <c r="B320" s="72" t="s">
        <v>416</v>
      </c>
      <c r="C320" s="72"/>
      <c r="D320" s="72"/>
      <c r="E320" s="72"/>
      <c r="F320" s="72"/>
      <c r="G320" s="72"/>
      <c r="H320" s="1704"/>
      <c r="I320" s="1704"/>
      <c r="J320" s="1704"/>
      <c r="K320" s="1704"/>
      <c r="L320" s="1704"/>
      <c r="M320" s="1704"/>
      <c r="N320" s="8" t="s">
        <v>892</v>
      </c>
      <c r="O320" s="8"/>
      <c r="P320" s="1699"/>
      <c r="Q320" s="1699"/>
      <c r="R320" s="1699"/>
      <c r="S320" s="72"/>
      <c r="T320" s="72" t="s">
        <v>416</v>
      </c>
      <c r="U320" s="16"/>
      <c r="V320" s="72"/>
      <c r="W320" s="72"/>
      <c r="X320" s="72"/>
      <c r="Y320" s="72"/>
      <c r="Z320" s="16"/>
      <c r="AA320" s="1704"/>
      <c r="AB320" s="1704"/>
      <c r="AC320" s="1704"/>
      <c r="AD320" s="1704"/>
      <c r="AE320" s="1704"/>
      <c r="AF320" s="1704"/>
      <c r="AG320" s="8" t="s">
        <v>892</v>
      </c>
      <c r="AH320" s="8"/>
      <c r="AI320" s="1699"/>
      <c r="AJ320" s="1699"/>
      <c r="AK320" s="1699"/>
      <c r="AL320" s="25"/>
      <c r="AM320" s="137"/>
      <c r="AN320" s="439"/>
    </row>
    <row r="321" spans="1:76" s="46" customFormat="1" ht="12.75" customHeight="1">
      <c r="A321" s="153"/>
      <c r="B321" s="72" t="s">
        <v>99</v>
      </c>
      <c r="C321" s="72"/>
      <c r="D321" s="72"/>
      <c r="E321" s="72"/>
      <c r="F321" s="72"/>
      <c r="G321" s="72"/>
      <c r="H321" s="1676"/>
      <c r="I321" s="1676"/>
      <c r="J321" s="1676"/>
      <c r="K321" s="1676"/>
      <c r="L321" s="1676"/>
      <c r="M321" s="1676"/>
      <c r="N321" s="1676"/>
      <c r="O321" s="1676"/>
      <c r="P321" s="1676"/>
      <c r="Q321" s="1676"/>
      <c r="R321" s="1676"/>
      <c r="S321" s="72"/>
      <c r="T321" s="72" t="s">
        <v>99</v>
      </c>
      <c r="U321" s="16"/>
      <c r="V321" s="72"/>
      <c r="W321" s="72"/>
      <c r="X321" s="72"/>
      <c r="Y321" s="72"/>
      <c r="Z321" s="16"/>
      <c r="AA321" s="1676"/>
      <c r="AB321" s="1676"/>
      <c r="AC321" s="1676"/>
      <c r="AD321" s="1676"/>
      <c r="AE321" s="1676"/>
      <c r="AF321" s="1676"/>
      <c r="AG321" s="1676"/>
      <c r="AH321" s="1676"/>
      <c r="AI321" s="1676"/>
      <c r="AJ321" s="1676"/>
      <c r="AK321" s="1676"/>
      <c r="AL321" s="25"/>
      <c r="AM321" s="137"/>
      <c r="AN321" s="439"/>
    </row>
    <row r="322" spans="1:76" s="46" customFormat="1" ht="12.75" customHeight="1">
      <c r="A322" s="153"/>
      <c r="B322" s="72" t="s">
        <v>101</v>
      </c>
      <c r="C322" s="72"/>
      <c r="D322" s="72"/>
      <c r="E322" s="72"/>
      <c r="F322" s="72"/>
      <c r="G322" s="72"/>
      <c r="H322" s="1676"/>
      <c r="I322" s="1676"/>
      <c r="J322" s="1676"/>
      <c r="K322" s="1676"/>
      <c r="L322" s="1676"/>
      <c r="M322" s="1676"/>
      <c r="N322" s="1676"/>
      <c r="O322" s="1676"/>
      <c r="P322" s="1676"/>
      <c r="Q322" s="1676"/>
      <c r="R322" s="1676"/>
      <c r="S322" s="72"/>
      <c r="T322" s="72" t="s">
        <v>101</v>
      </c>
      <c r="U322" s="16"/>
      <c r="V322" s="72"/>
      <c r="W322" s="72"/>
      <c r="X322" s="72"/>
      <c r="Y322" s="72"/>
      <c r="Z322" s="16"/>
      <c r="AA322" s="1676"/>
      <c r="AB322" s="1676"/>
      <c r="AC322" s="1676"/>
      <c r="AD322" s="1676"/>
      <c r="AE322" s="1676"/>
      <c r="AF322" s="1676"/>
      <c r="AG322" s="1676"/>
      <c r="AH322" s="1676"/>
      <c r="AI322" s="1676"/>
      <c r="AJ322" s="1676"/>
      <c r="AK322" s="1676"/>
      <c r="AL322" s="25"/>
      <c r="AM322" s="137"/>
      <c r="AN322" s="439"/>
    </row>
    <row r="323" spans="1:76" s="46" customFormat="1" ht="12.75" customHeight="1">
      <c r="A323" s="153"/>
      <c r="B323" s="72" t="s">
        <v>112</v>
      </c>
      <c r="C323" s="72"/>
      <c r="D323" s="72"/>
      <c r="E323" s="72"/>
      <c r="F323" s="72"/>
      <c r="G323" s="72"/>
      <c r="H323" s="2389"/>
      <c r="I323" s="2389"/>
      <c r="J323" s="2389"/>
      <c r="K323" s="2389"/>
      <c r="L323" s="2389"/>
      <c r="M323" s="2389"/>
      <c r="N323" s="2389"/>
      <c r="O323" s="2389"/>
      <c r="P323" s="2389"/>
      <c r="Q323" s="2389"/>
      <c r="R323" s="2389"/>
      <c r="S323" s="72"/>
      <c r="T323" s="72" t="s">
        <v>112</v>
      </c>
      <c r="U323" s="72"/>
      <c r="V323" s="72"/>
      <c r="W323" s="72"/>
      <c r="X323" s="72"/>
      <c r="Y323" s="72"/>
      <c r="Z323" s="18"/>
      <c r="AA323" s="2389"/>
      <c r="AB323" s="2389"/>
      <c r="AC323" s="2389"/>
      <c r="AD323" s="2389"/>
      <c r="AE323" s="2389"/>
      <c r="AF323" s="2389"/>
      <c r="AG323" s="2389"/>
      <c r="AH323" s="2389"/>
      <c r="AI323" s="2389"/>
      <c r="AJ323" s="2389"/>
      <c r="AK323" s="238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4"/>
      <c r="I325" s="1664"/>
      <c r="J325" s="1664"/>
      <c r="K325" s="1664"/>
      <c r="L325" s="1664"/>
      <c r="M325" s="1664"/>
      <c r="N325" s="1664"/>
      <c r="O325" s="1664"/>
      <c r="P325" s="1664"/>
      <c r="Q325" s="1664"/>
      <c r="R325" s="1664"/>
      <c r="S325" s="16"/>
      <c r="T325" s="72" t="s">
        <v>100</v>
      </c>
      <c r="U325" s="16"/>
      <c r="V325" s="72"/>
      <c r="W325" s="72"/>
      <c r="X325" s="72"/>
      <c r="Y325" s="72"/>
      <c r="Z325" s="16"/>
      <c r="AA325" s="1664"/>
      <c r="AB325" s="1664"/>
      <c r="AC325" s="1664"/>
      <c r="AD325" s="1664"/>
      <c r="AE325" s="1664"/>
      <c r="AF325" s="1664"/>
      <c r="AG325" s="1664"/>
      <c r="AH325" s="1664"/>
      <c r="AI325" s="1664"/>
      <c r="AJ325" s="1664"/>
      <c r="AK325" s="1664"/>
      <c r="AL325" s="327"/>
      <c r="AM325" s="137"/>
      <c r="AN325" s="439"/>
    </row>
    <row r="326" spans="1:76" s="46" customFormat="1" ht="12.75" customHeight="1">
      <c r="A326" s="153"/>
      <c r="B326" s="72" t="s">
        <v>761</v>
      </c>
      <c r="C326" s="72"/>
      <c r="D326" s="72"/>
      <c r="E326" s="72"/>
      <c r="F326" s="72"/>
      <c r="G326" s="16"/>
      <c r="H326" s="1676"/>
      <c r="I326" s="1676"/>
      <c r="J326" s="1676"/>
      <c r="K326" s="1676"/>
      <c r="L326" s="1676"/>
      <c r="M326" s="1676"/>
      <c r="N326" s="1676"/>
      <c r="O326" s="1676"/>
      <c r="P326" s="1676"/>
      <c r="Q326" s="1676"/>
      <c r="R326" s="1676"/>
      <c r="S326" s="16"/>
      <c r="T326" s="72" t="s">
        <v>761</v>
      </c>
      <c r="U326" s="16"/>
      <c r="V326" s="72"/>
      <c r="W326" s="72"/>
      <c r="X326" s="72"/>
      <c r="Y326" s="72"/>
      <c r="Z326" s="16"/>
      <c r="AA326" s="1676"/>
      <c r="AB326" s="1676"/>
      <c r="AC326" s="1676"/>
      <c r="AD326" s="1676"/>
      <c r="AE326" s="1676"/>
      <c r="AF326" s="1676"/>
      <c r="AG326" s="1676"/>
      <c r="AH326" s="1676"/>
      <c r="AI326" s="1676"/>
      <c r="AJ326" s="1676"/>
      <c r="AK326" s="1676"/>
      <c r="AL326" s="327"/>
      <c r="AM326" s="137"/>
      <c r="AN326" s="439"/>
    </row>
    <row r="327" spans="1:76" s="46" customFormat="1" ht="18" customHeight="1">
      <c r="A327" s="153"/>
      <c r="B327" s="72" t="s">
        <v>110</v>
      </c>
      <c r="C327" s="72"/>
      <c r="D327" s="72"/>
      <c r="E327" s="72"/>
      <c r="F327" s="72"/>
      <c r="G327" s="16"/>
      <c r="H327" s="1676"/>
      <c r="I327" s="1676"/>
      <c r="J327" s="1676"/>
      <c r="K327" s="1676"/>
      <c r="L327" s="1676"/>
      <c r="M327" s="1676"/>
      <c r="N327" s="1676"/>
      <c r="O327" s="1676"/>
      <c r="P327" s="1676"/>
      <c r="Q327" s="1676"/>
      <c r="R327" s="1676"/>
      <c r="S327" s="16"/>
      <c r="T327" s="72" t="s">
        <v>110</v>
      </c>
      <c r="U327" s="16"/>
      <c r="V327" s="72"/>
      <c r="W327" s="72"/>
      <c r="X327" s="72"/>
      <c r="Y327" s="72"/>
      <c r="Z327" s="16"/>
      <c r="AA327" s="1676"/>
      <c r="AB327" s="1676"/>
      <c r="AC327" s="1676"/>
      <c r="AD327" s="1676"/>
      <c r="AE327" s="1676"/>
      <c r="AF327" s="1676"/>
      <c r="AG327" s="1676"/>
      <c r="AH327" s="1676"/>
      <c r="AI327" s="1676"/>
      <c r="AJ327" s="1676"/>
      <c r="AK327" s="1676"/>
      <c r="AL327" s="327"/>
      <c r="AM327" s="137"/>
      <c r="AN327" s="439"/>
    </row>
    <row r="328" spans="1:76" s="46" customFormat="1" ht="12.75" customHeight="1">
      <c r="A328" s="153"/>
      <c r="B328" s="72" t="s">
        <v>415</v>
      </c>
      <c r="C328" s="72"/>
      <c r="D328" s="72"/>
      <c r="E328" s="72"/>
      <c r="F328" s="72"/>
      <c r="G328" s="16"/>
      <c r="H328" s="1676"/>
      <c r="I328" s="1676"/>
      <c r="J328" s="1676"/>
      <c r="K328" s="1676"/>
      <c r="L328" s="1676"/>
      <c r="M328" s="1676"/>
      <c r="N328" s="1676"/>
      <c r="O328" s="1676"/>
      <c r="P328" s="1676"/>
      <c r="Q328" s="1676"/>
      <c r="R328" s="1676"/>
      <c r="S328" s="16"/>
      <c r="T328" s="72" t="s">
        <v>415</v>
      </c>
      <c r="U328" s="16"/>
      <c r="V328" s="72"/>
      <c r="W328" s="72"/>
      <c r="X328" s="72"/>
      <c r="Y328" s="72"/>
      <c r="Z328" s="16"/>
      <c r="AA328" s="1676"/>
      <c r="AB328" s="1676"/>
      <c r="AC328" s="1676"/>
      <c r="AD328" s="1676"/>
      <c r="AE328" s="1676"/>
      <c r="AF328" s="1676"/>
      <c r="AG328" s="1676"/>
      <c r="AH328" s="1676"/>
      <c r="AI328" s="1676"/>
      <c r="AJ328" s="1676"/>
      <c r="AK328" s="1676"/>
      <c r="AL328" s="327"/>
      <c r="AM328" s="137"/>
      <c r="AN328" s="439"/>
    </row>
    <row r="329" spans="1:76" s="46" customFormat="1" ht="12.75" customHeight="1">
      <c r="A329" s="153"/>
      <c r="B329" s="72" t="s">
        <v>416</v>
      </c>
      <c r="C329" s="72"/>
      <c r="D329" s="72"/>
      <c r="E329" s="72"/>
      <c r="F329" s="72"/>
      <c r="G329" s="72"/>
      <c r="H329" s="1704"/>
      <c r="I329" s="1704"/>
      <c r="J329" s="1704"/>
      <c r="K329" s="1704"/>
      <c r="L329" s="1704"/>
      <c r="M329" s="1704"/>
      <c r="N329" s="8" t="s">
        <v>892</v>
      </c>
      <c r="O329" s="8"/>
      <c r="P329" s="1699"/>
      <c r="Q329" s="1699"/>
      <c r="R329" s="1699"/>
      <c r="S329" s="72"/>
      <c r="T329" s="72" t="s">
        <v>416</v>
      </c>
      <c r="U329" s="16"/>
      <c r="V329" s="72"/>
      <c r="W329" s="72"/>
      <c r="X329" s="72"/>
      <c r="Y329" s="72"/>
      <c r="Z329" s="16"/>
      <c r="AA329" s="1704"/>
      <c r="AB329" s="1704"/>
      <c r="AC329" s="1704"/>
      <c r="AD329" s="1704"/>
      <c r="AE329" s="1704"/>
      <c r="AF329" s="1704"/>
      <c r="AG329" s="8" t="s">
        <v>892</v>
      </c>
      <c r="AH329" s="8"/>
      <c r="AI329" s="1699"/>
      <c r="AJ329" s="1699"/>
      <c r="AK329" s="1699"/>
      <c r="AL329" s="327"/>
      <c r="AM329" s="137"/>
      <c r="AN329" s="439"/>
    </row>
    <row r="330" spans="1:76" s="137" customFormat="1" ht="12.75" customHeight="1">
      <c r="A330" s="153"/>
      <c r="B330" s="72" t="s">
        <v>99</v>
      </c>
      <c r="C330" s="72"/>
      <c r="D330" s="72"/>
      <c r="E330" s="72"/>
      <c r="F330" s="72"/>
      <c r="G330" s="72"/>
      <c r="H330" s="1676"/>
      <c r="I330" s="1676"/>
      <c r="J330" s="1676"/>
      <c r="K330" s="1676"/>
      <c r="L330" s="1676"/>
      <c r="M330" s="1676"/>
      <c r="N330" s="1676"/>
      <c r="O330" s="1676"/>
      <c r="P330" s="1676"/>
      <c r="Q330" s="1676"/>
      <c r="R330" s="1676"/>
      <c r="S330" s="72"/>
      <c r="T330" s="72" t="s">
        <v>99</v>
      </c>
      <c r="U330" s="16"/>
      <c r="V330" s="72"/>
      <c r="W330" s="72"/>
      <c r="X330" s="72"/>
      <c r="Y330" s="72"/>
      <c r="Z330" s="16"/>
      <c r="AA330" s="1676"/>
      <c r="AB330" s="1676"/>
      <c r="AC330" s="1676"/>
      <c r="AD330" s="1676"/>
      <c r="AE330" s="1676"/>
      <c r="AF330" s="1676"/>
      <c r="AG330" s="1676"/>
      <c r="AH330" s="1676"/>
      <c r="AI330" s="1676"/>
      <c r="AJ330" s="1676"/>
      <c r="AK330" s="1676"/>
      <c r="AL330" s="327"/>
      <c r="AN330" s="1089"/>
    </row>
    <row r="331" spans="1:76" s="46" customFormat="1" ht="12.75" customHeight="1">
      <c r="A331" s="153"/>
      <c r="B331" s="72" t="s">
        <v>101</v>
      </c>
      <c r="C331" s="72"/>
      <c r="D331" s="72"/>
      <c r="E331" s="72"/>
      <c r="F331" s="72"/>
      <c r="G331" s="72"/>
      <c r="H331" s="1676"/>
      <c r="I331" s="1676"/>
      <c r="J331" s="1676"/>
      <c r="K331" s="1676"/>
      <c r="L331" s="1676"/>
      <c r="M331" s="1676"/>
      <c r="N331" s="1676"/>
      <c r="O331" s="1676"/>
      <c r="P331" s="1676"/>
      <c r="Q331" s="1676"/>
      <c r="R331" s="1676"/>
      <c r="S331" s="72"/>
      <c r="T331" s="72" t="s">
        <v>101</v>
      </c>
      <c r="U331" s="16"/>
      <c r="V331" s="72"/>
      <c r="W331" s="72"/>
      <c r="X331" s="72"/>
      <c r="Y331" s="72"/>
      <c r="Z331" s="16"/>
      <c r="AA331" s="1676"/>
      <c r="AB331" s="1676"/>
      <c r="AC331" s="1676"/>
      <c r="AD331" s="1676"/>
      <c r="AE331" s="1676"/>
      <c r="AF331" s="1676"/>
      <c r="AG331" s="1676"/>
      <c r="AH331" s="1676"/>
      <c r="AI331" s="1676"/>
      <c r="AJ331" s="1676"/>
      <c r="AK331" s="1676"/>
      <c r="AL331" s="327"/>
      <c r="AM331" s="137"/>
      <c r="AN331" s="439"/>
    </row>
    <row r="332" spans="1:76" s="46" customFormat="1" ht="12.75" customHeight="1">
      <c r="A332" s="153"/>
      <c r="B332" s="72" t="s">
        <v>112</v>
      </c>
      <c r="C332" s="72"/>
      <c r="D332" s="72"/>
      <c r="E332" s="72"/>
      <c r="F332" s="72"/>
      <c r="G332" s="72"/>
      <c r="H332" s="2389"/>
      <c r="I332" s="2389"/>
      <c r="J332" s="2389"/>
      <c r="K332" s="2389"/>
      <c r="L332" s="2389"/>
      <c r="M332" s="2389"/>
      <c r="N332" s="2389"/>
      <c r="O332" s="2389"/>
      <c r="P332" s="2389"/>
      <c r="Q332" s="2389"/>
      <c r="R332" s="2389"/>
      <c r="S332" s="72"/>
      <c r="T332" s="72" t="s">
        <v>112</v>
      </c>
      <c r="U332" s="72"/>
      <c r="V332" s="72"/>
      <c r="W332" s="72"/>
      <c r="X332" s="72"/>
      <c r="Y332" s="72"/>
      <c r="Z332" s="18"/>
      <c r="AA332" s="2389"/>
      <c r="AB332" s="2389"/>
      <c r="AC332" s="2389"/>
      <c r="AD332" s="2389"/>
      <c r="AE332" s="2389"/>
      <c r="AF332" s="2389"/>
      <c r="AG332" s="2389"/>
      <c r="AH332" s="2389"/>
      <c r="AI332" s="2389"/>
      <c r="AJ332" s="2389"/>
      <c r="AK332" s="238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6" t="s">
        <v>405</v>
      </c>
      <c r="AF335" s="2376"/>
      <c r="AG335" s="2376"/>
      <c r="AH335" s="2376"/>
      <c r="AI335" s="2376"/>
      <c r="AJ335" s="2376"/>
      <c r="AK335" s="2376"/>
      <c r="AL335" s="152"/>
      <c r="AM335" s="1371"/>
      <c r="AN335" s="152"/>
    </row>
    <row r="336" spans="1:76" s="46" customFormat="1" ht="12.75" customHeight="1">
      <c r="A336" s="152"/>
      <c r="B336" s="161"/>
      <c r="C336" s="2358" t="s">
        <v>2018</v>
      </c>
      <c r="D336" s="2358"/>
      <c r="E336" s="2358"/>
      <c r="F336" s="2358"/>
      <c r="G336" s="2358"/>
      <c r="H336" s="2358"/>
      <c r="I336" s="2358"/>
      <c r="J336" s="2358"/>
      <c r="K336" s="2358"/>
      <c r="L336" s="2358"/>
      <c r="M336" s="2358"/>
      <c r="N336" s="2358"/>
      <c r="O336" s="2358"/>
      <c r="P336" s="2358"/>
      <c r="Q336" s="2358"/>
      <c r="R336" s="2358"/>
      <c r="S336" s="2358"/>
      <c r="T336" s="2358"/>
      <c r="U336" s="2358"/>
      <c r="V336" s="2358"/>
      <c r="W336" s="2358"/>
      <c r="X336" s="2358"/>
      <c r="Y336" s="2358"/>
      <c r="Z336" s="2358"/>
      <c r="AA336" s="2358"/>
      <c r="AB336" s="2358"/>
      <c r="AC336" s="2358"/>
      <c r="AD336" s="2358"/>
      <c r="AE336" s="2358"/>
      <c r="AF336" s="2358"/>
      <c r="AG336" s="2358"/>
      <c r="AH336" s="2358"/>
      <c r="AI336" s="2358"/>
      <c r="AJ336" s="2358"/>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58"/>
      <c r="D337" s="2358"/>
      <c r="E337" s="2358"/>
      <c r="F337" s="2358"/>
      <c r="G337" s="2358"/>
      <c r="H337" s="2358"/>
      <c r="I337" s="2358"/>
      <c r="J337" s="2358"/>
      <c r="K337" s="2358"/>
      <c r="L337" s="2358"/>
      <c r="M337" s="2358"/>
      <c r="N337" s="2358"/>
      <c r="O337" s="2358"/>
      <c r="P337" s="2358"/>
      <c r="Q337" s="2358"/>
      <c r="R337" s="2358"/>
      <c r="S337" s="2358"/>
      <c r="T337" s="2358"/>
      <c r="U337" s="2358"/>
      <c r="V337" s="2358"/>
      <c r="W337" s="2358"/>
      <c r="X337" s="2358"/>
      <c r="Y337" s="2358"/>
      <c r="Z337" s="2358"/>
      <c r="AA337" s="2358"/>
      <c r="AB337" s="2358"/>
      <c r="AC337" s="2358"/>
      <c r="AD337" s="2358"/>
      <c r="AE337" s="2358"/>
      <c r="AF337" s="2358"/>
      <c r="AG337" s="2358"/>
      <c r="AH337" s="2358"/>
      <c r="AI337" s="2358"/>
      <c r="AJ337" s="2358"/>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58"/>
      <c r="D338" s="2358"/>
      <c r="E338" s="2358"/>
      <c r="F338" s="2358"/>
      <c r="G338" s="2358"/>
      <c r="H338" s="2358"/>
      <c r="I338" s="2358"/>
      <c r="J338" s="2358"/>
      <c r="K338" s="2358"/>
      <c r="L338" s="2358"/>
      <c r="M338" s="2358"/>
      <c r="N338" s="2358"/>
      <c r="O338" s="2358"/>
      <c r="P338" s="2358"/>
      <c r="Q338" s="2358"/>
      <c r="R338" s="2358"/>
      <c r="S338" s="2358"/>
      <c r="T338" s="2358"/>
      <c r="U338" s="2358"/>
      <c r="V338" s="2358"/>
      <c r="W338" s="2358"/>
      <c r="X338" s="2358"/>
      <c r="Y338" s="2358"/>
      <c r="Z338" s="2358"/>
      <c r="AA338" s="2358"/>
      <c r="AB338" s="2358"/>
      <c r="AC338" s="2358"/>
      <c r="AD338" s="2358"/>
      <c r="AE338" s="2358"/>
      <c r="AF338" s="2358"/>
      <c r="AG338" s="2358"/>
      <c r="AH338" s="2358"/>
      <c r="AI338" s="2358"/>
      <c r="AJ338" s="2358"/>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58"/>
      <c r="D339" s="2358"/>
      <c r="E339" s="2358"/>
      <c r="F339" s="2358"/>
      <c r="G339" s="2358"/>
      <c r="H339" s="2358"/>
      <c r="I339" s="2358"/>
      <c r="J339" s="2358"/>
      <c r="K339" s="2358"/>
      <c r="L339" s="2358"/>
      <c r="M339" s="2358"/>
      <c r="N339" s="2358"/>
      <c r="O339" s="2358"/>
      <c r="P339" s="2358"/>
      <c r="Q339" s="2358"/>
      <c r="R339" s="2358"/>
      <c r="S339" s="2358"/>
      <c r="T339" s="2358"/>
      <c r="U339" s="2358"/>
      <c r="V339" s="2358"/>
      <c r="W339" s="2358"/>
      <c r="X339" s="2358"/>
      <c r="Y339" s="2358"/>
      <c r="Z339" s="2358"/>
      <c r="AA339" s="2358"/>
      <c r="AB339" s="2358"/>
      <c r="AC339" s="2358"/>
      <c r="AD339" s="2358"/>
      <c r="AE339" s="2358"/>
      <c r="AF339" s="2358"/>
      <c r="AG339" s="2358"/>
      <c r="AH339" s="2358"/>
      <c r="AI339" s="2358"/>
      <c r="AJ339" s="2358"/>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58"/>
      <c r="D340" s="2358"/>
      <c r="E340" s="2358"/>
      <c r="F340" s="2358"/>
      <c r="G340" s="2358"/>
      <c r="H340" s="2358"/>
      <c r="I340" s="2358"/>
      <c r="J340" s="2358"/>
      <c r="K340" s="2358"/>
      <c r="L340" s="2358"/>
      <c r="M340" s="2358"/>
      <c r="N340" s="2358"/>
      <c r="O340" s="2358"/>
      <c r="P340" s="2358"/>
      <c r="Q340" s="2358"/>
      <c r="R340" s="2358"/>
      <c r="S340" s="2358"/>
      <c r="T340" s="2358"/>
      <c r="U340" s="2358"/>
      <c r="V340" s="2358"/>
      <c r="W340" s="2358"/>
      <c r="X340" s="2358"/>
      <c r="Y340" s="2358"/>
      <c r="Z340" s="2358"/>
      <c r="AA340" s="2358"/>
      <c r="AB340" s="2358"/>
      <c r="AC340" s="2358"/>
      <c r="AD340" s="2358"/>
      <c r="AE340" s="2358"/>
      <c r="AF340" s="2358"/>
      <c r="AG340" s="2358"/>
      <c r="AH340" s="2358"/>
      <c r="AI340" s="2358"/>
      <c r="AJ340" s="2358"/>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58"/>
      <c r="D341" s="2358"/>
      <c r="E341" s="2358"/>
      <c r="F341" s="2358"/>
      <c r="G341" s="2358"/>
      <c r="H341" s="2358"/>
      <c r="I341" s="2358"/>
      <c r="J341" s="2358"/>
      <c r="K341" s="2358"/>
      <c r="L341" s="2358"/>
      <c r="M341" s="2358"/>
      <c r="N341" s="2358"/>
      <c r="O341" s="2358"/>
      <c r="P341" s="2358"/>
      <c r="Q341" s="2358"/>
      <c r="R341" s="2358"/>
      <c r="S341" s="2358"/>
      <c r="T341" s="2358"/>
      <c r="U341" s="2358"/>
      <c r="V341" s="2358"/>
      <c r="W341" s="2358"/>
      <c r="X341" s="2358"/>
      <c r="Y341" s="2358"/>
      <c r="Z341" s="2358"/>
      <c r="AA341" s="2358"/>
      <c r="AB341" s="2358"/>
      <c r="AC341" s="2358"/>
      <c r="AD341" s="2358"/>
      <c r="AE341" s="2358"/>
      <c r="AF341" s="2358"/>
      <c r="AG341" s="2358"/>
      <c r="AH341" s="2358"/>
      <c r="AI341" s="2358"/>
      <c r="AJ341" s="2358"/>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58"/>
      <c r="D342" s="2358"/>
      <c r="E342" s="2358"/>
      <c r="F342" s="2358"/>
      <c r="G342" s="2358"/>
      <c r="H342" s="2358"/>
      <c r="I342" s="2358"/>
      <c r="J342" s="2358"/>
      <c r="K342" s="2358"/>
      <c r="L342" s="2358"/>
      <c r="M342" s="2358"/>
      <c r="N342" s="2358"/>
      <c r="O342" s="2358"/>
      <c r="P342" s="2358"/>
      <c r="Q342" s="2358"/>
      <c r="R342" s="2358"/>
      <c r="S342" s="2358"/>
      <c r="T342" s="2358"/>
      <c r="U342" s="2358"/>
      <c r="V342" s="2358"/>
      <c r="W342" s="2358"/>
      <c r="X342" s="2358"/>
      <c r="Y342" s="2358"/>
      <c r="Z342" s="2358"/>
      <c r="AA342" s="2358"/>
      <c r="AB342" s="2358"/>
      <c r="AC342" s="2358"/>
      <c r="AD342" s="2358"/>
      <c r="AE342" s="2358"/>
      <c r="AF342" s="2358"/>
      <c r="AG342" s="2358"/>
      <c r="AH342" s="2358"/>
      <c r="AI342" s="2358"/>
      <c r="AJ342" s="2358"/>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58"/>
      <c r="D343" s="2358"/>
      <c r="E343" s="2358"/>
      <c r="F343" s="2358"/>
      <c r="G343" s="2358"/>
      <c r="H343" s="2358"/>
      <c r="I343" s="2358"/>
      <c r="J343" s="2358"/>
      <c r="K343" s="2358"/>
      <c r="L343" s="2358"/>
      <c r="M343" s="2358"/>
      <c r="N343" s="2358"/>
      <c r="O343" s="2358"/>
      <c r="P343" s="2358"/>
      <c r="Q343" s="2358"/>
      <c r="R343" s="2358"/>
      <c r="S343" s="2358"/>
      <c r="T343" s="2358"/>
      <c r="U343" s="2358"/>
      <c r="V343" s="2358"/>
      <c r="W343" s="2358"/>
      <c r="X343" s="2358"/>
      <c r="Y343" s="2358"/>
      <c r="Z343" s="2358"/>
      <c r="AA343" s="2358"/>
      <c r="AB343" s="2358"/>
      <c r="AC343" s="2358"/>
      <c r="AD343" s="2358"/>
      <c r="AE343" s="2358"/>
      <c r="AF343" s="2358"/>
      <c r="AG343" s="2358"/>
      <c r="AH343" s="2358"/>
      <c r="AI343" s="2358"/>
      <c r="AJ343" s="2358"/>
      <c r="AK343" s="163"/>
      <c r="AL343" s="163"/>
      <c r="AM343" s="163"/>
      <c r="AN343" s="439"/>
      <c r="AO343" s="293"/>
    </row>
    <row r="344" spans="1:76" s="46" customFormat="1" ht="12.75" customHeight="1">
      <c r="A344" s="163"/>
      <c r="B344" s="164"/>
      <c r="C344" s="2358" t="s">
        <v>2019</v>
      </c>
      <c r="D344" s="2358"/>
      <c r="E344" s="2358"/>
      <c r="F344" s="2358"/>
      <c r="G344" s="2358"/>
      <c r="H344" s="2358"/>
      <c r="I344" s="2358"/>
      <c r="J344" s="2358"/>
      <c r="K344" s="2358"/>
      <c r="L344" s="2358"/>
      <c r="M344" s="2358"/>
      <c r="N344" s="2358"/>
      <c r="O344" s="2358"/>
      <c r="P344" s="2358"/>
      <c r="Q344" s="2358"/>
      <c r="R344" s="2358"/>
      <c r="S344" s="2358"/>
      <c r="T344" s="2358"/>
      <c r="U344" s="2358"/>
      <c r="V344" s="2358"/>
      <c r="W344" s="2358"/>
      <c r="X344" s="2358"/>
      <c r="Y344" s="2358"/>
      <c r="Z344" s="2358"/>
      <c r="AA344" s="2358"/>
      <c r="AB344" s="2358"/>
      <c r="AC344" s="2358"/>
      <c r="AD344" s="2358"/>
      <c r="AE344" s="2358"/>
      <c r="AF344" s="2358"/>
      <c r="AG344" s="2358"/>
      <c r="AH344" s="2358"/>
      <c r="AI344" s="2358"/>
      <c r="AJ344" s="2358"/>
      <c r="AK344" s="163"/>
      <c r="AL344" s="163"/>
      <c r="AM344" s="163"/>
      <c r="AN344" s="439"/>
    </row>
    <row r="345" spans="1:76" s="46" customFormat="1" ht="12.75" customHeight="1">
      <c r="A345" s="163"/>
      <c r="B345" s="164"/>
      <c r="C345" s="2358"/>
      <c r="D345" s="2358"/>
      <c r="E345" s="2358"/>
      <c r="F345" s="2358"/>
      <c r="G345" s="2358"/>
      <c r="H345" s="2358"/>
      <c r="I345" s="2358"/>
      <c r="J345" s="2358"/>
      <c r="K345" s="2358"/>
      <c r="L345" s="2358"/>
      <c r="M345" s="2358"/>
      <c r="N345" s="2358"/>
      <c r="O345" s="2358"/>
      <c r="P345" s="2358"/>
      <c r="Q345" s="2358"/>
      <c r="R345" s="2358"/>
      <c r="S345" s="2358"/>
      <c r="T345" s="2358"/>
      <c r="U345" s="2358"/>
      <c r="V345" s="2358"/>
      <c r="W345" s="2358"/>
      <c r="X345" s="2358"/>
      <c r="Y345" s="2358"/>
      <c r="Z345" s="2358"/>
      <c r="AA345" s="2358"/>
      <c r="AB345" s="2358"/>
      <c r="AC345" s="2358"/>
      <c r="AD345" s="2358"/>
      <c r="AE345" s="2358"/>
      <c r="AF345" s="2358"/>
      <c r="AG345" s="2358"/>
      <c r="AH345" s="2358"/>
      <c r="AI345" s="2358"/>
      <c r="AJ345" s="2358"/>
      <c r="AK345" s="163"/>
      <c r="AL345" s="163"/>
      <c r="AM345" s="163"/>
      <c r="AN345" s="439"/>
    </row>
    <row r="346" spans="1:76" s="46" customFormat="1" ht="12.75" customHeight="1">
      <c r="A346" s="163"/>
      <c r="B346" s="164"/>
      <c r="C346" s="2358"/>
      <c r="D346" s="2358"/>
      <c r="E346" s="2358"/>
      <c r="F346" s="2358"/>
      <c r="G346" s="2358"/>
      <c r="H346" s="2358"/>
      <c r="I346" s="2358"/>
      <c r="J346" s="2358"/>
      <c r="K346" s="2358"/>
      <c r="L346" s="2358"/>
      <c r="M346" s="2358"/>
      <c r="N346" s="2358"/>
      <c r="O346" s="2358"/>
      <c r="P346" s="2358"/>
      <c r="Q346" s="2358"/>
      <c r="R346" s="2358"/>
      <c r="S346" s="2358"/>
      <c r="T346" s="2358"/>
      <c r="U346" s="2358"/>
      <c r="V346" s="2358"/>
      <c r="W346" s="2358"/>
      <c r="X346" s="2358"/>
      <c r="Y346" s="2358"/>
      <c r="Z346" s="2358"/>
      <c r="AA346" s="2358"/>
      <c r="AB346" s="2358"/>
      <c r="AC346" s="2358"/>
      <c r="AD346" s="2358"/>
      <c r="AE346" s="2358"/>
      <c r="AF346" s="2358"/>
      <c r="AG346" s="2358"/>
      <c r="AH346" s="2358"/>
      <c r="AI346" s="2358"/>
      <c r="AJ346" s="2358"/>
      <c r="AK346" s="163"/>
      <c r="AL346" s="163"/>
      <c r="AM346" s="163"/>
      <c r="AN346" s="439"/>
      <c r="AQ346" s="50"/>
      <c r="AR346" s="137"/>
    </row>
    <row r="347" spans="1:76" s="46" customFormat="1" ht="12.75" customHeight="1">
      <c r="A347" s="163"/>
      <c r="B347" s="144"/>
      <c r="C347" s="2358"/>
      <c r="D347" s="2358"/>
      <c r="E347" s="2358"/>
      <c r="F347" s="2358"/>
      <c r="G347" s="2358"/>
      <c r="H347" s="2358"/>
      <c r="I347" s="2358"/>
      <c r="J347" s="2358"/>
      <c r="K347" s="2358"/>
      <c r="L347" s="2358"/>
      <c r="M347" s="2358"/>
      <c r="N347" s="2358"/>
      <c r="O347" s="2358"/>
      <c r="P347" s="2358"/>
      <c r="Q347" s="2358"/>
      <c r="R347" s="2358"/>
      <c r="S347" s="2358"/>
      <c r="T347" s="2358"/>
      <c r="U347" s="2358"/>
      <c r="V347" s="2358"/>
      <c r="W347" s="2358"/>
      <c r="X347" s="2358"/>
      <c r="Y347" s="2358"/>
      <c r="Z347" s="2358"/>
      <c r="AA347" s="2358"/>
      <c r="AB347" s="2358"/>
      <c r="AC347" s="2358"/>
      <c r="AD347" s="2358"/>
      <c r="AE347" s="2358"/>
      <c r="AF347" s="2358"/>
      <c r="AG347" s="2358"/>
      <c r="AH347" s="2358"/>
      <c r="AI347" s="2358"/>
      <c r="AJ347" s="2358"/>
      <c r="AK347" s="163"/>
      <c r="AL347" s="163"/>
      <c r="AM347" s="163"/>
      <c r="AN347" s="439"/>
      <c r="AQ347" s="50"/>
      <c r="AR347" s="137"/>
    </row>
    <row r="348" spans="1:76" s="46" customFormat="1" ht="12.4" customHeight="1">
      <c r="A348" s="163"/>
      <c r="B348" s="144"/>
      <c r="C348" s="2358"/>
      <c r="D348" s="2358"/>
      <c r="E348" s="2358"/>
      <c r="F348" s="2358"/>
      <c r="G348" s="2358"/>
      <c r="H348" s="2358"/>
      <c r="I348" s="2358"/>
      <c r="J348" s="2358"/>
      <c r="K348" s="2358"/>
      <c r="L348" s="2358"/>
      <c r="M348" s="2358"/>
      <c r="N348" s="2358"/>
      <c r="O348" s="2358"/>
      <c r="P348" s="2358"/>
      <c r="Q348" s="2358"/>
      <c r="R348" s="2358"/>
      <c r="S348" s="2358"/>
      <c r="T348" s="2358"/>
      <c r="U348" s="2358"/>
      <c r="V348" s="2358"/>
      <c r="W348" s="2358"/>
      <c r="X348" s="2358"/>
      <c r="Y348" s="2358"/>
      <c r="Z348" s="2358"/>
      <c r="AA348" s="2358"/>
      <c r="AB348" s="2358"/>
      <c r="AC348" s="2358"/>
      <c r="AD348" s="2358"/>
      <c r="AE348" s="2358"/>
      <c r="AF348" s="2358"/>
      <c r="AG348" s="2358"/>
      <c r="AH348" s="2358"/>
      <c r="AI348" s="2358"/>
      <c r="AJ348" s="2358"/>
      <c r="AK348" s="163"/>
      <c r="AL348" s="163"/>
      <c r="AM348" s="163"/>
      <c r="AN348" s="439"/>
      <c r="AQ348" s="50"/>
      <c r="AR348" s="50"/>
    </row>
    <row r="349" spans="1:76" s="46" customFormat="1" ht="12.75" customHeight="1">
      <c r="A349" s="163"/>
      <c r="B349" s="144"/>
      <c r="C349" s="2358" t="s">
        <v>2020</v>
      </c>
      <c r="D349" s="2358"/>
      <c r="E349" s="2358"/>
      <c r="F349" s="2358"/>
      <c r="G349" s="2358"/>
      <c r="H349" s="2358"/>
      <c r="I349" s="2358"/>
      <c r="J349" s="2358"/>
      <c r="K349" s="2358"/>
      <c r="L349" s="2358"/>
      <c r="M349" s="2358"/>
      <c r="N349" s="2358"/>
      <c r="O349" s="2358"/>
      <c r="P349" s="2358"/>
      <c r="Q349" s="2358"/>
      <c r="R349" s="2358"/>
      <c r="S349" s="2358"/>
      <c r="T349" s="2358"/>
      <c r="U349" s="2358"/>
      <c r="V349" s="2358"/>
      <c r="W349" s="2358"/>
      <c r="X349" s="2358"/>
      <c r="Y349" s="2358"/>
      <c r="Z349" s="2358"/>
      <c r="AA349" s="2358"/>
      <c r="AB349" s="2358"/>
      <c r="AC349" s="2358"/>
      <c r="AD349" s="2358"/>
      <c r="AE349" s="2358"/>
      <c r="AF349" s="2358"/>
      <c r="AG349" s="2358"/>
      <c r="AH349" s="2358"/>
      <c r="AI349" s="2358"/>
      <c r="AJ349" s="2358"/>
      <c r="AK349" s="163"/>
      <c r="AL349" s="163"/>
      <c r="AM349" s="163"/>
      <c r="AN349" s="439"/>
      <c r="AQ349" s="50"/>
      <c r="AR349" s="50"/>
    </row>
    <row r="350" spans="1:76" s="46" customFormat="1" ht="12.75" customHeight="1">
      <c r="A350" s="163"/>
      <c r="B350" s="144"/>
      <c r="C350" s="2358"/>
      <c r="D350" s="2358"/>
      <c r="E350" s="2358"/>
      <c r="F350" s="2358"/>
      <c r="G350" s="2358"/>
      <c r="H350" s="2358"/>
      <c r="I350" s="2358"/>
      <c r="J350" s="2358"/>
      <c r="K350" s="2358"/>
      <c r="L350" s="2358"/>
      <c r="M350" s="2358"/>
      <c r="N350" s="2358"/>
      <c r="O350" s="2358"/>
      <c r="P350" s="2358"/>
      <c r="Q350" s="2358"/>
      <c r="R350" s="2358"/>
      <c r="S350" s="2358"/>
      <c r="T350" s="2358"/>
      <c r="U350" s="2358"/>
      <c r="V350" s="2358"/>
      <c r="W350" s="2358"/>
      <c r="X350" s="2358"/>
      <c r="Y350" s="2358"/>
      <c r="Z350" s="2358"/>
      <c r="AA350" s="2358"/>
      <c r="AB350" s="2358"/>
      <c r="AC350" s="2358"/>
      <c r="AD350" s="2358"/>
      <c r="AE350" s="2358"/>
      <c r="AF350" s="2358"/>
      <c r="AG350" s="2358"/>
      <c r="AH350" s="2358"/>
      <c r="AI350" s="2358"/>
      <c r="AJ350" s="2358"/>
      <c r="AK350" s="163"/>
      <c r="AL350" s="163"/>
      <c r="AM350" s="163"/>
      <c r="AN350" s="439"/>
      <c r="AQ350" s="137"/>
      <c r="AR350" s="50"/>
    </row>
    <row r="351" spans="1:76" s="46" customFormat="1" ht="12.75" customHeight="1">
      <c r="A351" s="163"/>
      <c r="B351" s="144"/>
      <c r="C351" s="2358"/>
      <c r="D351" s="2358"/>
      <c r="E351" s="2358"/>
      <c r="F351" s="2358"/>
      <c r="G351" s="2358"/>
      <c r="H351" s="2358"/>
      <c r="I351" s="2358"/>
      <c r="J351" s="2358"/>
      <c r="K351" s="2358"/>
      <c r="L351" s="2358"/>
      <c r="M351" s="2358"/>
      <c r="N351" s="2358"/>
      <c r="O351" s="2358"/>
      <c r="P351" s="2358"/>
      <c r="Q351" s="2358"/>
      <c r="R351" s="2358"/>
      <c r="S351" s="2358"/>
      <c r="T351" s="2358"/>
      <c r="U351" s="2358"/>
      <c r="V351" s="2358"/>
      <c r="W351" s="2358"/>
      <c r="X351" s="2358"/>
      <c r="Y351" s="2358"/>
      <c r="Z351" s="2358"/>
      <c r="AA351" s="2358"/>
      <c r="AB351" s="2358"/>
      <c r="AC351" s="2358"/>
      <c r="AD351" s="2358"/>
      <c r="AE351" s="2358"/>
      <c r="AF351" s="2358"/>
      <c r="AG351" s="2358"/>
      <c r="AH351" s="2358"/>
      <c r="AI351" s="2358"/>
      <c r="AJ351" s="2358"/>
      <c r="AK351" s="163"/>
      <c r="AL351" s="163"/>
      <c r="AM351" s="163"/>
      <c r="AN351" s="439"/>
      <c r="AQ351" s="137"/>
      <c r="AR351" s="50"/>
    </row>
    <row r="352" spans="1:76" s="46" customFormat="1" ht="12.75" customHeight="1">
      <c r="A352" s="163"/>
      <c r="B352" s="144"/>
      <c r="C352" s="2358" t="s">
        <v>2021</v>
      </c>
      <c r="D352" s="2358"/>
      <c r="E352" s="2358"/>
      <c r="F352" s="2358"/>
      <c r="G352" s="2358"/>
      <c r="H352" s="2358"/>
      <c r="I352" s="2358"/>
      <c r="J352" s="2358"/>
      <c r="K352" s="2358"/>
      <c r="L352" s="2358"/>
      <c r="M352" s="2358"/>
      <c r="N352" s="2358"/>
      <c r="O352" s="2358"/>
      <c r="P352" s="2358"/>
      <c r="Q352" s="2358"/>
      <c r="R352" s="2358"/>
      <c r="S352" s="2358"/>
      <c r="T352" s="2358"/>
      <c r="U352" s="2358"/>
      <c r="V352" s="2358"/>
      <c r="W352" s="2358"/>
      <c r="X352" s="2358"/>
      <c r="Y352" s="2358"/>
      <c r="Z352" s="2358"/>
      <c r="AA352" s="2358"/>
      <c r="AB352" s="2358"/>
      <c r="AC352" s="2358"/>
      <c r="AD352" s="2358"/>
      <c r="AE352" s="2358"/>
      <c r="AF352" s="2358"/>
      <c r="AG352" s="2358"/>
      <c r="AH352" s="2358"/>
      <c r="AI352" s="2358"/>
      <c r="AJ352" s="2358"/>
      <c r="AK352" s="163"/>
      <c r="AL352" s="163"/>
      <c r="AM352" s="163"/>
      <c r="AN352" s="439"/>
      <c r="AQ352" s="50"/>
      <c r="AR352" s="50"/>
    </row>
    <row r="353" spans="1:46" s="46" customFormat="1" ht="12.75" customHeight="1">
      <c r="A353" s="163"/>
      <c r="B353" s="144"/>
      <c r="C353" s="2358"/>
      <c r="D353" s="2358"/>
      <c r="E353" s="2358"/>
      <c r="F353" s="2358"/>
      <c r="G353" s="2358"/>
      <c r="H353" s="2358"/>
      <c r="I353" s="2358"/>
      <c r="J353" s="2358"/>
      <c r="K353" s="2358"/>
      <c r="L353" s="2358"/>
      <c r="M353" s="2358"/>
      <c r="N353" s="2358"/>
      <c r="O353" s="2358"/>
      <c r="P353" s="2358"/>
      <c r="Q353" s="2358"/>
      <c r="R353" s="2358"/>
      <c r="S353" s="2358"/>
      <c r="T353" s="2358"/>
      <c r="U353" s="2358"/>
      <c r="V353" s="2358"/>
      <c r="W353" s="2358"/>
      <c r="X353" s="2358"/>
      <c r="Y353" s="2358"/>
      <c r="Z353" s="2358"/>
      <c r="AA353" s="2358"/>
      <c r="AB353" s="2358"/>
      <c r="AC353" s="2358"/>
      <c r="AD353" s="2358"/>
      <c r="AE353" s="2358"/>
      <c r="AF353" s="2358"/>
      <c r="AG353" s="2358"/>
      <c r="AH353" s="2358"/>
      <c r="AI353" s="2358"/>
      <c r="AJ353" s="2358"/>
      <c r="AK353" s="163"/>
      <c r="AL353" s="163"/>
      <c r="AM353" s="163"/>
      <c r="AN353" s="439"/>
      <c r="AQ353" s="50"/>
      <c r="AR353" s="50"/>
    </row>
    <row r="354" spans="1:46" s="46" customFormat="1" ht="13.15" customHeight="1">
      <c r="A354" s="163"/>
      <c r="B354" s="144"/>
      <c r="C354" s="2358"/>
      <c r="D354" s="2358"/>
      <c r="E354" s="2358"/>
      <c r="F354" s="2358"/>
      <c r="G354" s="2358"/>
      <c r="H354" s="2358"/>
      <c r="I354" s="2358"/>
      <c r="J354" s="2358"/>
      <c r="K354" s="2358"/>
      <c r="L354" s="2358"/>
      <c r="M354" s="2358"/>
      <c r="N354" s="2358"/>
      <c r="O354" s="2358"/>
      <c r="P354" s="2358"/>
      <c r="Q354" s="2358"/>
      <c r="R354" s="2358"/>
      <c r="S354" s="2358"/>
      <c r="T354" s="2358"/>
      <c r="U354" s="2358"/>
      <c r="V354" s="2358"/>
      <c r="W354" s="2358"/>
      <c r="X354" s="2358"/>
      <c r="Y354" s="2358"/>
      <c r="Z354" s="2358"/>
      <c r="AA354" s="2358"/>
      <c r="AB354" s="2358"/>
      <c r="AC354" s="2358"/>
      <c r="AD354" s="2358"/>
      <c r="AE354" s="2358"/>
      <c r="AF354" s="2358"/>
      <c r="AG354" s="2358"/>
      <c r="AH354" s="2358"/>
      <c r="AI354" s="2358"/>
      <c r="AJ354" s="2358"/>
      <c r="AK354" s="163"/>
      <c r="AL354" s="163"/>
      <c r="AM354" s="163"/>
      <c r="AN354" s="439"/>
      <c r="AQ354" s="50"/>
      <c r="AR354" s="50"/>
    </row>
    <row r="355" spans="1:46" s="46" customFormat="1" ht="12.75" customHeight="1">
      <c r="A355" s="163"/>
      <c r="B355" s="144"/>
      <c r="C355" s="2358"/>
      <c r="D355" s="2358"/>
      <c r="E355" s="2358"/>
      <c r="F355" s="2358"/>
      <c r="G355" s="2358"/>
      <c r="H355" s="2358"/>
      <c r="I355" s="2358"/>
      <c r="J355" s="2358"/>
      <c r="K355" s="2358"/>
      <c r="L355" s="2358"/>
      <c r="M355" s="2358"/>
      <c r="N355" s="2358"/>
      <c r="O355" s="2358"/>
      <c r="P355" s="2358"/>
      <c r="Q355" s="2358"/>
      <c r="R355" s="2358"/>
      <c r="S355" s="2358"/>
      <c r="T355" s="2358"/>
      <c r="U355" s="2358"/>
      <c r="V355" s="2358"/>
      <c r="W355" s="2358"/>
      <c r="X355" s="2358"/>
      <c r="Y355" s="2358"/>
      <c r="Z355" s="2358"/>
      <c r="AA355" s="2358"/>
      <c r="AB355" s="2358"/>
      <c r="AC355" s="2358"/>
      <c r="AD355" s="2358"/>
      <c r="AE355" s="2358"/>
      <c r="AF355" s="2358"/>
      <c r="AG355" s="2358"/>
      <c r="AH355" s="2358"/>
      <c r="AI355" s="2358"/>
      <c r="AJ355" s="2358"/>
      <c r="AK355" s="163"/>
      <c r="AL355" s="163"/>
      <c r="AM355" s="163"/>
      <c r="AN355" s="439"/>
      <c r="AO355" s="257"/>
      <c r="AP355" s="257"/>
      <c r="AQ355" s="50"/>
      <c r="AR355" s="137"/>
    </row>
    <row r="356" spans="1:46" s="46" customFormat="1" ht="11.85" customHeight="1">
      <c r="A356" s="163"/>
      <c r="B356" s="144"/>
      <c r="C356" s="2358"/>
      <c r="D356" s="2358"/>
      <c r="E356" s="2358"/>
      <c r="F356" s="2358"/>
      <c r="G356" s="2358"/>
      <c r="H356" s="2358"/>
      <c r="I356" s="2358"/>
      <c r="J356" s="2358"/>
      <c r="K356" s="2358"/>
      <c r="L356" s="2358"/>
      <c r="M356" s="2358"/>
      <c r="N356" s="2358"/>
      <c r="O356" s="2358"/>
      <c r="P356" s="2358"/>
      <c r="Q356" s="2358"/>
      <c r="R356" s="2358"/>
      <c r="S356" s="2358"/>
      <c r="T356" s="2358"/>
      <c r="U356" s="2358"/>
      <c r="V356" s="2358"/>
      <c r="W356" s="2358"/>
      <c r="X356" s="2358"/>
      <c r="Y356" s="2358"/>
      <c r="Z356" s="2358"/>
      <c r="AA356" s="2358"/>
      <c r="AB356" s="2358"/>
      <c r="AC356" s="2358"/>
      <c r="AD356" s="2358"/>
      <c r="AE356" s="2358"/>
      <c r="AF356" s="2358"/>
      <c r="AG356" s="2358"/>
      <c r="AH356" s="2358"/>
      <c r="AI356" s="2358"/>
      <c r="AJ356" s="2358"/>
      <c r="AK356" s="163"/>
      <c r="AL356" s="163"/>
      <c r="AM356" s="163"/>
      <c r="AN356" s="439"/>
      <c r="AO356" s="1118" t="s">
        <v>983</v>
      </c>
      <c r="AP356" s="1119">
        <f>IF(C381="Yes",5,0)</f>
        <v>0</v>
      </c>
      <c r="AQ356" s="137"/>
      <c r="AR356" s="137"/>
      <c r="AS356" s="63" t="s">
        <v>1946</v>
      </c>
    </row>
    <row r="357" spans="1:46" s="46" customFormat="1" ht="12.75" customHeight="1">
      <c r="A357" s="163"/>
      <c r="B357" s="144"/>
      <c r="C357" s="2358"/>
      <c r="D357" s="2358"/>
      <c r="E357" s="2358"/>
      <c r="F357" s="2358"/>
      <c r="G357" s="2358"/>
      <c r="H357" s="2358"/>
      <c r="I357" s="2358"/>
      <c r="J357" s="2358"/>
      <c r="K357" s="2358"/>
      <c r="L357" s="2358"/>
      <c r="M357" s="2358"/>
      <c r="N357" s="2358"/>
      <c r="O357" s="2358"/>
      <c r="P357" s="2358"/>
      <c r="Q357" s="2358"/>
      <c r="R357" s="2358"/>
      <c r="S357" s="2358"/>
      <c r="T357" s="2358"/>
      <c r="U357" s="2358"/>
      <c r="V357" s="2358"/>
      <c r="W357" s="2358"/>
      <c r="X357" s="2358"/>
      <c r="Y357" s="2358"/>
      <c r="Z357" s="2358"/>
      <c r="AA357" s="2358"/>
      <c r="AB357" s="2358"/>
      <c r="AC357" s="2358"/>
      <c r="AD357" s="2358"/>
      <c r="AE357" s="2358"/>
      <c r="AF357" s="2358"/>
      <c r="AG357" s="2358"/>
      <c r="AH357" s="2358"/>
      <c r="AI357" s="2358"/>
      <c r="AJ357" s="2358"/>
      <c r="AK357" s="163"/>
      <c r="AL357" s="163"/>
      <c r="AM357" s="163"/>
      <c r="AN357" s="439"/>
      <c r="AO357" s="1118"/>
      <c r="AP357" s="1119"/>
      <c r="AQ357" s="137"/>
      <c r="AR357" s="137"/>
      <c r="AS357" s="2573">
        <f>IF(AQ370=0,AQ383,AQ370)</f>
        <v>10</v>
      </c>
      <c r="AT357" s="2573"/>
    </row>
    <row r="358" spans="1:46" s="46" customFormat="1" ht="12.75" customHeight="1">
      <c r="A358" s="163"/>
      <c r="B358" s="144"/>
      <c r="C358" s="2358"/>
      <c r="D358" s="2358"/>
      <c r="E358" s="2358"/>
      <c r="F358" s="2358"/>
      <c r="G358" s="2358"/>
      <c r="H358" s="2358"/>
      <c r="I358" s="2358"/>
      <c r="J358" s="2358"/>
      <c r="K358" s="2358"/>
      <c r="L358" s="2358"/>
      <c r="M358" s="2358"/>
      <c r="N358" s="2358"/>
      <c r="O358" s="2358"/>
      <c r="P358" s="2358"/>
      <c r="Q358" s="2358"/>
      <c r="R358" s="2358"/>
      <c r="S358" s="2358"/>
      <c r="T358" s="2358"/>
      <c r="U358" s="2358"/>
      <c r="V358" s="2358"/>
      <c r="W358" s="2358"/>
      <c r="X358" s="2358"/>
      <c r="Y358" s="2358"/>
      <c r="Z358" s="2358"/>
      <c r="AA358" s="2358"/>
      <c r="AB358" s="2358"/>
      <c r="AC358" s="2358"/>
      <c r="AD358" s="2358"/>
      <c r="AE358" s="2358"/>
      <c r="AF358" s="2358"/>
      <c r="AG358" s="2358"/>
      <c r="AH358" s="2358"/>
      <c r="AI358" s="2358"/>
      <c r="AJ358" s="2358"/>
      <c r="AK358" s="163"/>
      <c r="AL358" s="163"/>
      <c r="AM358" s="163"/>
      <c r="AN358" s="439"/>
      <c r="AO358" s="1118" t="s">
        <v>984</v>
      </c>
      <c r="AP358" s="1119">
        <f>IF(C391="Yes",5,0)</f>
        <v>0</v>
      </c>
      <c r="AS358" s="63" t="s">
        <v>1980</v>
      </c>
    </row>
    <row r="359" spans="1:46" s="46" customFormat="1" ht="12.75" customHeight="1">
      <c r="A359" s="163"/>
      <c r="B359" s="144"/>
      <c r="C359" s="2358"/>
      <c r="D359" s="2358"/>
      <c r="E359" s="2358"/>
      <c r="F359" s="2358"/>
      <c r="G359" s="2358"/>
      <c r="H359" s="2358"/>
      <c r="I359" s="2358"/>
      <c r="J359" s="2358"/>
      <c r="K359" s="2358"/>
      <c r="L359" s="2358"/>
      <c r="M359" s="2358"/>
      <c r="N359" s="2358"/>
      <c r="O359" s="2358"/>
      <c r="P359" s="2358"/>
      <c r="Q359" s="2358"/>
      <c r="R359" s="2358"/>
      <c r="S359" s="2358"/>
      <c r="T359" s="2358"/>
      <c r="U359" s="2358"/>
      <c r="V359" s="2358"/>
      <c r="W359" s="2358"/>
      <c r="X359" s="2358"/>
      <c r="Y359" s="2358"/>
      <c r="Z359" s="2358"/>
      <c r="AA359" s="2358"/>
      <c r="AB359" s="2358"/>
      <c r="AC359" s="2358"/>
      <c r="AD359" s="2358"/>
      <c r="AE359" s="2358"/>
      <c r="AF359" s="2358"/>
      <c r="AG359" s="2358"/>
      <c r="AH359" s="2358"/>
      <c r="AI359" s="2358"/>
      <c r="AJ359" s="2358"/>
      <c r="AK359" s="163"/>
      <c r="AL359" s="163"/>
      <c r="AM359" s="163"/>
      <c r="AN359" s="439"/>
      <c r="AO359" s="1118"/>
      <c r="AP359" s="1119"/>
      <c r="AS359" s="2573">
        <f>IF(AND(AQ370&gt;0,AQ383&gt;0),(AQ370+AQ383)/2,0)</f>
        <v>0</v>
      </c>
      <c r="AT359" s="2573"/>
    </row>
    <row r="360" spans="1:46" s="46" customFormat="1" ht="12.75" customHeight="1">
      <c r="A360" s="163"/>
      <c r="B360" s="144"/>
      <c r="C360" s="2358"/>
      <c r="D360" s="2358"/>
      <c r="E360" s="2358"/>
      <c r="F360" s="2358"/>
      <c r="G360" s="2358"/>
      <c r="H360" s="2358"/>
      <c r="I360" s="2358"/>
      <c r="J360" s="2358"/>
      <c r="K360" s="2358"/>
      <c r="L360" s="2358"/>
      <c r="M360" s="2358"/>
      <c r="N360" s="2358"/>
      <c r="O360" s="2358"/>
      <c r="P360" s="2358"/>
      <c r="Q360" s="2358"/>
      <c r="R360" s="2358"/>
      <c r="S360" s="2358"/>
      <c r="T360" s="2358"/>
      <c r="U360" s="2358"/>
      <c r="V360" s="2358"/>
      <c r="W360" s="2358"/>
      <c r="X360" s="2358"/>
      <c r="Y360" s="2358"/>
      <c r="Z360" s="2358"/>
      <c r="AA360" s="2358"/>
      <c r="AB360" s="2358"/>
      <c r="AC360" s="2358"/>
      <c r="AD360" s="2358"/>
      <c r="AE360" s="2358"/>
      <c r="AF360" s="2358"/>
      <c r="AG360" s="2358"/>
      <c r="AH360" s="2358"/>
      <c r="AI360" s="2358"/>
      <c r="AJ360" s="2358"/>
      <c r="AK360" s="163"/>
      <c r="AL360" s="163"/>
      <c r="AM360" s="163"/>
      <c r="AN360" s="439"/>
      <c r="AO360" s="1118" t="s">
        <v>990</v>
      </c>
      <c r="AP360" s="1119">
        <f>IF(C401="Yes",7,0)</f>
        <v>7</v>
      </c>
      <c r="AQ360" s="137"/>
      <c r="AR360" s="137"/>
    </row>
    <row r="361" spans="1:46" s="46" customFormat="1" ht="12.75" customHeight="1">
      <c r="A361" s="163"/>
      <c r="B361" s="144"/>
      <c r="C361" s="2358" t="s">
        <v>2022</v>
      </c>
      <c r="D361" s="2358"/>
      <c r="E361" s="2358"/>
      <c r="F361" s="2358"/>
      <c r="G361" s="2358"/>
      <c r="H361" s="2358"/>
      <c r="I361" s="2358"/>
      <c r="J361" s="2358"/>
      <c r="K361" s="2358"/>
      <c r="L361" s="2358"/>
      <c r="M361" s="2358"/>
      <c r="N361" s="2358"/>
      <c r="O361" s="2358"/>
      <c r="P361" s="2358"/>
      <c r="Q361" s="2358"/>
      <c r="R361" s="2358"/>
      <c r="S361" s="2358"/>
      <c r="T361" s="2358"/>
      <c r="U361" s="2358"/>
      <c r="V361" s="2358"/>
      <c r="W361" s="2358"/>
      <c r="X361" s="2358"/>
      <c r="Y361" s="2358"/>
      <c r="Z361" s="2358"/>
      <c r="AA361" s="2358"/>
      <c r="AB361" s="2358"/>
      <c r="AC361" s="2358"/>
      <c r="AD361" s="2358"/>
      <c r="AE361" s="2358"/>
      <c r="AF361" s="2358"/>
      <c r="AG361" s="2358"/>
      <c r="AH361" s="2358"/>
      <c r="AI361" s="2358"/>
      <c r="AJ361" s="2358"/>
      <c r="AK361" s="163"/>
      <c r="AL361" s="163"/>
      <c r="AM361" s="163"/>
      <c r="AN361" s="439"/>
      <c r="AO361" s="439"/>
      <c r="AP361" s="1119">
        <f>IF(C403="Yes",5,0)</f>
        <v>0</v>
      </c>
    </row>
    <row r="362" spans="1:46" s="46" customFormat="1" ht="12.75" customHeight="1">
      <c r="A362" s="163"/>
      <c r="B362" s="144"/>
      <c r="C362" s="2358"/>
      <c r="D362" s="2358"/>
      <c r="E362" s="2358"/>
      <c r="F362" s="2358"/>
      <c r="G362" s="2358"/>
      <c r="H362" s="2358"/>
      <c r="I362" s="2358"/>
      <c r="J362" s="2358"/>
      <c r="K362" s="2358"/>
      <c r="L362" s="2358"/>
      <c r="M362" s="2358"/>
      <c r="N362" s="2358"/>
      <c r="O362" s="2358"/>
      <c r="P362" s="2358"/>
      <c r="Q362" s="2358"/>
      <c r="R362" s="2358"/>
      <c r="S362" s="2358"/>
      <c r="T362" s="2358"/>
      <c r="U362" s="2358"/>
      <c r="V362" s="2358"/>
      <c r="W362" s="2358"/>
      <c r="X362" s="2358"/>
      <c r="Y362" s="2358"/>
      <c r="Z362" s="2358"/>
      <c r="AA362" s="2358"/>
      <c r="AB362" s="2358"/>
      <c r="AC362" s="2358"/>
      <c r="AD362" s="2358"/>
      <c r="AE362" s="2358"/>
      <c r="AF362" s="2358"/>
      <c r="AG362" s="2358"/>
      <c r="AH362" s="2358"/>
      <c r="AI362" s="2358"/>
      <c r="AJ362" s="2358"/>
      <c r="AK362" s="163"/>
      <c r="AL362" s="163"/>
      <c r="AM362" s="163"/>
      <c r="AN362" s="439"/>
      <c r="AO362" s="439"/>
      <c r="AP362" s="1119"/>
    </row>
    <row r="363" spans="1:46" s="46" customFormat="1" ht="12.75" customHeight="1">
      <c r="A363" s="163"/>
      <c r="B363" s="144"/>
      <c r="C363" s="2358"/>
      <c r="D363" s="2358"/>
      <c r="E363" s="2358"/>
      <c r="F363" s="2358"/>
      <c r="G363" s="2358"/>
      <c r="H363" s="2358"/>
      <c r="I363" s="2358"/>
      <c r="J363" s="2358"/>
      <c r="K363" s="2358"/>
      <c r="L363" s="2358"/>
      <c r="M363" s="2358"/>
      <c r="N363" s="2358"/>
      <c r="O363" s="2358"/>
      <c r="P363" s="2358"/>
      <c r="Q363" s="2358"/>
      <c r="R363" s="2358"/>
      <c r="S363" s="2358"/>
      <c r="T363" s="2358"/>
      <c r="U363" s="2358"/>
      <c r="V363" s="2358"/>
      <c r="W363" s="2358"/>
      <c r="X363" s="2358"/>
      <c r="Y363" s="2358"/>
      <c r="Z363" s="2358"/>
      <c r="AA363" s="2358"/>
      <c r="AB363" s="2358"/>
      <c r="AC363" s="2358"/>
      <c r="AD363" s="2358"/>
      <c r="AE363" s="2358"/>
      <c r="AF363" s="2358"/>
      <c r="AG363" s="2358"/>
      <c r="AH363" s="2358"/>
      <c r="AI363" s="2358"/>
      <c r="AJ363" s="2358"/>
      <c r="AK363" s="163"/>
      <c r="AL363" s="163"/>
      <c r="AM363" s="163"/>
      <c r="AN363" s="439"/>
      <c r="AO363" s="1118" t="s">
        <v>477</v>
      </c>
      <c r="AP363" s="1119">
        <f>IF(C411="Yes",5,0)</f>
        <v>0</v>
      </c>
    </row>
    <row r="364" spans="1:46" s="46" customFormat="1" ht="11.85" customHeight="1">
      <c r="A364" s="163"/>
      <c r="B364" s="144"/>
      <c r="C364" s="2358"/>
      <c r="D364" s="2358"/>
      <c r="E364" s="2358"/>
      <c r="F364" s="2358"/>
      <c r="G364" s="2358"/>
      <c r="H364" s="2358"/>
      <c r="I364" s="2358"/>
      <c r="J364" s="2358"/>
      <c r="K364" s="2358"/>
      <c r="L364" s="2358"/>
      <c r="M364" s="2358"/>
      <c r="N364" s="2358"/>
      <c r="O364" s="2358"/>
      <c r="P364" s="2358"/>
      <c r="Q364" s="2358"/>
      <c r="R364" s="2358"/>
      <c r="S364" s="2358"/>
      <c r="T364" s="2358"/>
      <c r="U364" s="2358"/>
      <c r="V364" s="2358"/>
      <c r="W364" s="2358"/>
      <c r="X364" s="2358"/>
      <c r="Y364" s="2358"/>
      <c r="Z364" s="2358"/>
      <c r="AA364" s="2358"/>
      <c r="AB364" s="2358"/>
      <c r="AC364" s="2358"/>
      <c r="AD364" s="2358"/>
      <c r="AE364" s="2358"/>
      <c r="AF364" s="2358"/>
      <c r="AG364" s="2358"/>
      <c r="AH364" s="2358"/>
      <c r="AI364" s="2358"/>
      <c r="AJ364" s="2358"/>
      <c r="AK364" s="163"/>
      <c r="AL364" s="163"/>
      <c r="AM364" s="163"/>
      <c r="AN364" s="439"/>
      <c r="AO364" s="439"/>
      <c r="AP364" s="1119">
        <f>IF(C413="Yes",3,0)</f>
        <v>3</v>
      </c>
    </row>
    <row r="365" spans="1:46" s="46" customFormat="1" ht="12.4" customHeight="1">
      <c r="A365" s="163"/>
      <c r="B365" s="144"/>
      <c r="C365" s="2358"/>
      <c r="D365" s="2358"/>
      <c r="E365" s="2358"/>
      <c r="F365" s="2358"/>
      <c r="G365" s="2358"/>
      <c r="H365" s="2358"/>
      <c r="I365" s="2358"/>
      <c r="J365" s="2358"/>
      <c r="K365" s="2358"/>
      <c r="L365" s="2358"/>
      <c r="M365" s="2358"/>
      <c r="N365" s="2358"/>
      <c r="O365" s="2358"/>
      <c r="P365" s="2358"/>
      <c r="Q365" s="2358"/>
      <c r="R365" s="2358"/>
      <c r="S365" s="2358"/>
      <c r="T365" s="2358"/>
      <c r="U365" s="2358"/>
      <c r="V365" s="2358"/>
      <c r="W365" s="2358"/>
      <c r="X365" s="2358"/>
      <c r="Y365" s="2358"/>
      <c r="Z365" s="2358"/>
      <c r="AA365" s="2358"/>
      <c r="AB365" s="2358"/>
      <c r="AC365" s="2358"/>
      <c r="AD365" s="2358"/>
      <c r="AE365" s="2358"/>
      <c r="AF365" s="2358"/>
      <c r="AG365" s="2358"/>
      <c r="AH365" s="2358"/>
      <c r="AI365" s="2358"/>
      <c r="AJ365" s="2358"/>
      <c r="AK365" s="163"/>
      <c r="AL365" s="163"/>
      <c r="AM365" s="163"/>
      <c r="AN365" s="439"/>
      <c r="AO365" s="439"/>
      <c r="AP365" s="1119"/>
    </row>
    <row r="366" spans="1:46" s="46" customFormat="1" ht="12.75" customHeight="1">
      <c r="A366" s="163"/>
      <c r="B366" s="144"/>
      <c r="C366" s="2358"/>
      <c r="D366" s="2358"/>
      <c r="E366" s="2358"/>
      <c r="F366" s="2358"/>
      <c r="G366" s="2358"/>
      <c r="H366" s="2358"/>
      <c r="I366" s="2358"/>
      <c r="J366" s="2358"/>
      <c r="K366" s="2358"/>
      <c r="L366" s="2358"/>
      <c r="M366" s="2358"/>
      <c r="N366" s="2358"/>
      <c r="O366" s="2358"/>
      <c r="P366" s="2358"/>
      <c r="Q366" s="2358"/>
      <c r="R366" s="2358"/>
      <c r="S366" s="2358"/>
      <c r="T366" s="2358"/>
      <c r="U366" s="2358"/>
      <c r="V366" s="2358"/>
      <c r="W366" s="2358"/>
      <c r="X366" s="2358"/>
      <c r="Y366" s="2358"/>
      <c r="Z366" s="2358"/>
      <c r="AA366" s="2358"/>
      <c r="AB366" s="2358"/>
      <c r="AC366" s="2358"/>
      <c r="AD366" s="2358"/>
      <c r="AE366" s="2358"/>
      <c r="AF366" s="2358"/>
      <c r="AG366" s="2358"/>
      <c r="AH366" s="2358"/>
      <c r="AI366" s="2358"/>
      <c r="AJ366" s="2358"/>
      <c r="AK366" s="163"/>
      <c r="AL366" s="163"/>
      <c r="AM366" s="163"/>
      <c r="AN366" s="439"/>
      <c r="AO366" s="1118" t="s">
        <v>187</v>
      </c>
      <c r="AP366" s="1119">
        <f>IF(C416="Yes",5,0)</f>
        <v>0</v>
      </c>
    </row>
    <row r="367" spans="1:46" s="46" customFormat="1" ht="12.75" customHeight="1">
      <c r="A367" s="163"/>
      <c r="B367" s="144"/>
      <c r="C367" s="2358"/>
      <c r="D367" s="2358"/>
      <c r="E367" s="2358"/>
      <c r="F367" s="2358"/>
      <c r="G367" s="2358"/>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c r="AI367" s="2358"/>
      <c r="AJ367" s="2358"/>
      <c r="AK367" s="163"/>
      <c r="AL367" s="163"/>
      <c r="AM367" s="163"/>
      <c r="AN367" s="439"/>
      <c r="AO367" s="1118" t="s">
        <v>480</v>
      </c>
      <c r="AP367" s="1119">
        <f>IF(C425="Yes",5,0)</f>
        <v>0</v>
      </c>
    </row>
    <row r="368" spans="1:46" s="46" customFormat="1" ht="12.75" customHeight="1">
      <c r="A368" s="163"/>
      <c r="B368" s="144"/>
      <c r="C368" s="2358" t="s">
        <v>2023</v>
      </c>
      <c r="D368" s="2358"/>
      <c r="E368" s="2358"/>
      <c r="F368" s="2358"/>
      <c r="G368" s="2358"/>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c r="AI368" s="2358"/>
      <c r="AJ368" s="2358"/>
      <c r="AK368" s="163"/>
      <c r="AL368" s="163"/>
      <c r="AM368" s="163"/>
      <c r="AN368" s="439"/>
      <c r="AO368" s="439"/>
      <c r="AP368" s="1119">
        <f>IF(C427="Yes",3,0)</f>
        <v>0</v>
      </c>
    </row>
    <row r="369" spans="1:153" s="46" customFormat="1" ht="12.75" customHeight="1">
      <c r="A369" s="163"/>
      <c r="B369" s="144"/>
      <c r="C369" s="2358"/>
      <c r="D369" s="2358"/>
      <c r="E369" s="2358"/>
      <c r="F369" s="2358"/>
      <c r="G369" s="2358"/>
      <c r="H369" s="2358"/>
      <c r="I369" s="2358"/>
      <c r="J369" s="2358"/>
      <c r="K369" s="2358"/>
      <c r="L369" s="2358"/>
      <c r="M369" s="2358"/>
      <c r="N369" s="2358"/>
      <c r="O369" s="2358"/>
      <c r="P369" s="2358"/>
      <c r="Q369" s="2358"/>
      <c r="R369" s="2358"/>
      <c r="S369" s="2358"/>
      <c r="T369" s="2358"/>
      <c r="U369" s="2358"/>
      <c r="V369" s="2358"/>
      <c r="W369" s="2358"/>
      <c r="X369" s="2358"/>
      <c r="Y369" s="2358"/>
      <c r="Z369" s="2358"/>
      <c r="AA369" s="2358"/>
      <c r="AB369" s="2358"/>
      <c r="AC369" s="2358"/>
      <c r="AD369" s="2358"/>
      <c r="AE369" s="2358"/>
      <c r="AF369" s="2358"/>
      <c r="AG369" s="2358"/>
      <c r="AH369" s="2358"/>
      <c r="AI369" s="2358"/>
      <c r="AJ369" s="2358"/>
      <c r="AK369" s="163"/>
      <c r="AL369" s="163"/>
      <c r="AM369" s="163"/>
      <c r="AN369" s="439"/>
      <c r="AO369" s="1120"/>
      <c r="AP369" s="1121"/>
    </row>
    <row r="370" spans="1:153" s="46" customFormat="1" ht="68.099999999999994" customHeight="1">
      <c r="A370" s="163"/>
      <c r="B370" s="144"/>
      <c r="C370" s="2358"/>
      <c r="D370" s="2358"/>
      <c r="E370" s="2358"/>
      <c r="F370" s="2358"/>
      <c r="G370" s="2358"/>
      <c r="H370" s="2358"/>
      <c r="I370" s="2358"/>
      <c r="J370" s="2358"/>
      <c r="K370" s="2358"/>
      <c r="L370" s="2358"/>
      <c r="M370" s="2358"/>
      <c r="N370" s="2358"/>
      <c r="O370" s="2358"/>
      <c r="P370" s="2358"/>
      <c r="Q370" s="2358"/>
      <c r="R370" s="2358"/>
      <c r="S370" s="2358"/>
      <c r="T370" s="2358"/>
      <c r="U370" s="2358"/>
      <c r="V370" s="2358"/>
      <c r="W370" s="2358"/>
      <c r="X370" s="2358"/>
      <c r="Y370" s="2358"/>
      <c r="Z370" s="2358"/>
      <c r="AA370" s="2358"/>
      <c r="AB370" s="2358"/>
      <c r="AC370" s="2358"/>
      <c r="AD370" s="2358"/>
      <c r="AE370" s="2358"/>
      <c r="AF370" s="2358"/>
      <c r="AG370" s="2358"/>
      <c r="AH370" s="2358"/>
      <c r="AI370" s="2358"/>
      <c r="AJ370" s="2358"/>
      <c r="AK370" s="163"/>
      <c r="AL370" s="163"/>
      <c r="AM370" s="163"/>
      <c r="AN370" s="439"/>
      <c r="AO370" s="1122" t="s">
        <v>672</v>
      </c>
      <c r="AP370" s="1123">
        <f>SUM(AP356:AP369)</f>
        <v>10</v>
      </c>
      <c r="AQ370" s="2377">
        <f>IF(AP370&gt;0,AP370,0)</f>
        <v>10</v>
      </c>
      <c r="AR370" s="2377"/>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86">
        <f>Application!CQ650-U373</f>
        <v>84</v>
      </c>
      <c r="V372" s="2386"/>
      <c r="W372" s="2386"/>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87">
        <f>Application!AG734</f>
        <v>0</v>
      </c>
      <c r="V373" s="2387"/>
      <c r="W373" s="2387"/>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66" t="s">
        <v>1955</v>
      </c>
      <c r="G377" s="2366"/>
      <c r="H377" s="2366"/>
      <c r="I377" s="2366"/>
      <c r="J377" s="2366"/>
      <c r="K377" s="2366"/>
      <c r="L377" s="2366"/>
      <c r="M377" s="2366"/>
      <c r="N377" s="2366"/>
      <c r="O377" s="2366"/>
      <c r="P377" s="2366"/>
      <c r="Q377" s="2366"/>
      <c r="R377" s="2366"/>
      <c r="S377" s="2366"/>
      <c r="T377" s="2366"/>
      <c r="U377" s="2366"/>
      <c r="V377" s="2366"/>
      <c r="W377" s="2366"/>
      <c r="X377" s="2366"/>
      <c r="Y377" s="2366"/>
      <c r="Z377" s="2366"/>
      <c r="AA377" s="2366"/>
      <c r="AB377" s="2366"/>
      <c r="AC377" s="2366"/>
      <c r="AD377" s="2366"/>
      <c r="AE377" s="2366"/>
      <c r="AF377" s="2366"/>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67"/>
      <c r="G378" s="2367"/>
      <c r="H378" s="2367"/>
      <c r="I378" s="2367"/>
      <c r="J378" s="2367"/>
      <c r="K378" s="2367"/>
      <c r="L378" s="2367"/>
      <c r="M378" s="2367"/>
      <c r="N378" s="2367"/>
      <c r="O378" s="2367"/>
      <c r="P378" s="2367"/>
      <c r="Q378" s="2367"/>
      <c r="R378" s="2367"/>
      <c r="S378" s="2367"/>
      <c r="T378" s="2367"/>
      <c r="U378" s="2367"/>
      <c r="V378" s="2367"/>
      <c r="W378" s="2367"/>
      <c r="X378" s="2367"/>
      <c r="Y378" s="2367"/>
      <c r="Z378" s="2367"/>
      <c r="AA378" s="2367"/>
      <c r="AB378" s="2367"/>
      <c r="AC378" s="2367"/>
      <c r="AD378" s="2367"/>
      <c r="AE378" s="2367"/>
      <c r="AF378" s="2367"/>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67"/>
      <c r="G379" s="2367"/>
      <c r="H379" s="2367"/>
      <c r="I379" s="2367"/>
      <c r="J379" s="2367"/>
      <c r="K379" s="2367"/>
      <c r="L379" s="2367"/>
      <c r="M379" s="2367"/>
      <c r="N379" s="2367"/>
      <c r="O379" s="2367"/>
      <c r="P379" s="2367"/>
      <c r="Q379" s="2367"/>
      <c r="R379" s="2367"/>
      <c r="S379" s="2367"/>
      <c r="T379" s="2367"/>
      <c r="U379" s="2367"/>
      <c r="V379" s="2367"/>
      <c r="W379" s="2367"/>
      <c r="X379" s="2367"/>
      <c r="Y379" s="2367"/>
      <c r="Z379" s="2367"/>
      <c r="AA379" s="2367"/>
      <c r="AB379" s="2367"/>
      <c r="AC379" s="2367"/>
      <c r="AD379" s="2367"/>
      <c r="AE379" s="2367"/>
      <c r="AF379" s="2367"/>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67"/>
      <c r="G380" s="2367"/>
      <c r="H380" s="2367"/>
      <c r="I380" s="2367"/>
      <c r="J380" s="2367"/>
      <c r="K380" s="2367"/>
      <c r="L380" s="2367"/>
      <c r="M380" s="2367"/>
      <c r="N380" s="2367"/>
      <c r="O380" s="2367"/>
      <c r="P380" s="2367"/>
      <c r="Q380" s="2367"/>
      <c r="R380" s="2367"/>
      <c r="S380" s="2367"/>
      <c r="T380" s="2367"/>
      <c r="U380" s="2367"/>
      <c r="V380" s="2367"/>
      <c r="W380" s="2367"/>
      <c r="X380" s="2367"/>
      <c r="Y380" s="2367"/>
      <c r="Z380" s="2367"/>
      <c r="AA380" s="2367"/>
      <c r="AB380" s="2367"/>
      <c r="AC380" s="2367"/>
      <c r="AD380" s="2367"/>
      <c r="AE380" s="2367"/>
      <c r="AF380" s="2367"/>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3" t="s">
        <v>135</v>
      </c>
      <c r="D381" s="1677"/>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78" t="s">
        <v>354</v>
      </c>
      <c r="AG381" s="2378"/>
      <c r="AH381" s="2378"/>
      <c r="AI381" s="2378"/>
      <c r="AJ381" s="2378"/>
      <c r="AK381" s="2378"/>
      <c r="AL381" s="2379"/>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77">
        <f>IF(AP383&gt;0,AP383,0)</f>
        <v>0</v>
      </c>
      <c r="AR383" s="237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66" t="s">
        <v>1954</v>
      </c>
      <c r="G386" s="2366"/>
      <c r="H386" s="2366"/>
      <c r="I386" s="2366"/>
      <c r="J386" s="2366"/>
      <c r="K386" s="2366"/>
      <c r="L386" s="2366"/>
      <c r="M386" s="2366"/>
      <c r="N386" s="2366"/>
      <c r="O386" s="2366"/>
      <c r="P386" s="2366"/>
      <c r="Q386" s="2366"/>
      <c r="R386" s="2366"/>
      <c r="S386" s="2366"/>
      <c r="T386" s="2366"/>
      <c r="U386" s="2366"/>
      <c r="V386" s="2366"/>
      <c r="W386" s="2366"/>
      <c r="X386" s="2366"/>
      <c r="Y386" s="2366"/>
      <c r="Z386" s="2366"/>
      <c r="AA386" s="2366"/>
      <c r="AB386" s="2366"/>
      <c r="AC386" s="2366"/>
      <c r="AD386" s="2366"/>
      <c r="AE386" s="2366"/>
      <c r="AF386" s="2366"/>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67"/>
      <c r="G387" s="2367"/>
      <c r="H387" s="2367"/>
      <c r="I387" s="2367"/>
      <c r="J387" s="2367"/>
      <c r="K387" s="2367"/>
      <c r="L387" s="2367"/>
      <c r="M387" s="2367"/>
      <c r="N387" s="2367"/>
      <c r="O387" s="2367"/>
      <c r="P387" s="2367"/>
      <c r="Q387" s="2367"/>
      <c r="R387" s="2367"/>
      <c r="S387" s="2367"/>
      <c r="T387" s="2367"/>
      <c r="U387" s="2367"/>
      <c r="V387" s="2367"/>
      <c r="W387" s="2367"/>
      <c r="X387" s="2367"/>
      <c r="Y387" s="2367"/>
      <c r="Z387" s="2367"/>
      <c r="AA387" s="2367"/>
      <c r="AB387" s="2367"/>
      <c r="AC387" s="2367"/>
      <c r="AD387" s="2367"/>
      <c r="AE387" s="2367"/>
      <c r="AF387" s="2367"/>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67"/>
      <c r="G388" s="2367"/>
      <c r="H388" s="2367"/>
      <c r="I388" s="2367"/>
      <c r="J388" s="2367"/>
      <c r="K388" s="2367"/>
      <c r="L388" s="2367"/>
      <c r="M388" s="2367"/>
      <c r="N388" s="2367"/>
      <c r="O388" s="2367"/>
      <c r="P388" s="2367"/>
      <c r="Q388" s="2367"/>
      <c r="R388" s="2367"/>
      <c r="S388" s="2367"/>
      <c r="T388" s="2367"/>
      <c r="U388" s="2367"/>
      <c r="V388" s="2367"/>
      <c r="W388" s="2367"/>
      <c r="X388" s="2367"/>
      <c r="Y388" s="2367"/>
      <c r="Z388" s="2367"/>
      <c r="AA388" s="2367"/>
      <c r="AB388" s="2367"/>
      <c r="AC388" s="2367"/>
      <c r="AD388" s="2367"/>
      <c r="AE388" s="2367"/>
      <c r="AF388" s="2367"/>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67"/>
      <c r="G389" s="2367"/>
      <c r="H389" s="2367"/>
      <c r="I389" s="2367"/>
      <c r="J389" s="2367"/>
      <c r="K389" s="2367"/>
      <c r="L389" s="2367"/>
      <c r="M389" s="2367"/>
      <c r="N389" s="2367"/>
      <c r="O389" s="2367"/>
      <c r="P389" s="2367"/>
      <c r="Q389" s="2367"/>
      <c r="R389" s="2367"/>
      <c r="S389" s="2367"/>
      <c r="T389" s="2367"/>
      <c r="U389" s="2367"/>
      <c r="V389" s="2367"/>
      <c r="W389" s="2367"/>
      <c r="X389" s="2367"/>
      <c r="Y389" s="2367"/>
      <c r="Z389" s="2367"/>
      <c r="AA389" s="2367"/>
      <c r="AB389" s="2367"/>
      <c r="AC389" s="2367"/>
      <c r="AD389" s="2367"/>
      <c r="AE389" s="2367"/>
      <c r="AF389" s="2367"/>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67"/>
      <c r="G390" s="2367"/>
      <c r="H390" s="2367"/>
      <c r="I390" s="2367"/>
      <c r="J390" s="2367"/>
      <c r="K390" s="2367"/>
      <c r="L390" s="2367"/>
      <c r="M390" s="2367"/>
      <c r="N390" s="2367"/>
      <c r="O390" s="2367"/>
      <c r="P390" s="2367"/>
      <c r="Q390" s="2367"/>
      <c r="R390" s="2367"/>
      <c r="S390" s="2367"/>
      <c r="T390" s="2367"/>
      <c r="U390" s="2367"/>
      <c r="V390" s="2367"/>
      <c r="W390" s="2367"/>
      <c r="X390" s="2367"/>
      <c r="Y390" s="2367"/>
      <c r="Z390" s="2367"/>
      <c r="AA390" s="2367"/>
      <c r="AB390" s="2367"/>
      <c r="AC390" s="2367"/>
      <c r="AD390" s="2367"/>
      <c r="AE390" s="2367"/>
      <c r="AF390" s="2367"/>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3" t="s">
        <v>135</v>
      </c>
      <c r="D391" s="1677"/>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78" t="s">
        <v>354</v>
      </c>
      <c r="AG391" s="2378"/>
      <c r="AH391" s="2378"/>
      <c r="AI391" s="2378"/>
      <c r="AJ391" s="2378"/>
      <c r="AK391" s="2378"/>
      <c r="AL391" s="237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7"/>
      <c r="D393" s="1847"/>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88"/>
      <c r="AG393" s="2388"/>
      <c r="AH393" s="2388"/>
      <c r="AI393" s="2388"/>
      <c r="AJ393" s="2388"/>
      <c r="AK393" s="2388"/>
      <c r="AL393" s="2388"/>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74" t="s">
        <v>2156</v>
      </c>
      <c r="G396" s="2574"/>
      <c r="H396" s="2574"/>
      <c r="I396" s="2574"/>
      <c r="J396" s="2574"/>
      <c r="K396" s="2574"/>
      <c r="L396" s="2574"/>
      <c r="M396" s="2574"/>
      <c r="N396" s="2574"/>
      <c r="O396" s="2574"/>
      <c r="P396" s="2574"/>
      <c r="Q396" s="2574"/>
      <c r="R396" s="2574"/>
      <c r="S396" s="2574"/>
      <c r="T396" s="2574"/>
      <c r="U396" s="2574"/>
      <c r="V396" s="2574"/>
      <c r="W396" s="2574"/>
      <c r="X396" s="2574"/>
      <c r="Y396" s="2574"/>
      <c r="Z396" s="2574"/>
      <c r="AA396" s="2574"/>
      <c r="AB396" s="2574"/>
      <c r="AC396" s="2574"/>
      <c r="AD396" s="2574"/>
      <c r="AE396" s="2574"/>
      <c r="AF396" s="2574"/>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75"/>
      <c r="G397" s="2575"/>
      <c r="H397" s="2575"/>
      <c r="I397" s="2575"/>
      <c r="J397" s="2575"/>
      <c r="K397" s="2575"/>
      <c r="L397" s="2575"/>
      <c r="M397" s="2575"/>
      <c r="N397" s="2575"/>
      <c r="O397" s="2575"/>
      <c r="P397" s="2575"/>
      <c r="Q397" s="2575"/>
      <c r="R397" s="2575"/>
      <c r="S397" s="2575"/>
      <c r="T397" s="2575"/>
      <c r="U397" s="2575"/>
      <c r="V397" s="2575"/>
      <c r="W397" s="2575"/>
      <c r="X397" s="2575"/>
      <c r="Y397" s="2575"/>
      <c r="Z397" s="2575"/>
      <c r="AA397" s="2575"/>
      <c r="AB397" s="2575"/>
      <c r="AC397" s="2575"/>
      <c r="AD397" s="2575"/>
      <c r="AE397" s="2575"/>
      <c r="AF397" s="2575"/>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75"/>
      <c r="G398" s="2575"/>
      <c r="H398" s="2575"/>
      <c r="I398" s="2575"/>
      <c r="J398" s="2575"/>
      <c r="K398" s="2575"/>
      <c r="L398" s="2575"/>
      <c r="M398" s="2575"/>
      <c r="N398" s="2575"/>
      <c r="O398" s="2575"/>
      <c r="P398" s="2575"/>
      <c r="Q398" s="2575"/>
      <c r="R398" s="2575"/>
      <c r="S398" s="2575"/>
      <c r="T398" s="2575"/>
      <c r="U398" s="2575"/>
      <c r="V398" s="2575"/>
      <c r="W398" s="2575"/>
      <c r="X398" s="2575"/>
      <c r="Y398" s="2575"/>
      <c r="Z398" s="2575"/>
      <c r="AA398" s="2575"/>
      <c r="AB398" s="2575"/>
      <c r="AC398" s="2575"/>
      <c r="AD398" s="2575"/>
      <c r="AE398" s="2575"/>
      <c r="AF398" s="2575"/>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75"/>
      <c r="G399" s="2575"/>
      <c r="H399" s="2575"/>
      <c r="I399" s="2575"/>
      <c r="J399" s="2575"/>
      <c r="K399" s="2575"/>
      <c r="L399" s="2575"/>
      <c r="M399" s="2575"/>
      <c r="N399" s="2575"/>
      <c r="O399" s="2575"/>
      <c r="P399" s="2575"/>
      <c r="Q399" s="2575"/>
      <c r="R399" s="2575"/>
      <c r="S399" s="2575"/>
      <c r="T399" s="2575"/>
      <c r="U399" s="2575"/>
      <c r="V399" s="2575"/>
      <c r="W399" s="2575"/>
      <c r="X399" s="2575"/>
      <c r="Y399" s="2575"/>
      <c r="Z399" s="2575"/>
      <c r="AA399" s="2575"/>
      <c r="AB399" s="2575"/>
      <c r="AC399" s="2575"/>
      <c r="AD399" s="2575"/>
      <c r="AE399" s="2575"/>
      <c r="AF399" s="2575"/>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75"/>
      <c r="G400" s="2575"/>
      <c r="H400" s="2575"/>
      <c r="I400" s="2575"/>
      <c r="J400" s="2575"/>
      <c r="K400" s="2575"/>
      <c r="L400" s="2575"/>
      <c r="M400" s="2575"/>
      <c r="N400" s="2575"/>
      <c r="O400" s="2575"/>
      <c r="P400" s="2575"/>
      <c r="Q400" s="2575"/>
      <c r="R400" s="2575"/>
      <c r="S400" s="2575"/>
      <c r="T400" s="2575"/>
      <c r="U400" s="2575"/>
      <c r="V400" s="2575"/>
      <c r="W400" s="2575"/>
      <c r="X400" s="2575"/>
      <c r="Y400" s="2575"/>
      <c r="Z400" s="2575"/>
      <c r="AA400" s="2575"/>
      <c r="AB400" s="2575"/>
      <c r="AC400" s="2575"/>
      <c r="AD400" s="2575"/>
      <c r="AE400" s="2575"/>
      <c r="AF400" s="2575"/>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3" t="s">
        <v>119</v>
      </c>
      <c r="D401" s="1677"/>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78" t="s">
        <v>1046</v>
      </c>
      <c r="AG401" s="2378"/>
      <c r="AH401" s="2378"/>
      <c r="AI401" s="2378"/>
      <c r="AJ401" s="2378"/>
      <c r="AK401" s="2378"/>
      <c r="AL401" s="2379"/>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3" t="s">
        <v>135</v>
      </c>
      <c r="D403" s="1677"/>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78" t="s">
        <v>354</v>
      </c>
      <c r="AG403" s="2378"/>
      <c r="AH403" s="2378"/>
      <c r="AI403" s="2378"/>
      <c r="AJ403" s="2378"/>
      <c r="AK403" s="2378"/>
      <c r="AL403" s="237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66" t="s">
        <v>1953</v>
      </c>
      <c r="G407" s="2366"/>
      <c r="H407" s="2366"/>
      <c r="I407" s="2366"/>
      <c r="J407" s="2366"/>
      <c r="K407" s="2366"/>
      <c r="L407" s="2366"/>
      <c r="M407" s="2366"/>
      <c r="N407" s="2366"/>
      <c r="O407" s="2366"/>
      <c r="P407" s="2366"/>
      <c r="Q407" s="2366"/>
      <c r="R407" s="2366"/>
      <c r="S407" s="2366"/>
      <c r="T407" s="2366"/>
      <c r="U407" s="2366"/>
      <c r="V407" s="2366"/>
      <c r="W407" s="2366"/>
      <c r="X407" s="2366"/>
      <c r="Y407" s="2366"/>
      <c r="Z407" s="2366"/>
      <c r="AA407" s="2366"/>
      <c r="AB407" s="2366"/>
      <c r="AC407" s="2366"/>
      <c r="AD407" s="2366"/>
      <c r="AE407" s="2366"/>
      <c r="AF407" s="2366"/>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67"/>
      <c r="G408" s="2367"/>
      <c r="H408" s="2367"/>
      <c r="I408" s="2367"/>
      <c r="J408" s="2367"/>
      <c r="K408" s="2367"/>
      <c r="L408" s="2367"/>
      <c r="M408" s="2367"/>
      <c r="N408" s="2367"/>
      <c r="O408" s="2367"/>
      <c r="P408" s="2367"/>
      <c r="Q408" s="2367"/>
      <c r="R408" s="2367"/>
      <c r="S408" s="2367"/>
      <c r="T408" s="2367"/>
      <c r="U408" s="2367"/>
      <c r="V408" s="2367"/>
      <c r="W408" s="2367"/>
      <c r="X408" s="2367"/>
      <c r="Y408" s="2367"/>
      <c r="Z408" s="2367"/>
      <c r="AA408" s="2367"/>
      <c r="AB408" s="2367"/>
      <c r="AC408" s="2367"/>
      <c r="AD408" s="2367"/>
      <c r="AE408" s="2367"/>
      <c r="AF408" s="2367"/>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67"/>
      <c r="G409" s="2367"/>
      <c r="H409" s="2367"/>
      <c r="I409" s="2367"/>
      <c r="J409" s="2367"/>
      <c r="K409" s="2367"/>
      <c r="L409" s="2367"/>
      <c r="M409" s="2367"/>
      <c r="N409" s="2367"/>
      <c r="O409" s="2367"/>
      <c r="P409" s="2367"/>
      <c r="Q409" s="2367"/>
      <c r="R409" s="2367"/>
      <c r="S409" s="2367"/>
      <c r="T409" s="2367"/>
      <c r="U409" s="2367"/>
      <c r="V409" s="2367"/>
      <c r="W409" s="2367"/>
      <c r="X409" s="2367"/>
      <c r="Y409" s="2367"/>
      <c r="Z409" s="2367"/>
      <c r="AA409" s="2367"/>
      <c r="AB409" s="2367"/>
      <c r="AC409" s="2367"/>
      <c r="AD409" s="2367"/>
      <c r="AE409" s="2367"/>
      <c r="AF409" s="2367"/>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67"/>
      <c r="G410" s="2367"/>
      <c r="H410" s="2367"/>
      <c r="I410" s="2367"/>
      <c r="J410" s="2367"/>
      <c r="K410" s="2367"/>
      <c r="L410" s="2367"/>
      <c r="M410" s="2367"/>
      <c r="N410" s="2367"/>
      <c r="O410" s="2367"/>
      <c r="P410" s="2367"/>
      <c r="Q410" s="2367"/>
      <c r="R410" s="2367"/>
      <c r="S410" s="2367"/>
      <c r="T410" s="2367"/>
      <c r="U410" s="2367"/>
      <c r="V410" s="2367"/>
      <c r="W410" s="2367"/>
      <c r="X410" s="2367"/>
      <c r="Y410" s="2367"/>
      <c r="Z410" s="2367"/>
      <c r="AA410" s="2367"/>
      <c r="AB410" s="2367"/>
      <c r="AC410" s="2367"/>
      <c r="AD410" s="2367"/>
      <c r="AE410" s="2367"/>
      <c r="AF410" s="2367"/>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3" t="s">
        <v>135</v>
      </c>
      <c r="D411" s="1677"/>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78" t="s">
        <v>354</v>
      </c>
      <c r="AG411" s="2378"/>
      <c r="AH411" s="2378"/>
      <c r="AI411" s="2378"/>
      <c r="AJ411" s="2378"/>
      <c r="AK411" s="2378"/>
      <c r="AL411" s="237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3" t="s">
        <v>119</v>
      </c>
      <c r="D413" s="1677"/>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78" t="s">
        <v>1045</v>
      </c>
      <c r="AG413" s="2378"/>
      <c r="AH413" s="2378"/>
      <c r="AI413" s="2378"/>
      <c r="AJ413" s="2378"/>
      <c r="AK413" s="2378"/>
      <c r="AL413" s="237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3" t="s">
        <v>135</v>
      </c>
      <c r="D416" s="1677"/>
      <c r="E416" s="1137" t="s">
        <v>209</v>
      </c>
      <c r="F416" s="2366" t="s">
        <v>1957</v>
      </c>
      <c r="G416" s="2366"/>
      <c r="H416" s="2366"/>
      <c r="I416" s="2366"/>
      <c r="J416" s="2366"/>
      <c r="K416" s="2366"/>
      <c r="L416" s="2366"/>
      <c r="M416" s="2366"/>
      <c r="N416" s="2366"/>
      <c r="O416" s="2366"/>
      <c r="P416" s="2366"/>
      <c r="Q416" s="2366"/>
      <c r="R416" s="2366"/>
      <c r="S416" s="2366"/>
      <c r="T416" s="2366"/>
      <c r="U416" s="2366"/>
      <c r="V416" s="2366"/>
      <c r="W416" s="2366"/>
      <c r="X416" s="2366"/>
      <c r="Y416" s="2366"/>
      <c r="Z416" s="2366"/>
      <c r="AA416" s="2366"/>
      <c r="AB416" s="2366"/>
      <c r="AC416" s="2366"/>
      <c r="AD416" s="2366"/>
      <c r="AE416" s="2366"/>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67"/>
      <c r="G417" s="2367"/>
      <c r="H417" s="2367"/>
      <c r="I417" s="2367"/>
      <c r="J417" s="2367"/>
      <c r="K417" s="2367"/>
      <c r="L417" s="2367"/>
      <c r="M417" s="2367"/>
      <c r="N417" s="2367"/>
      <c r="O417" s="2367"/>
      <c r="P417" s="2367"/>
      <c r="Q417" s="2367"/>
      <c r="R417" s="2367"/>
      <c r="S417" s="2367"/>
      <c r="T417" s="2367"/>
      <c r="U417" s="2367"/>
      <c r="V417" s="2367"/>
      <c r="W417" s="2367"/>
      <c r="X417" s="2367"/>
      <c r="Y417" s="2367"/>
      <c r="Z417" s="2367"/>
      <c r="AA417" s="2367"/>
      <c r="AB417" s="2367"/>
      <c r="AC417" s="2367"/>
      <c r="AD417" s="2367"/>
      <c r="AE417" s="2367"/>
      <c r="AF417" s="2380" t="s">
        <v>354</v>
      </c>
      <c r="AG417" s="2380"/>
      <c r="AH417" s="2380"/>
      <c r="AI417" s="2380"/>
      <c r="AJ417" s="2380"/>
      <c r="AK417" s="2380"/>
      <c r="AL417" s="238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67"/>
      <c r="G418" s="2367"/>
      <c r="H418" s="2367"/>
      <c r="I418" s="2367"/>
      <c r="J418" s="2367"/>
      <c r="K418" s="2367"/>
      <c r="L418" s="2367"/>
      <c r="M418" s="2367"/>
      <c r="N418" s="2367"/>
      <c r="O418" s="2367"/>
      <c r="P418" s="2367"/>
      <c r="Q418" s="2367"/>
      <c r="R418" s="2367"/>
      <c r="S418" s="2367"/>
      <c r="T418" s="2367"/>
      <c r="U418" s="2367"/>
      <c r="V418" s="2367"/>
      <c r="W418" s="2367"/>
      <c r="X418" s="2367"/>
      <c r="Y418" s="2367"/>
      <c r="Z418" s="2367"/>
      <c r="AA418" s="2367"/>
      <c r="AB418" s="2367"/>
      <c r="AC418" s="2367"/>
      <c r="AD418" s="2367"/>
      <c r="AE418" s="2367"/>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68"/>
      <c r="G419" s="2368"/>
      <c r="H419" s="2368"/>
      <c r="I419" s="2368"/>
      <c r="J419" s="2368"/>
      <c r="K419" s="2368"/>
      <c r="L419" s="2368"/>
      <c r="M419" s="2368"/>
      <c r="N419" s="2368"/>
      <c r="O419" s="2368"/>
      <c r="P419" s="2368"/>
      <c r="Q419" s="2368"/>
      <c r="R419" s="2368"/>
      <c r="S419" s="2368"/>
      <c r="T419" s="2368"/>
      <c r="U419" s="2368"/>
      <c r="V419" s="2368"/>
      <c r="W419" s="2368"/>
      <c r="X419" s="2368"/>
      <c r="Y419" s="2368"/>
      <c r="Z419" s="2368"/>
      <c r="AA419" s="2368"/>
      <c r="AB419" s="2368"/>
      <c r="AC419" s="2368"/>
      <c r="AD419" s="2368"/>
      <c r="AE419" s="2368"/>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82" t="s">
        <v>1959</v>
      </c>
      <c r="G421" s="2382"/>
      <c r="H421" s="2382"/>
      <c r="I421" s="2382"/>
      <c r="J421" s="2382"/>
      <c r="K421" s="2382"/>
      <c r="L421" s="2382"/>
      <c r="M421" s="2382"/>
      <c r="N421" s="2382"/>
      <c r="O421" s="2382"/>
      <c r="P421" s="2382"/>
      <c r="Q421" s="2382"/>
      <c r="R421" s="2382"/>
      <c r="S421" s="2382"/>
      <c r="T421" s="2382"/>
      <c r="U421" s="2382"/>
      <c r="V421" s="2382"/>
      <c r="W421" s="2382"/>
      <c r="X421" s="2382"/>
      <c r="Y421" s="2382"/>
      <c r="Z421" s="2382"/>
      <c r="AA421" s="2382"/>
      <c r="AB421" s="2382"/>
      <c r="AC421" s="2382"/>
      <c r="AD421" s="2382"/>
      <c r="AE421" s="2382"/>
      <c r="AF421" s="1158"/>
      <c r="AG421" s="1158"/>
      <c r="AH421" s="1158"/>
      <c r="AI421" s="1158"/>
      <c r="AJ421" s="1158"/>
      <c r="AK421" s="1158"/>
      <c r="AL421" s="1159"/>
      <c r="AM421" s="16"/>
    </row>
    <row r="422" spans="1:153">
      <c r="A422" s="8"/>
      <c r="C422" s="1143"/>
      <c r="D422" s="125"/>
      <c r="E422" s="306"/>
      <c r="F422" s="2383"/>
      <c r="G422" s="2383"/>
      <c r="H422" s="2383"/>
      <c r="I422" s="2383"/>
      <c r="J422" s="2383"/>
      <c r="K422" s="2383"/>
      <c r="L422" s="2383"/>
      <c r="M422" s="2383"/>
      <c r="N422" s="2383"/>
      <c r="O422" s="2383"/>
      <c r="P422" s="2383"/>
      <c r="Q422" s="2383"/>
      <c r="R422" s="2383"/>
      <c r="S422" s="2383"/>
      <c r="T422" s="2383"/>
      <c r="U422" s="2383"/>
      <c r="V422" s="2383"/>
      <c r="W422" s="2383"/>
      <c r="X422" s="2383"/>
      <c r="Y422" s="2383"/>
      <c r="Z422" s="2383"/>
      <c r="AA422" s="2383"/>
      <c r="AB422" s="2383"/>
      <c r="AC422" s="2383"/>
      <c r="AD422" s="2383"/>
      <c r="AE422" s="2383"/>
      <c r="AF422" s="62"/>
      <c r="AG422" s="71"/>
      <c r="AH422" s="162"/>
      <c r="AI422" s="162"/>
      <c r="AJ422" s="162"/>
      <c r="AK422" s="162"/>
      <c r="AL422" s="1144"/>
      <c r="AM422" s="16"/>
    </row>
    <row r="423" spans="1:153" s="46" customFormat="1" ht="12.75" customHeight="1">
      <c r="A423" s="8"/>
      <c r="B423" s="65"/>
      <c r="C423" s="1143"/>
      <c r="D423" s="125"/>
      <c r="E423" s="306"/>
      <c r="F423" s="2383"/>
      <c r="G423" s="2383"/>
      <c r="H423" s="2383"/>
      <c r="I423" s="2383"/>
      <c r="J423" s="2383"/>
      <c r="K423" s="2383"/>
      <c r="L423" s="2383"/>
      <c r="M423" s="2383"/>
      <c r="N423" s="2383"/>
      <c r="O423" s="2383"/>
      <c r="P423" s="2383"/>
      <c r="Q423" s="2383"/>
      <c r="R423" s="2383"/>
      <c r="S423" s="2383"/>
      <c r="T423" s="2383"/>
      <c r="U423" s="2383"/>
      <c r="V423" s="2383"/>
      <c r="W423" s="2383"/>
      <c r="X423" s="2383"/>
      <c r="Y423" s="2383"/>
      <c r="Z423" s="2383"/>
      <c r="AA423" s="2383"/>
      <c r="AB423" s="2383"/>
      <c r="AC423" s="2383"/>
      <c r="AD423" s="2383"/>
      <c r="AE423" s="2383"/>
      <c r="AF423" s="162"/>
      <c r="AG423" s="162"/>
      <c r="AH423" s="162"/>
      <c r="AI423" s="162"/>
      <c r="AJ423" s="162"/>
      <c r="AK423" s="162"/>
      <c r="AL423" s="1144"/>
      <c r="AM423" s="16"/>
      <c r="AN423" s="439"/>
    </row>
    <row r="424" spans="1:153" s="46" customFormat="1" ht="12.75" customHeight="1">
      <c r="A424" s="8"/>
      <c r="B424" s="65"/>
      <c r="C424" s="1147"/>
      <c r="D424" s="162"/>
      <c r="E424" s="162"/>
      <c r="F424" s="2383"/>
      <c r="G424" s="2383"/>
      <c r="H424" s="2383"/>
      <c r="I424" s="2383"/>
      <c r="J424" s="2383"/>
      <c r="K424" s="2383"/>
      <c r="L424" s="2383"/>
      <c r="M424" s="2383"/>
      <c r="N424" s="2383"/>
      <c r="O424" s="2383"/>
      <c r="P424" s="2383"/>
      <c r="Q424" s="2383"/>
      <c r="R424" s="2383"/>
      <c r="S424" s="2383"/>
      <c r="T424" s="2383"/>
      <c r="U424" s="2383"/>
      <c r="V424" s="2383"/>
      <c r="W424" s="2383"/>
      <c r="X424" s="2383"/>
      <c r="Y424" s="2383"/>
      <c r="Z424" s="2383"/>
      <c r="AA424" s="2383"/>
      <c r="AB424" s="2383"/>
      <c r="AC424" s="2383"/>
      <c r="AD424" s="2383"/>
      <c r="AE424" s="2383"/>
      <c r="AF424" s="162"/>
      <c r="AG424" s="162"/>
      <c r="AH424" s="162"/>
      <c r="AI424" s="162"/>
      <c r="AJ424" s="162"/>
      <c r="AK424" s="162"/>
      <c r="AL424" s="1144"/>
      <c r="AM424" s="16"/>
      <c r="AN424" s="439"/>
    </row>
    <row r="425" spans="1:153" s="46" customFormat="1" ht="12.75" customHeight="1">
      <c r="A425" s="8"/>
      <c r="B425" s="65"/>
      <c r="C425" s="2343" t="s">
        <v>135</v>
      </c>
      <c r="D425" s="1677"/>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80" t="s">
        <v>354</v>
      </c>
      <c r="AG425" s="2380"/>
      <c r="AH425" s="2380"/>
      <c r="AI425" s="2380"/>
      <c r="AJ425" s="2380"/>
      <c r="AK425" s="2380"/>
      <c r="AL425" s="2381"/>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3" t="s">
        <v>135</v>
      </c>
      <c r="D427" s="1677"/>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80" t="s">
        <v>1045</v>
      </c>
      <c r="AG427" s="2380"/>
      <c r="AH427" s="2380"/>
      <c r="AI427" s="2380"/>
      <c r="AJ427" s="2380"/>
      <c r="AK427" s="2380"/>
      <c r="AL427" s="2381"/>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66" t="s">
        <v>1960</v>
      </c>
      <c r="G431" s="2366"/>
      <c r="H431" s="2366"/>
      <c r="I431" s="2366"/>
      <c r="J431" s="2366"/>
      <c r="K431" s="2366"/>
      <c r="L431" s="2366"/>
      <c r="M431" s="2366"/>
      <c r="N431" s="2366"/>
      <c r="O431" s="2366"/>
      <c r="P431" s="2366"/>
      <c r="Q431" s="2366"/>
      <c r="R431" s="2366"/>
      <c r="S431" s="2366"/>
      <c r="T431" s="2366"/>
      <c r="U431" s="2366"/>
      <c r="V431" s="2366"/>
      <c r="W431" s="2366"/>
      <c r="X431" s="2366"/>
      <c r="Y431" s="2366"/>
      <c r="Z431" s="2366"/>
      <c r="AA431" s="2366"/>
      <c r="AB431" s="2366"/>
      <c r="AC431" s="2366"/>
      <c r="AD431" s="2366"/>
      <c r="AE431" s="2366"/>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67"/>
      <c r="G432" s="2367"/>
      <c r="H432" s="2367"/>
      <c r="I432" s="2367"/>
      <c r="J432" s="2367"/>
      <c r="K432" s="2367"/>
      <c r="L432" s="2367"/>
      <c r="M432" s="2367"/>
      <c r="N432" s="2367"/>
      <c r="O432" s="2367"/>
      <c r="P432" s="2367"/>
      <c r="Q432" s="2367"/>
      <c r="R432" s="2367"/>
      <c r="S432" s="2367"/>
      <c r="T432" s="2367"/>
      <c r="U432" s="2367"/>
      <c r="V432" s="2367"/>
      <c r="W432" s="2367"/>
      <c r="X432" s="2367"/>
      <c r="Y432" s="2367"/>
      <c r="Z432" s="2367"/>
      <c r="AA432" s="2367"/>
      <c r="AB432" s="2367"/>
      <c r="AC432" s="2367"/>
      <c r="AD432" s="2367"/>
      <c r="AE432" s="2367"/>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67"/>
      <c r="G433" s="2367"/>
      <c r="H433" s="2367"/>
      <c r="I433" s="2367"/>
      <c r="J433" s="2367"/>
      <c r="K433" s="2367"/>
      <c r="L433" s="2367"/>
      <c r="M433" s="2367"/>
      <c r="N433" s="2367"/>
      <c r="O433" s="2367"/>
      <c r="P433" s="2367"/>
      <c r="Q433" s="2367"/>
      <c r="R433" s="2367"/>
      <c r="S433" s="2367"/>
      <c r="T433" s="2367"/>
      <c r="U433" s="2367"/>
      <c r="V433" s="2367"/>
      <c r="W433" s="2367"/>
      <c r="X433" s="2367"/>
      <c r="Y433" s="2367"/>
      <c r="Z433" s="2367"/>
      <c r="AA433" s="2367"/>
      <c r="AB433" s="2367"/>
      <c r="AC433" s="2367"/>
      <c r="AD433" s="2367"/>
      <c r="AE433" s="2367"/>
      <c r="AF433" s="162"/>
      <c r="AG433" s="162"/>
      <c r="AH433" s="162"/>
      <c r="AI433" s="162"/>
      <c r="AJ433" s="162"/>
      <c r="AK433" s="162"/>
      <c r="AL433" s="1144"/>
      <c r="AM433" s="16"/>
      <c r="AN433" s="439"/>
      <c r="AO433" s="162"/>
      <c r="AP433" s="162"/>
    </row>
    <row r="434" spans="1:60" s="46" customFormat="1" ht="12.75" customHeight="1">
      <c r="A434" s="8"/>
      <c r="B434" s="118"/>
      <c r="C434" s="2343" t="s">
        <v>135</v>
      </c>
      <c r="D434" s="1677"/>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80" t="s">
        <v>354</v>
      </c>
      <c r="AG434" s="2380"/>
      <c r="AH434" s="2380"/>
      <c r="AI434" s="2380"/>
      <c r="AJ434" s="2380"/>
      <c r="AK434" s="2380"/>
      <c r="AL434" s="2381"/>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66" t="s">
        <v>1961</v>
      </c>
      <c r="G437" s="2366"/>
      <c r="H437" s="2366"/>
      <c r="I437" s="2366"/>
      <c r="J437" s="2366"/>
      <c r="K437" s="2366"/>
      <c r="L437" s="2366"/>
      <c r="M437" s="2366"/>
      <c r="N437" s="2366"/>
      <c r="O437" s="2366"/>
      <c r="P437" s="2366"/>
      <c r="Q437" s="2366"/>
      <c r="R437" s="2366"/>
      <c r="S437" s="2366"/>
      <c r="T437" s="2366"/>
      <c r="U437" s="2366"/>
      <c r="V437" s="2366"/>
      <c r="W437" s="2366"/>
      <c r="X437" s="2366"/>
      <c r="Y437" s="2366"/>
      <c r="Z437" s="2366"/>
      <c r="AA437" s="2366"/>
      <c r="AB437" s="2366"/>
      <c r="AC437" s="2366"/>
      <c r="AD437" s="2366"/>
      <c r="AE437" s="2366"/>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67"/>
      <c r="G438" s="2367"/>
      <c r="H438" s="2367"/>
      <c r="I438" s="2367"/>
      <c r="J438" s="2367"/>
      <c r="K438" s="2367"/>
      <c r="L438" s="2367"/>
      <c r="M438" s="2367"/>
      <c r="N438" s="2367"/>
      <c r="O438" s="2367"/>
      <c r="P438" s="2367"/>
      <c r="Q438" s="2367"/>
      <c r="R438" s="2367"/>
      <c r="S438" s="2367"/>
      <c r="T438" s="2367"/>
      <c r="U438" s="2367"/>
      <c r="V438" s="2367"/>
      <c r="W438" s="2367"/>
      <c r="X438" s="2367"/>
      <c r="Y438" s="2367"/>
      <c r="Z438" s="2367"/>
      <c r="AA438" s="2367"/>
      <c r="AB438" s="2367"/>
      <c r="AC438" s="2367"/>
      <c r="AD438" s="2367"/>
      <c r="AE438" s="2367"/>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67"/>
      <c r="G439" s="2367"/>
      <c r="H439" s="2367"/>
      <c r="I439" s="2367"/>
      <c r="J439" s="2367"/>
      <c r="K439" s="2367"/>
      <c r="L439" s="2367"/>
      <c r="M439" s="2367"/>
      <c r="N439" s="2367"/>
      <c r="O439" s="2367"/>
      <c r="P439" s="2367"/>
      <c r="Q439" s="2367"/>
      <c r="R439" s="2367"/>
      <c r="S439" s="2367"/>
      <c r="T439" s="2367"/>
      <c r="U439" s="2367"/>
      <c r="V439" s="2367"/>
      <c r="W439" s="2367"/>
      <c r="X439" s="2367"/>
      <c r="Y439" s="2367"/>
      <c r="Z439" s="2367"/>
      <c r="AA439" s="2367"/>
      <c r="AB439" s="2367"/>
      <c r="AC439" s="2367"/>
      <c r="AD439" s="2367"/>
      <c r="AE439" s="2367"/>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67"/>
      <c r="G440" s="2367"/>
      <c r="H440" s="2367"/>
      <c r="I440" s="2367"/>
      <c r="J440" s="2367"/>
      <c r="K440" s="2367"/>
      <c r="L440" s="2367"/>
      <c r="M440" s="2367"/>
      <c r="N440" s="2367"/>
      <c r="O440" s="2367"/>
      <c r="P440" s="2367"/>
      <c r="Q440" s="2367"/>
      <c r="R440" s="2367"/>
      <c r="S440" s="2367"/>
      <c r="T440" s="2367"/>
      <c r="U440" s="2367"/>
      <c r="V440" s="2367"/>
      <c r="W440" s="2367"/>
      <c r="X440" s="2367"/>
      <c r="Y440" s="2367"/>
      <c r="Z440" s="2367"/>
      <c r="AA440" s="2367"/>
      <c r="AB440" s="2367"/>
      <c r="AC440" s="2367"/>
      <c r="AD440" s="2367"/>
      <c r="AE440" s="2367"/>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67"/>
      <c r="G441" s="2367"/>
      <c r="H441" s="2367"/>
      <c r="I441" s="2367"/>
      <c r="J441" s="2367"/>
      <c r="K441" s="2367"/>
      <c r="L441" s="2367"/>
      <c r="M441" s="2367"/>
      <c r="N441" s="2367"/>
      <c r="O441" s="2367"/>
      <c r="P441" s="2367"/>
      <c r="Q441" s="2367"/>
      <c r="R441" s="2367"/>
      <c r="S441" s="2367"/>
      <c r="T441" s="2367"/>
      <c r="U441" s="2367"/>
      <c r="V441" s="2367"/>
      <c r="W441" s="2367"/>
      <c r="X441" s="2367"/>
      <c r="Y441" s="2367"/>
      <c r="Z441" s="2367"/>
      <c r="AA441" s="2367"/>
      <c r="AB441" s="2367"/>
      <c r="AC441" s="2367"/>
      <c r="AD441" s="2367"/>
      <c r="AE441" s="2367"/>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67"/>
      <c r="G442" s="2367"/>
      <c r="H442" s="2367"/>
      <c r="I442" s="2367"/>
      <c r="J442" s="2367"/>
      <c r="K442" s="2367"/>
      <c r="L442" s="2367"/>
      <c r="M442" s="2367"/>
      <c r="N442" s="2367"/>
      <c r="O442" s="2367"/>
      <c r="P442" s="2367"/>
      <c r="Q442" s="2367"/>
      <c r="R442" s="2367"/>
      <c r="S442" s="2367"/>
      <c r="T442" s="2367"/>
      <c r="U442" s="2367"/>
      <c r="V442" s="2367"/>
      <c r="W442" s="2367"/>
      <c r="X442" s="2367"/>
      <c r="Y442" s="2367"/>
      <c r="Z442" s="2367"/>
      <c r="AA442" s="2367"/>
      <c r="AB442" s="2367"/>
      <c r="AC442" s="2367"/>
      <c r="AD442" s="2367"/>
      <c r="AE442" s="2367"/>
      <c r="AF442" s="1265"/>
      <c r="AG442" s="1265"/>
      <c r="AH442" s="1265"/>
      <c r="AI442" s="1265"/>
      <c r="AJ442" s="1265"/>
      <c r="AK442" s="1265"/>
      <c r="AL442" s="1272"/>
      <c r="AM442" s="16"/>
      <c r="AN442" s="439"/>
    </row>
    <row r="443" spans="1:60" s="46" customFormat="1" ht="12.75" customHeight="1">
      <c r="A443" s="8"/>
      <c r="B443" s="118"/>
      <c r="C443" s="1273"/>
      <c r="D443" s="1266"/>
      <c r="E443" s="350"/>
      <c r="F443" s="2367"/>
      <c r="G443" s="2367"/>
      <c r="H443" s="2367"/>
      <c r="I443" s="2367"/>
      <c r="J443" s="2367"/>
      <c r="K443" s="2367"/>
      <c r="L443" s="2367"/>
      <c r="M443" s="2367"/>
      <c r="N443" s="2367"/>
      <c r="O443" s="2367"/>
      <c r="P443" s="2367"/>
      <c r="Q443" s="2367"/>
      <c r="R443" s="2367"/>
      <c r="S443" s="2367"/>
      <c r="T443" s="2367"/>
      <c r="U443" s="2367"/>
      <c r="V443" s="2367"/>
      <c r="W443" s="2367"/>
      <c r="X443" s="2367"/>
      <c r="Y443" s="2367"/>
      <c r="Z443" s="2367"/>
      <c r="AA443" s="2367"/>
      <c r="AB443" s="2367"/>
      <c r="AC443" s="2367"/>
      <c r="AD443" s="2367"/>
      <c r="AE443" s="2367"/>
      <c r="AF443" s="1265"/>
      <c r="AG443" s="1265"/>
      <c r="AH443" s="1265"/>
      <c r="AI443" s="1265"/>
      <c r="AJ443" s="1265"/>
      <c r="AK443" s="1265"/>
      <c r="AL443" s="1272"/>
      <c r="AM443" s="16"/>
      <c r="AN443" s="439"/>
    </row>
    <row r="444" spans="1:60" s="46" customFormat="1" ht="12.75" customHeight="1">
      <c r="A444" s="8"/>
      <c r="B444" s="118"/>
      <c r="C444" s="1273"/>
      <c r="D444" s="1266"/>
      <c r="E444" s="350"/>
      <c r="F444" s="2367"/>
      <c r="G444" s="2367"/>
      <c r="H444" s="2367"/>
      <c r="I444" s="2367"/>
      <c r="J444" s="2367"/>
      <c r="K444" s="2367"/>
      <c r="L444" s="2367"/>
      <c r="M444" s="2367"/>
      <c r="N444" s="2367"/>
      <c r="O444" s="2367"/>
      <c r="P444" s="2367"/>
      <c r="Q444" s="2367"/>
      <c r="R444" s="2367"/>
      <c r="S444" s="2367"/>
      <c r="T444" s="2367"/>
      <c r="U444" s="2367"/>
      <c r="V444" s="2367"/>
      <c r="W444" s="2367"/>
      <c r="X444" s="2367"/>
      <c r="Y444" s="2367"/>
      <c r="Z444" s="2367"/>
      <c r="AA444" s="2367"/>
      <c r="AB444" s="2367"/>
      <c r="AC444" s="2367"/>
      <c r="AD444" s="2367"/>
      <c r="AE444" s="2367"/>
      <c r="AF444" s="1265"/>
      <c r="AG444" s="1265"/>
      <c r="AH444" s="1265"/>
      <c r="AI444" s="1265"/>
      <c r="AJ444" s="1265"/>
      <c r="AK444" s="1265"/>
      <c r="AL444" s="1272"/>
      <c r="AM444" s="16"/>
      <c r="AN444" s="439"/>
    </row>
    <row r="445" spans="1:60" s="46" customFormat="1" ht="17.25" customHeight="1">
      <c r="A445" s="8"/>
      <c r="B445" s="118"/>
      <c r="C445" s="1273"/>
      <c r="D445" s="1266"/>
      <c r="E445" s="350"/>
      <c r="F445" s="2367"/>
      <c r="G445" s="2367"/>
      <c r="H445" s="2367"/>
      <c r="I445" s="2367"/>
      <c r="J445" s="2367"/>
      <c r="K445" s="2367"/>
      <c r="L445" s="2367"/>
      <c r="M445" s="2367"/>
      <c r="N445" s="2367"/>
      <c r="O445" s="2367"/>
      <c r="P445" s="2367"/>
      <c r="Q445" s="2367"/>
      <c r="R445" s="2367"/>
      <c r="S445" s="2367"/>
      <c r="T445" s="2367"/>
      <c r="U445" s="2367"/>
      <c r="V445" s="2367"/>
      <c r="W445" s="2367"/>
      <c r="X445" s="2367"/>
      <c r="Y445" s="2367"/>
      <c r="Z445" s="2367"/>
      <c r="AA445" s="2367"/>
      <c r="AB445" s="2367"/>
      <c r="AC445" s="2367"/>
      <c r="AD445" s="2367"/>
      <c r="AE445" s="2367"/>
      <c r="AF445" s="162"/>
      <c r="AG445" s="162"/>
      <c r="AH445" s="162"/>
      <c r="AI445" s="162"/>
      <c r="AJ445" s="162"/>
      <c r="AK445" s="162"/>
      <c r="AL445" s="1144"/>
      <c r="AM445" s="16"/>
      <c r="AN445" s="439"/>
    </row>
    <row r="446" spans="1:60" s="46" customFormat="1" ht="12.75" customHeight="1">
      <c r="A446" s="8"/>
      <c r="B446" s="65"/>
      <c r="C446" s="2343" t="s">
        <v>135</v>
      </c>
      <c r="D446" s="1677"/>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80" t="s">
        <v>354</v>
      </c>
      <c r="AG446" s="2380"/>
      <c r="AH446" s="2380"/>
      <c r="AI446" s="2380"/>
      <c r="AJ446" s="2380"/>
      <c r="AK446" s="2380"/>
      <c r="AL446" s="2381"/>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66" t="s">
        <v>1964</v>
      </c>
      <c r="G449" s="2366"/>
      <c r="H449" s="2366"/>
      <c r="I449" s="2366"/>
      <c r="J449" s="2366"/>
      <c r="K449" s="2366"/>
      <c r="L449" s="2366"/>
      <c r="M449" s="2366"/>
      <c r="N449" s="2366"/>
      <c r="O449" s="2366"/>
      <c r="P449" s="2366"/>
      <c r="Q449" s="2366"/>
      <c r="R449" s="2366"/>
      <c r="S449" s="2366"/>
      <c r="T449" s="2366"/>
      <c r="U449" s="2366"/>
      <c r="V449" s="2366"/>
      <c r="W449" s="2366"/>
      <c r="X449" s="2366"/>
      <c r="Y449" s="2366"/>
      <c r="Z449" s="2366"/>
      <c r="AA449" s="2366"/>
      <c r="AB449" s="2366"/>
      <c r="AC449" s="2366"/>
      <c r="AD449" s="2366"/>
      <c r="AE449" s="2366"/>
      <c r="AF449" s="1136"/>
      <c r="AG449" s="1136"/>
      <c r="AH449" s="1136"/>
      <c r="AI449" s="1136"/>
      <c r="AJ449" s="1136"/>
      <c r="AK449" s="1136"/>
      <c r="AL449" s="1164"/>
      <c r="AM449" s="16"/>
      <c r="AN449" s="439"/>
    </row>
    <row r="450" spans="1:49" s="46" customFormat="1" ht="12.75" customHeight="1">
      <c r="A450" s="8"/>
      <c r="B450" s="118"/>
      <c r="C450" s="1273"/>
      <c r="D450" s="1266"/>
      <c r="E450" s="350"/>
      <c r="F450" s="2367"/>
      <c r="G450" s="2367"/>
      <c r="H450" s="2367"/>
      <c r="I450" s="2367"/>
      <c r="J450" s="2367"/>
      <c r="K450" s="2367"/>
      <c r="L450" s="2367"/>
      <c r="M450" s="2367"/>
      <c r="N450" s="2367"/>
      <c r="O450" s="2367"/>
      <c r="P450" s="2367"/>
      <c r="Q450" s="2367"/>
      <c r="R450" s="2367"/>
      <c r="S450" s="2367"/>
      <c r="T450" s="2367"/>
      <c r="U450" s="2367"/>
      <c r="V450" s="2367"/>
      <c r="W450" s="2367"/>
      <c r="X450" s="2367"/>
      <c r="Y450" s="2367"/>
      <c r="Z450" s="2367"/>
      <c r="AA450" s="2367"/>
      <c r="AB450" s="2367"/>
      <c r="AC450" s="2367"/>
      <c r="AD450" s="2367"/>
      <c r="AE450" s="2367"/>
      <c r="AF450" s="1337"/>
      <c r="AG450" s="1267"/>
      <c r="AH450" s="1267"/>
      <c r="AI450" s="1267"/>
      <c r="AJ450" s="1267"/>
      <c r="AK450" s="1267"/>
      <c r="AL450" s="1268"/>
      <c r="AM450" s="16"/>
      <c r="AN450" s="439"/>
    </row>
    <row r="451" spans="1:49" s="46" customFormat="1" ht="12.75" customHeight="1">
      <c r="A451" s="8"/>
      <c r="B451" s="118"/>
      <c r="C451" s="1273"/>
      <c r="D451" s="1266"/>
      <c r="E451" s="350"/>
      <c r="F451" s="2367"/>
      <c r="G451" s="2367"/>
      <c r="H451" s="2367"/>
      <c r="I451" s="2367"/>
      <c r="J451" s="2367"/>
      <c r="K451" s="2367"/>
      <c r="L451" s="2367"/>
      <c r="M451" s="2367"/>
      <c r="N451" s="2367"/>
      <c r="O451" s="2367"/>
      <c r="P451" s="2367"/>
      <c r="Q451" s="2367"/>
      <c r="R451" s="2367"/>
      <c r="S451" s="2367"/>
      <c r="T451" s="2367"/>
      <c r="U451" s="2367"/>
      <c r="V451" s="2367"/>
      <c r="W451" s="2367"/>
      <c r="X451" s="2367"/>
      <c r="Y451" s="2367"/>
      <c r="Z451" s="2367"/>
      <c r="AA451" s="2367"/>
      <c r="AB451" s="2367"/>
      <c r="AC451" s="2367"/>
      <c r="AD451" s="2367"/>
      <c r="AE451" s="2367"/>
      <c r="AF451" s="1337"/>
      <c r="AG451" s="1267"/>
      <c r="AH451" s="1267"/>
      <c r="AI451" s="1267"/>
      <c r="AJ451" s="1267"/>
      <c r="AK451" s="1267"/>
      <c r="AL451" s="1268"/>
      <c r="AM451" s="16"/>
      <c r="AN451" s="439"/>
    </row>
    <row r="452" spans="1:49" s="46" customFormat="1" ht="12.75" customHeight="1">
      <c r="A452" s="8"/>
      <c r="B452" s="118"/>
      <c r="C452" s="1273"/>
      <c r="D452" s="1266"/>
      <c r="E452" s="350"/>
      <c r="F452" s="2367"/>
      <c r="G452" s="2367"/>
      <c r="H452" s="2367"/>
      <c r="I452" s="2367"/>
      <c r="J452" s="2367"/>
      <c r="K452" s="2367"/>
      <c r="L452" s="2367"/>
      <c r="M452" s="2367"/>
      <c r="N452" s="2367"/>
      <c r="O452" s="2367"/>
      <c r="P452" s="2367"/>
      <c r="Q452" s="2367"/>
      <c r="R452" s="2367"/>
      <c r="S452" s="2367"/>
      <c r="T452" s="2367"/>
      <c r="U452" s="2367"/>
      <c r="V452" s="2367"/>
      <c r="W452" s="2367"/>
      <c r="X452" s="2367"/>
      <c r="Y452" s="2367"/>
      <c r="Z452" s="2367"/>
      <c r="AA452" s="2367"/>
      <c r="AB452" s="2367"/>
      <c r="AC452" s="2367"/>
      <c r="AD452" s="2367"/>
      <c r="AE452" s="2367"/>
      <c r="AF452" s="162"/>
      <c r="AG452" s="162"/>
      <c r="AH452" s="162"/>
      <c r="AI452" s="162"/>
      <c r="AJ452" s="162"/>
      <c r="AK452" s="162"/>
      <c r="AL452" s="1144"/>
      <c r="AM452" s="16"/>
      <c r="AN452" s="439"/>
    </row>
    <row r="453" spans="1:49" s="162" customFormat="1" ht="12.75" customHeight="1">
      <c r="A453" s="8"/>
      <c r="B453" s="118"/>
      <c r="C453" s="2343" t="s">
        <v>135</v>
      </c>
      <c r="D453" s="1677"/>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80" t="s">
        <v>354</v>
      </c>
      <c r="AG453" s="2380"/>
      <c r="AH453" s="2380"/>
      <c r="AI453" s="2380"/>
      <c r="AJ453" s="2380"/>
      <c r="AK453" s="2380"/>
      <c r="AL453" s="2381"/>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41" t="s">
        <v>135</v>
      </c>
      <c r="D457" s="2342"/>
      <c r="E457" s="1137" t="s">
        <v>1050</v>
      </c>
      <c r="F457" s="2366" t="s">
        <v>1052</v>
      </c>
      <c r="G457" s="2366"/>
      <c r="H457" s="2366"/>
      <c r="I457" s="2366"/>
      <c r="J457" s="2366"/>
      <c r="K457" s="2366"/>
      <c r="L457" s="2366"/>
      <c r="M457" s="2366"/>
      <c r="N457" s="2366"/>
      <c r="O457" s="2366"/>
      <c r="P457" s="2366"/>
      <c r="Q457" s="2366"/>
      <c r="R457" s="2366"/>
      <c r="S457" s="2366"/>
      <c r="T457" s="2366"/>
      <c r="U457" s="2366"/>
      <c r="V457" s="2366"/>
      <c r="W457" s="2366"/>
      <c r="X457" s="2366"/>
      <c r="Y457" s="2366"/>
      <c r="Z457" s="2366"/>
      <c r="AA457" s="2366"/>
      <c r="AB457" s="2366"/>
      <c r="AC457" s="2366"/>
      <c r="AD457" s="2366"/>
      <c r="AE457" s="2366"/>
      <c r="AF457" s="2384" t="s">
        <v>354</v>
      </c>
      <c r="AG457" s="2384"/>
      <c r="AH457" s="2384"/>
      <c r="AI457" s="2384"/>
      <c r="AJ457" s="2384"/>
      <c r="AK457" s="2384"/>
      <c r="AL457" s="2385"/>
      <c r="AM457" s="16"/>
      <c r="AN457" s="1094"/>
      <c r="AO457" s="162"/>
      <c r="AP457" s="162"/>
      <c r="AQ457" s="249"/>
    </row>
    <row r="458" spans="1:49" s="137" customFormat="1" ht="12.75" customHeight="1">
      <c r="A458" s="8"/>
      <c r="B458" s="118"/>
      <c r="C458" s="1273"/>
      <c r="D458" s="1266"/>
      <c r="E458" s="350"/>
      <c r="F458" s="2367"/>
      <c r="G458" s="2367"/>
      <c r="H458" s="2367"/>
      <c r="I458" s="2367"/>
      <c r="J458" s="2367"/>
      <c r="K458" s="2367"/>
      <c r="L458" s="2367"/>
      <c r="M458" s="2367"/>
      <c r="N458" s="2367"/>
      <c r="O458" s="2367"/>
      <c r="P458" s="2367"/>
      <c r="Q458" s="2367"/>
      <c r="R458" s="2367"/>
      <c r="S458" s="2367"/>
      <c r="T458" s="2367"/>
      <c r="U458" s="2367"/>
      <c r="V458" s="2367"/>
      <c r="W458" s="2367"/>
      <c r="X458" s="2367"/>
      <c r="Y458" s="2367"/>
      <c r="Z458" s="2367"/>
      <c r="AA458" s="2367"/>
      <c r="AB458" s="2367"/>
      <c r="AC458" s="2367"/>
      <c r="AD458" s="2367"/>
      <c r="AE458" s="2367"/>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68"/>
      <c r="G459" s="2368"/>
      <c r="H459" s="2368"/>
      <c r="I459" s="2368"/>
      <c r="J459" s="2368"/>
      <c r="K459" s="2368"/>
      <c r="L459" s="2368"/>
      <c r="M459" s="2368"/>
      <c r="N459" s="2368"/>
      <c r="O459" s="2368"/>
      <c r="P459" s="2368"/>
      <c r="Q459" s="2368"/>
      <c r="R459" s="2368"/>
      <c r="S459" s="2368"/>
      <c r="T459" s="2368"/>
      <c r="U459" s="2368"/>
      <c r="V459" s="2368"/>
      <c r="W459" s="2368"/>
      <c r="X459" s="2368"/>
      <c r="Y459" s="2368"/>
      <c r="Z459" s="2368"/>
      <c r="AA459" s="2368"/>
      <c r="AB459" s="2368"/>
      <c r="AC459" s="2368"/>
      <c r="AD459" s="2368"/>
      <c r="AE459" s="2368"/>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41" t="s">
        <v>135</v>
      </c>
      <c r="D461" s="2342"/>
      <c r="E461" s="1137" t="s">
        <v>1051</v>
      </c>
      <c r="F461" s="2366" t="s">
        <v>2005</v>
      </c>
      <c r="G461" s="2366"/>
      <c r="H461" s="2366"/>
      <c r="I461" s="2366"/>
      <c r="J461" s="2366"/>
      <c r="K461" s="2366"/>
      <c r="L461" s="2366"/>
      <c r="M461" s="2366"/>
      <c r="N461" s="2366"/>
      <c r="O461" s="2366"/>
      <c r="P461" s="2366"/>
      <c r="Q461" s="2366"/>
      <c r="R461" s="2366"/>
      <c r="S461" s="2366"/>
      <c r="T461" s="2366"/>
      <c r="U461" s="2366"/>
      <c r="V461" s="2366"/>
      <c r="W461" s="2366"/>
      <c r="X461" s="2366"/>
      <c r="Y461" s="2366"/>
      <c r="Z461" s="2366"/>
      <c r="AA461" s="2366"/>
      <c r="AB461" s="2366"/>
      <c r="AC461" s="2366"/>
      <c r="AD461" s="2366"/>
      <c r="AE461" s="2366"/>
      <c r="AF461" s="2384" t="s">
        <v>354</v>
      </c>
      <c r="AG461" s="2384"/>
      <c r="AH461" s="2384"/>
      <c r="AI461" s="2384"/>
      <c r="AJ461" s="2384"/>
      <c r="AK461" s="2384"/>
      <c r="AL461" s="2385"/>
      <c r="AM461" s="16"/>
      <c r="AN461" s="1097"/>
      <c r="AO461" s="46" t="s">
        <v>1443</v>
      </c>
      <c r="AP461" s="46">
        <v>5</v>
      </c>
      <c r="AQ461" s="251"/>
    </row>
    <row r="462" spans="1:49" s="46" customFormat="1" ht="12.75" customHeight="1">
      <c r="A462" s="8"/>
      <c r="B462" s="65"/>
      <c r="C462" s="1143"/>
      <c r="D462" s="125"/>
      <c r="E462" s="306"/>
      <c r="F462" s="2367"/>
      <c r="G462" s="2367"/>
      <c r="H462" s="2367"/>
      <c r="I462" s="2367"/>
      <c r="J462" s="2367"/>
      <c r="K462" s="2367"/>
      <c r="L462" s="2367"/>
      <c r="M462" s="2367"/>
      <c r="N462" s="2367"/>
      <c r="O462" s="2367"/>
      <c r="P462" s="2367"/>
      <c r="Q462" s="2367"/>
      <c r="R462" s="2367"/>
      <c r="S462" s="2367"/>
      <c r="T462" s="2367"/>
      <c r="U462" s="2367"/>
      <c r="V462" s="2367"/>
      <c r="W462" s="2367"/>
      <c r="X462" s="2367"/>
      <c r="Y462" s="2367"/>
      <c r="Z462" s="2367"/>
      <c r="AA462" s="2367"/>
      <c r="AB462" s="2367"/>
      <c r="AC462" s="2367"/>
      <c r="AD462" s="2367"/>
      <c r="AE462" s="2367"/>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67"/>
      <c r="G463" s="2367"/>
      <c r="H463" s="2367"/>
      <c r="I463" s="2367"/>
      <c r="J463" s="2367"/>
      <c r="K463" s="2367"/>
      <c r="L463" s="2367"/>
      <c r="M463" s="2367"/>
      <c r="N463" s="2367"/>
      <c r="O463" s="2367"/>
      <c r="P463" s="2367"/>
      <c r="Q463" s="2367"/>
      <c r="R463" s="2367"/>
      <c r="S463" s="2367"/>
      <c r="T463" s="2367"/>
      <c r="U463" s="2367"/>
      <c r="V463" s="2367"/>
      <c r="W463" s="2367"/>
      <c r="X463" s="2367"/>
      <c r="Y463" s="2367"/>
      <c r="Z463" s="2367"/>
      <c r="AA463" s="2367"/>
      <c r="AB463" s="2367"/>
      <c r="AC463" s="2367"/>
      <c r="AD463" s="2367"/>
      <c r="AE463" s="2367"/>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68"/>
      <c r="G464" s="2368"/>
      <c r="H464" s="2368"/>
      <c r="I464" s="2368"/>
      <c r="J464" s="2368"/>
      <c r="K464" s="2368"/>
      <c r="L464" s="2368"/>
      <c r="M464" s="2368"/>
      <c r="N464" s="2368"/>
      <c r="O464" s="2368"/>
      <c r="P464" s="2368"/>
      <c r="Q464" s="2368"/>
      <c r="R464" s="2368"/>
      <c r="S464" s="2368"/>
      <c r="T464" s="2368"/>
      <c r="U464" s="2368"/>
      <c r="V464" s="2368"/>
      <c r="W464" s="2368"/>
      <c r="X464" s="2368"/>
      <c r="Y464" s="2368"/>
      <c r="Z464" s="2368"/>
      <c r="AA464" s="2368"/>
      <c r="AB464" s="2368"/>
      <c r="AC464" s="2368"/>
      <c r="AD464" s="2368"/>
      <c r="AE464" s="2368"/>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82" t="s">
        <v>2006</v>
      </c>
      <c r="G466" s="2382"/>
      <c r="H466" s="2382"/>
      <c r="I466" s="2382"/>
      <c r="J466" s="2382"/>
      <c r="K466" s="2382"/>
      <c r="L466" s="2382"/>
      <c r="M466" s="2382"/>
      <c r="N466" s="2382"/>
      <c r="O466" s="2382"/>
      <c r="P466" s="2382"/>
      <c r="Q466" s="2382"/>
      <c r="R466" s="2382"/>
      <c r="S466" s="2382"/>
      <c r="T466" s="2382"/>
      <c r="U466" s="2382"/>
      <c r="V466" s="2382"/>
      <c r="W466" s="2382"/>
      <c r="X466" s="2382"/>
      <c r="Y466" s="2382"/>
      <c r="Z466" s="2382"/>
      <c r="AA466" s="2382"/>
      <c r="AB466" s="2382"/>
      <c r="AC466" s="2382"/>
      <c r="AD466" s="2382"/>
      <c r="AE466" s="2382"/>
      <c r="AF466" s="2382"/>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83"/>
      <c r="G467" s="2383"/>
      <c r="H467" s="2383"/>
      <c r="I467" s="2383"/>
      <c r="J467" s="2383"/>
      <c r="K467" s="2383"/>
      <c r="L467" s="2383"/>
      <c r="M467" s="2383"/>
      <c r="N467" s="2383"/>
      <c r="O467" s="2383"/>
      <c r="P467" s="2383"/>
      <c r="Q467" s="2383"/>
      <c r="R467" s="2383"/>
      <c r="S467" s="2383"/>
      <c r="T467" s="2383"/>
      <c r="U467" s="2383"/>
      <c r="V467" s="2383"/>
      <c r="W467" s="2383"/>
      <c r="X467" s="2383"/>
      <c r="Y467" s="2383"/>
      <c r="Z467" s="2383"/>
      <c r="AA467" s="2383"/>
      <c r="AB467" s="2383"/>
      <c r="AC467" s="2383"/>
      <c r="AD467" s="2383"/>
      <c r="AE467" s="2383"/>
      <c r="AF467" s="2383"/>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83"/>
      <c r="G468" s="2383"/>
      <c r="H468" s="2383"/>
      <c r="I468" s="2383"/>
      <c r="J468" s="2383"/>
      <c r="K468" s="2383"/>
      <c r="L468" s="2383"/>
      <c r="M468" s="2383"/>
      <c r="N468" s="2383"/>
      <c r="O468" s="2383"/>
      <c r="P468" s="2383"/>
      <c r="Q468" s="2383"/>
      <c r="R468" s="2383"/>
      <c r="S468" s="2383"/>
      <c r="T468" s="2383"/>
      <c r="U468" s="2383"/>
      <c r="V468" s="2383"/>
      <c r="W468" s="2383"/>
      <c r="X468" s="2383"/>
      <c r="Y468" s="2383"/>
      <c r="Z468" s="2383"/>
      <c r="AA468" s="2383"/>
      <c r="AB468" s="2383"/>
      <c r="AC468" s="2383"/>
      <c r="AD468" s="2383"/>
      <c r="AE468" s="2383"/>
      <c r="AF468" s="2383"/>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83"/>
      <c r="G469" s="2383"/>
      <c r="H469" s="2383"/>
      <c r="I469" s="2383"/>
      <c r="J469" s="2383"/>
      <c r="K469" s="2383"/>
      <c r="L469" s="2383"/>
      <c r="M469" s="2383"/>
      <c r="N469" s="2383"/>
      <c r="O469" s="2383"/>
      <c r="P469" s="2383"/>
      <c r="Q469" s="2383"/>
      <c r="R469" s="2383"/>
      <c r="S469" s="2383"/>
      <c r="T469" s="2383"/>
      <c r="U469" s="2383"/>
      <c r="V469" s="2383"/>
      <c r="W469" s="2383"/>
      <c r="X469" s="2383"/>
      <c r="Y469" s="2383"/>
      <c r="Z469" s="2383"/>
      <c r="AA469" s="2383"/>
      <c r="AB469" s="2383"/>
      <c r="AC469" s="2383"/>
      <c r="AD469" s="2383"/>
      <c r="AE469" s="2383"/>
      <c r="AF469" s="2383"/>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3" t="s">
        <v>135</v>
      </c>
      <c r="D470" s="1677"/>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78" t="s">
        <v>354</v>
      </c>
      <c r="AG470" s="2378"/>
      <c r="AH470" s="2378"/>
      <c r="AI470" s="2378"/>
      <c r="AJ470" s="2378"/>
      <c r="AK470" s="2378"/>
      <c r="AL470" s="2379"/>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55">
        <f>IF(AS359=0,AS357,AS359)</f>
        <v>10</v>
      </c>
      <c r="AL476" s="2356"/>
      <c r="AM476" s="235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8" t="s">
        <v>1359</v>
      </c>
      <c r="AF479" s="2388"/>
      <c r="AG479" s="2388"/>
      <c r="AH479" s="2388"/>
      <c r="AI479" s="2388"/>
      <c r="AJ479" s="2388"/>
      <c r="AK479" s="2388"/>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31" t="s">
        <v>135</v>
      </c>
      <c r="D485" s="2332"/>
      <c r="E485" s="1203" t="s">
        <v>211</v>
      </c>
      <c r="F485" s="2337" t="s">
        <v>1055</v>
      </c>
      <c r="G485" s="2337"/>
      <c r="H485" s="2337"/>
      <c r="I485" s="2337"/>
      <c r="J485" s="2337"/>
      <c r="K485" s="2337"/>
      <c r="L485" s="2337"/>
      <c r="M485" s="2337"/>
      <c r="N485" s="2337"/>
      <c r="O485" s="2337"/>
      <c r="P485" s="2337"/>
      <c r="Q485" s="2337"/>
      <c r="R485" s="2337"/>
      <c r="S485" s="2337"/>
      <c r="T485" s="2337"/>
      <c r="U485" s="2337"/>
      <c r="V485" s="2337"/>
      <c r="W485" s="2337"/>
      <c r="X485" s="2337"/>
      <c r="Y485" s="2337"/>
      <c r="Z485" s="2337"/>
      <c r="AA485" s="2337"/>
      <c r="AB485" s="2337"/>
      <c r="AC485" s="2337"/>
      <c r="AD485" s="2337"/>
      <c r="AE485" s="2337"/>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38"/>
      <c r="G486" s="2338"/>
      <c r="H486" s="2338"/>
      <c r="I486" s="2338"/>
      <c r="J486" s="2338"/>
      <c r="K486" s="2338"/>
      <c r="L486" s="2338"/>
      <c r="M486" s="2338"/>
      <c r="N486" s="2338"/>
      <c r="O486" s="2338"/>
      <c r="P486" s="2338"/>
      <c r="Q486" s="2338"/>
      <c r="R486" s="2338"/>
      <c r="S486" s="2338"/>
      <c r="T486" s="2338"/>
      <c r="U486" s="2338"/>
      <c r="V486" s="2338"/>
      <c r="W486" s="2338"/>
      <c r="X486" s="2338"/>
      <c r="Y486" s="2338"/>
      <c r="Z486" s="2338"/>
      <c r="AA486" s="2338"/>
      <c r="AB486" s="2338"/>
      <c r="AC486" s="2338"/>
      <c r="AD486" s="2338"/>
      <c r="AE486" s="2338"/>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33" t="s">
        <v>135</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41" t="s">
        <v>119</v>
      </c>
      <c r="D489" s="2342"/>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18" t="s">
        <v>135</v>
      </c>
      <c r="W492" s="2318"/>
      <c r="X492" s="2318"/>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318" t="s">
        <v>135</v>
      </c>
      <c r="W494" s="2318"/>
      <c r="X494" s="2318"/>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18" t="s">
        <v>135</v>
      </c>
      <c r="W499" s="2318"/>
      <c r="X499" s="2318"/>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91"/>
      <c r="E502" s="2091"/>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18" t="s">
        <v>135</v>
      </c>
      <c r="W503" s="2318"/>
      <c r="X503" s="2318"/>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318" t="s">
        <v>135</v>
      </c>
      <c r="W505" s="2318"/>
      <c r="X505" s="2318"/>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76" t="s">
        <v>719</v>
      </c>
      <c r="AV506" s="2577"/>
      <c r="AW506" s="2577"/>
      <c r="AX506" s="2577"/>
      <c r="AY506" s="2577"/>
      <c r="AZ506" s="2577"/>
      <c r="BA506" s="2577"/>
      <c r="BB506" s="205"/>
      <c r="BC506" s="205"/>
      <c r="BE506" s="46"/>
      <c r="BF506" s="46"/>
      <c r="BG506" s="46"/>
      <c r="BH506" s="46"/>
      <c r="BI506" s="46"/>
      <c r="BJ506" s="2501" t="s">
        <v>35</v>
      </c>
      <c r="BK506" s="2502"/>
      <c r="BL506" s="2502"/>
      <c r="BM506" s="2502"/>
      <c r="BN506" s="2502"/>
      <c r="BO506" s="2502"/>
      <c r="BP506" s="250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76"/>
      <c r="AV507" s="2577"/>
      <c r="AW507" s="2577"/>
      <c r="AX507" s="2577"/>
      <c r="AY507" s="2577"/>
      <c r="AZ507" s="2577"/>
      <c r="BA507" s="2577"/>
      <c r="BB507" s="205"/>
      <c r="BC507" s="205"/>
      <c r="BE507" s="46"/>
      <c r="BF507" s="46"/>
      <c r="BG507" s="46"/>
      <c r="BH507" s="46"/>
      <c r="BI507" s="46"/>
      <c r="BJ507" s="2501"/>
      <c r="BK507" s="2502"/>
      <c r="BL507" s="2502"/>
      <c r="BM507" s="2502"/>
      <c r="BN507" s="2502"/>
      <c r="BO507" s="2502"/>
      <c r="BP507" s="2502"/>
      <c r="BQ507" s="205"/>
      <c r="BR507" s="46"/>
    </row>
    <row r="508" spans="1:147" s="16" customFormat="1" ht="12.75" hidden="1" customHeight="1">
      <c r="A508" s="195"/>
      <c r="B508" s="46"/>
      <c r="C508" s="2331" t="s">
        <v>135</v>
      </c>
      <c r="D508" s="2332"/>
      <c r="E508" s="1190" t="s">
        <v>211</v>
      </c>
      <c r="F508" s="2337" t="s">
        <v>1055</v>
      </c>
      <c r="G508" s="2337"/>
      <c r="H508" s="2337"/>
      <c r="I508" s="2337"/>
      <c r="J508" s="2337"/>
      <c r="K508" s="2337"/>
      <c r="L508" s="2337"/>
      <c r="M508" s="2337"/>
      <c r="N508" s="2337"/>
      <c r="O508" s="2337"/>
      <c r="P508" s="2337"/>
      <c r="Q508" s="2337"/>
      <c r="R508" s="2337"/>
      <c r="S508" s="2337"/>
      <c r="T508" s="2337"/>
      <c r="U508" s="2337"/>
      <c r="V508" s="2337"/>
      <c r="W508" s="2337"/>
      <c r="X508" s="2337"/>
      <c r="Y508" s="2337"/>
      <c r="Z508" s="2337"/>
      <c r="AA508" s="2337"/>
      <c r="AB508" s="2337"/>
      <c r="AC508" s="2337"/>
      <c r="AD508" s="2337"/>
      <c r="AE508" s="2337"/>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38"/>
      <c r="G509" s="2338"/>
      <c r="H509" s="2338"/>
      <c r="I509" s="2338"/>
      <c r="J509" s="2338"/>
      <c r="K509" s="2338"/>
      <c r="L509" s="2338"/>
      <c r="M509" s="2338"/>
      <c r="N509" s="2338"/>
      <c r="O509" s="2338"/>
      <c r="P509" s="2338"/>
      <c r="Q509" s="2338"/>
      <c r="R509" s="2338"/>
      <c r="S509" s="2338"/>
      <c r="T509" s="2338"/>
      <c r="U509" s="2338"/>
      <c r="V509" s="2338"/>
      <c r="W509" s="2338"/>
      <c r="X509" s="2338"/>
      <c r="Y509" s="2338"/>
      <c r="Z509" s="2338"/>
      <c r="AA509" s="2338"/>
      <c r="AB509" s="2338"/>
      <c r="AC509" s="2338"/>
      <c r="AD509" s="2338"/>
      <c r="AE509" s="2338"/>
      <c r="AF509" s="162"/>
      <c r="AG509" s="27"/>
      <c r="AH509" s="27"/>
      <c r="AI509" s="27"/>
      <c r="AJ509" s="27"/>
      <c r="AK509" s="1144"/>
      <c r="AL509" s="162"/>
      <c r="AM509" s="46"/>
      <c r="AN509" s="1084"/>
      <c r="AO509" s="132"/>
      <c r="AP509" s="2544" t="s">
        <v>1636</v>
      </c>
      <c r="AQ509" s="2545"/>
      <c r="AR509" s="2546"/>
      <c r="AS509" s="951">
        <v>80</v>
      </c>
      <c r="AT509" s="46">
        <v>0</v>
      </c>
      <c r="AU509" s="243">
        <v>10</v>
      </c>
      <c r="AV509" s="243">
        <v>25</v>
      </c>
      <c r="AW509" s="243">
        <v>37.5</v>
      </c>
      <c r="AX509" s="243">
        <v>35</v>
      </c>
      <c r="AY509" s="243">
        <v>37.5</v>
      </c>
      <c r="AZ509" s="243">
        <v>50</v>
      </c>
      <c r="BA509" s="243">
        <v>50</v>
      </c>
      <c r="BB509" s="65"/>
      <c r="BC509" s="65"/>
      <c r="BE509" s="2544" t="s">
        <v>1636</v>
      </c>
      <c r="BF509" s="2545"/>
      <c r="BG509" s="2546"/>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35" t="s">
        <v>135</v>
      </c>
      <c r="G510" s="2335"/>
      <c r="H510" s="2335"/>
      <c r="I510" s="2335"/>
      <c r="J510" s="2335"/>
      <c r="K510" s="2335"/>
      <c r="L510" s="2335"/>
      <c r="M510" s="2335"/>
      <c r="N510" s="2335"/>
      <c r="O510" s="2335"/>
      <c r="P510" s="2335"/>
      <c r="Q510" s="2335"/>
      <c r="R510" s="2335"/>
      <c r="S510" s="2335"/>
      <c r="T510" s="2335"/>
      <c r="U510" s="2335"/>
      <c r="V510" s="2335"/>
      <c r="W510" s="2335"/>
      <c r="X510" s="2335"/>
      <c r="Y510" s="2335"/>
      <c r="Z510" s="2335"/>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69"/>
      <c r="AQ510" s="2370"/>
      <c r="AR510" s="2371"/>
      <c r="AS510" s="951">
        <v>75</v>
      </c>
      <c r="AT510" s="46">
        <v>0</v>
      </c>
      <c r="AU510" s="243">
        <v>10</v>
      </c>
      <c r="AV510" s="243">
        <v>25</v>
      </c>
      <c r="AW510" s="243">
        <v>37.5</v>
      </c>
      <c r="AX510" s="243">
        <v>35</v>
      </c>
      <c r="AY510" s="243">
        <v>37.5</v>
      </c>
      <c r="AZ510" s="243">
        <v>50</v>
      </c>
      <c r="BA510" s="243">
        <v>50</v>
      </c>
      <c r="BB510" s="65"/>
      <c r="BC510" s="65"/>
      <c r="BE510" s="2369"/>
      <c r="BF510" s="2370"/>
      <c r="BG510" s="237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69"/>
      <c r="AQ511" s="2370"/>
      <c r="AR511" s="2371"/>
      <c r="AS511" s="951">
        <v>70</v>
      </c>
      <c r="AT511" s="46">
        <v>0</v>
      </c>
      <c r="AU511" s="243">
        <v>10</v>
      </c>
      <c r="AV511" s="243">
        <v>25</v>
      </c>
      <c r="AW511" s="243">
        <v>37.5</v>
      </c>
      <c r="AX511" s="243">
        <v>35</v>
      </c>
      <c r="AY511" s="243">
        <v>37.5</v>
      </c>
      <c r="AZ511" s="243">
        <v>50</v>
      </c>
      <c r="BA511" s="243">
        <v>50</v>
      </c>
      <c r="BB511" s="65"/>
      <c r="BC511" s="65"/>
      <c r="BE511" s="2369"/>
      <c r="BF511" s="2370"/>
      <c r="BG511" s="237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1" t="s">
        <v>135</v>
      </c>
      <c r="D512" s="2332"/>
      <c r="E512" s="1190" t="s">
        <v>335</v>
      </c>
      <c r="F512" s="2339" t="s">
        <v>1253</v>
      </c>
      <c r="G512" s="2339"/>
      <c r="H512" s="2339"/>
      <c r="I512" s="2339"/>
      <c r="J512" s="2339"/>
      <c r="K512" s="2339"/>
      <c r="L512" s="2339"/>
      <c r="M512" s="2339"/>
      <c r="N512" s="2339"/>
      <c r="O512" s="2339"/>
      <c r="P512" s="2339"/>
      <c r="Q512" s="2339"/>
      <c r="R512" s="2339"/>
      <c r="S512" s="2339"/>
      <c r="T512" s="2339"/>
      <c r="U512" s="2339"/>
      <c r="V512" s="2339"/>
      <c r="W512" s="2339"/>
      <c r="X512" s="2339"/>
      <c r="Y512" s="2339"/>
      <c r="Z512" s="2339"/>
      <c r="AA512" s="2339"/>
      <c r="AB512" s="2339"/>
      <c r="AC512" s="2339"/>
      <c r="AD512" s="2339"/>
      <c r="AE512" s="2339"/>
      <c r="AF512" s="1136"/>
      <c r="AG512" s="1180"/>
      <c r="AH512" s="1180"/>
      <c r="AI512" s="1180"/>
      <c r="AJ512" s="1180"/>
      <c r="AK512" s="1164"/>
      <c r="AL512" s="162"/>
      <c r="AM512" s="46"/>
      <c r="AN512" s="1084"/>
      <c r="AO512" s="132"/>
      <c r="AP512" s="2369"/>
      <c r="AQ512" s="2370"/>
      <c r="AR512" s="2371"/>
      <c r="AS512" s="951">
        <v>65</v>
      </c>
      <c r="AT512" s="46">
        <v>0</v>
      </c>
      <c r="AU512" s="243">
        <v>10</v>
      </c>
      <c r="AV512" s="243">
        <v>25</v>
      </c>
      <c r="AW512" s="243">
        <v>37.5</v>
      </c>
      <c r="AX512" s="243">
        <v>35</v>
      </c>
      <c r="AY512" s="243">
        <v>37.5</v>
      </c>
      <c r="AZ512" s="243">
        <v>50</v>
      </c>
      <c r="BA512" s="243">
        <v>50</v>
      </c>
      <c r="BB512" s="65"/>
      <c r="BC512" s="65"/>
      <c r="BE512" s="2369"/>
      <c r="BF512" s="2370"/>
      <c r="BG512" s="237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40"/>
      <c r="G513" s="2340"/>
      <c r="H513" s="2340"/>
      <c r="I513" s="2340"/>
      <c r="J513" s="2340"/>
      <c r="K513" s="2340"/>
      <c r="L513" s="2340"/>
      <c r="M513" s="2340"/>
      <c r="N513" s="2340"/>
      <c r="O513" s="2340"/>
      <c r="P513" s="2340"/>
      <c r="Q513" s="2340"/>
      <c r="R513" s="2340"/>
      <c r="S513" s="2340"/>
      <c r="T513" s="2340"/>
      <c r="U513" s="2340"/>
      <c r="V513" s="2340"/>
      <c r="W513" s="2340"/>
      <c r="X513" s="2340"/>
      <c r="Y513" s="2340"/>
      <c r="Z513" s="2340"/>
      <c r="AA513" s="2340"/>
      <c r="AB513" s="2340"/>
      <c r="AC513" s="2340"/>
      <c r="AD513" s="2340"/>
      <c r="AE513" s="2340"/>
      <c r="AF513" s="162"/>
      <c r="AG513" s="27"/>
      <c r="AH513" s="27"/>
      <c r="AI513" s="27"/>
      <c r="AJ513" s="27"/>
      <c r="AK513" s="1144"/>
      <c r="AL513" s="162"/>
      <c r="AM513" s="46"/>
      <c r="AN513" s="1084"/>
      <c r="AO513" s="132"/>
      <c r="AP513" s="2369"/>
      <c r="AQ513" s="2370"/>
      <c r="AR513" s="2371"/>
      <c r="AS513" s="951">
        <v>60</v>
      </c>
      <c r="AT513" s="46">
        <v>0</v>
      </c>
      <c r="AU513" s="243">
        <v>10</v>
      </c>
      <c r="AV513" s="243">
        <v>25</v>
      </c>
      <c r="AW513" s="243">
        <v>37.5</v>
      </c>
      <c r="AX513" s="243">
        <v>35</v>
      </c>
      <c r="AY513" s="243">
        <v>37.5</v>
      </c>
      <c r="AZ513" s="243">
        <v>50</v>
      </c>
      <c r="BA513" s="243">
        <v>50</v>
      </c>
      <c r="BB513" s="65"/>
      <c r="BC513" s="65"/>
      <c r="BE513" s="2369"/>
      <c r="BF513" s="2370"/>
      <c r="BG513" s="237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69"/>
      <c r="AQ514" s="2370"/>
      <c r="AR514" s="2371"/>
      <c r="AS514" s="951">
        <v>55</v>
      </c>
      <c r="AT514" s="46">
        <v>0</v>
      </c>
      <c r="AU514" s="243">
        <v>10</v>
      </c>
      <c r="AV514" s="243">
        <v>25</v>
      </c>
      <c r="AW514" s="243">
        <v>37.5</v>
      </c>
      <c r="AX514" s="243">
        <v>35</v>
      </c>
      <c r="AY514" s="243">
        <v>37.5</v>
      </c>
      <c r="AZ514" s="243">
        <v>50</v>
      </c>
      <c r="BA514" s="243">
        <v>50</v>
      </c>
      <c r="BE514" s="2369"/>
      <c r="BF514" s="2370"/>
      <c r="BG514" s="237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36" t="s">
        <v>135</v>
      </c>
      <c r="G515" s="2336"/>
      <c r="H515" s="233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69"/>
      <c r="AQ515" s="2370"/>
      <c r="AR515" s="2371"/>
      <c r="AS515" s="242">
        <v>50</v>
      </c>
      <c r="AT515" s="46">
        <v>0</v>
      </c>
      <c r="AU515" s="243">
        <v>10</v>
      </c>
      <c r="AV515" s="243">
        <v>25</v>
      </c>
      <c r="AW515" s="243">
        <v>37.5</v>
      </c>
      <c r="AX515" s="243">
        <v>35</v>
      </c>
      <c r="AY515" s="243">
        <v>37.5</v>
      </c>
      <c r="AZ515" s="243">
        <v>50</v>
      </c>
      <c r="BA515" s="243">
        <v>50</v>
      </c>
      <c r="BE515" s="2369"/>
      <c r="BF515" s="2370"/>
      <c r="BG515" s="237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69"/>
      <c r="AQ516" s="2370"/>
      <c r="AR516" s="2371"/>
      <c r="AS516" s="242">
        <v>45</v>
      </c>
      <c r="AT516" s="46">
        <v>0</v>
      </c>
      <c r="AU516" s="243">
        <v>10</v>
      </c>
      <c r="AV516" s="243">
        <v>22.5</v>
      </c>
      <c r="AW516" s="243">
        <v>33.799999999999997</v>
      </c>
      <c r="AX516" s="243">
        <v>35</v>
      </c>
      <c r="AY516" s="243">
        <v>37.5</v>
      </c>
      <c r="AZ516" s="243">
        <v>50</v>
      </c>
      <c r="BA516" s="243">
        <v>50</v>
      </c>
      <c r="BE516" s="2369"/>
      <c r="BF516" s="2370"/>
      <c r="BG516" s="237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1" t="s">
        <v>135</v>
      </c>
      <c r="D517" s="2332"/>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69"/>
      <c r="AQ517" s="2370"/>
      <c r="AR517" s="2371"/>
      <c r="AS517" s="242">
        <v>40</v>
      </c>
      <c r="AT517" s="46">
        <v>0</v>
      </c>
      <c r="AU517" s="243">
        <v>10</v>
      </c>
      <c r="AV517" s="243">
        <v>20</v>
      </c>
      <c r="AW517" s="243">
        <v>30</v>
      </c>
      <c r="AX517" s="243">
        <v>35</v>
      </c>
      <c r="AY517" s="243">
        <v>37.5</v>
      </c>
      <c r="AZ517" s="243">
        <v>50</v>
      </c>
      <c r="BA517" s="243">
        <v>50</v>
      </c>
      <c r="BE517" s="2369"/>
      <c r="BF517" s="2370"/>
      <c r="BG517" s="237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69"/>
      <c r="AQ518" s="2370"/>
      <c r="AR518" s="2371"/>
      <c r="AS518" s="242">
        <v>35</v>
      </c>
      <c r="AT518" s="46">
        <v>0</v>
      </c>
      <c r="AU518" s="243">
        <v>8.8000000000000007</v>
      </c>
      <c r="AV518" s="243">
        <v>17.5</v>
      </c>
      <c r="AW518" s="243">
        <v>26.3</v>
      </c>
      <c r="AX518" s="243">
        <v>35</v>
      </c>
      <c r="AY518" s="243">
        <v>37.5</v>
      </c>
      <c r="AZ518" s="243">
        <v>50</v>
      </c>
      <c r="BA518" s="243">
        <v>50</v>
      </c>
      <c r="BE518" s="2369"/>
      <c r="BF518" s="2370"/>
      <c r="BG518" s="237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82"/>
      <c r="D519" s="2091"/>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69"/>
      <c r="AQ519" s="2370"/>
      <c r="AR519" s="2371"/>
      <c r="AS519" s="242">
        <v>30</v>
      </c>
      <c r="AT519" s="46">
        <v>0</v>
      </c>
      <c r="AU519" s="243">
        <v>7.5</v>
      </c>
      <c r="AV519" s="243">
        <v>15</v>
      </c>
      <c r="AW519" s="243">
        <v>22.5</v>
      </c>
      <c r="AX519" s="243">
        <v>30</v>
      </c>
      <c r="AY519" s="243">
        <v>37.5</v>
      </c>
      <c r="AZ519" s="243">
        <v>45</v>
      </c>
      <c r="BA519" s="243">
        <v>50</v>
      </c>
      <c r="BE519" s="2369"/>
      <c r="BF519" s="2370"/>
      <c r="BG519" s="237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78" t="s">
        <v>135</v>
      </c>
      <c r="H520" s="2578"/>
      <c r="I520" s="2578"/>
      <c r="J520" s="2578"/>
      <c r="K520" s="2578"/>
      <c r="L520" s="2578"/>
      <c r="M520" s="2578"/>
      <c r="N520" s="2578"/>
      <c r="O520" s="2578"/>
      <c r="P520" s="2578"/>
      <c r="Q520" s="2578"/>
      <c r="R520" s="2578"/>
      <c r="S520" s="2578"/>
      <c r="T520" s="2578"/>
      <c r="U520" s="2578"/>
      <c r="V520" s="2578"/>
      <c r="W520" s="2578"/>
      <c r="X520" s="2578"/>
      <c r="Y520" s="2578"/>
      <c r="Z520" s="2578"/>
      <c r="AA520" s="2578"/>
      <c r="AB520" s="2578"/>
      <c r="AC520" s="2578"/>
      <c r="AD520" s="2578"/>
      <c r="AE520" s="2578"/>
      <c r="AF520" s="2578"/>
      <c r="AG520" s="162"/>
      <c r="AH520" s="162"/>
      <c r="AI520" s="162"/>
      <c r="AJ520" s="27"/>
      <c r="AK520" s="1144"/>
      <c r="AL520" s="162"/>
      <c r="AM520" s="46"/>
      <c r="AN520" s="1084"/>
      <c r="AP520" s="2369"/>
      <c r="AQ520" s="2370"/>
      <c r="AR520" s="2371"/>
      <c r="AS520" s="242">
        <v>25</v>
      </c>
      <c r="AT520" s="46">
        <v>0</v>
      </c>
      <c r="AU520" s="243">
        <v>6.3</v>
      </c>
      <c r="AV520" s="243">
        <v>12.5</v>
      </c>
      <c r="AW520" s="243">
        <v>18.8</v>
      </c>
      <c r="AX520" s="243">
        <v>25</v>
      </c>
      <c r="AY520" s="243">
        <v>31.3</v>
      </c>
      <c r="AZ520" s="243">
        <v>37.5</v>
      </c>
      <c r="BA520" s="243">
        <v>50</v>
      </c>
      <c r="BE520" s="2369"/>
      <c r="BF520" s="2370"/>
      <c r="BG520" s="237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69"/>
      <c r="AQ521" s="2370"/>
      <c r="AR521" s="2371"/>
      <c r="AS521" s="242">
        <v>20</v>
      </c>
      <c r="AT521" s="46">
        <v>0</v>
      </c>
      <c r="AU521" s="243">
        <v>5</v>
      </c>
      <c r="AV521" s="243">
        <v>10</v>
      </c>
      <c r="AW521" s="243">
        <v>15</v>
      </c>
      <c r="AX521" s="243">
        <v>20</v>
      </c>
      <c r="AY521" s="243">
        <v>25</v>
      </c>
      <c r="AZ521" s="243">
        <v>30</v>
      </c>
      <c r="BA521" s="243">
        <v>40</v>
      </c>
      <c r="BE521" s="2369"/>
      <c r="BF521" s="2370"/>
      <c r="BG521" s="237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9" t="s">
        <v>135</v>
      </c>
      <c r="D522" s="2580"/>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69"/>
      <c r="AQ522" s="2370"/>
      <c r="AR522" s="2371"/>
      <c r="AS522" s="242">
        <v>15</v>
      </c>
      <c r="AT522" s="46">
        <v>0</v>
      </c>
      <c r="AU522" s="243">
        <v>3.8</v>
      </c>
      <c r="AV522" s="243">
        <v>7.5</v>
      </c>
      <c r="AW522" s="243">
        <v>11.3</v>
      </c>
      <c r="AX522" s="243">
        <v>15</v>
      </c>
      <c r="AY522" s="243">
        <v>18.8</v>
      </c>
      <c r="AZ522" s="243">
        <v>22.5</v>
      </c>
      <c r="BA522" s="243">
        <v>30</v>
      </c>
      <c r="BE522" s="2369"/>
      <c r="BF522" s="2370"/>
      <c r="BG522" s="237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2"/>
      <c r="AQ523" s="2373"/>
      <c r="AR523" s="2374"/>
      <c r="AS523" s="242">
        <v>10</v>
      </c>
      <c r="AT523" s="46">
        <v>0</v>
      </c>
      <c r="AU523" s="243">
        <v>2.5</v>
      </c>
      <c r="AV523" s="243">
        <v>5</v>
      </c>
      <c r="AW523" s="243">
        <v>7.5</v>
      </c>
      <c r="AX523" s="243">
        <v>10</v>
      </c>
      <c r="AY523" s="243">
        <v>12.5</v>
      </c>
      <c r="AZ523" s="243">
        <v>15</v>
      </c>
      <c r="BA523" s="243">
        <v>20</v>
      </c>
      <c r="BE523" s="2372"/>
      <c r="BF523" s="2373"/>
      <c r="BG523" s="237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79" t="s">
        <v>135</v>
      </c>
      <c r="D526" s="2580"/>
      <c r="E526" s="162"/>
      <c r="F526" s="767" t="s">
        <v>952</v>
      </c>
      <c r="G526" s="2345" t="s">
        <v>1066</v>
      </c>
      <c r="H526" s="2345"/>
      <c r="I526" s="2345"/>
      <c r="J526" s="2345"/>
      <c r="K526" s="2345"/>
      <c r="L526" s="2345"/>
      <c r="M526" s="2345"/>
      <c r="N526" s="2345"/>
      <c r="O526" s="2345"/>
      <c r="P526" s="2345"/>
      <c r="Q526" s="2345"/>
      <c r="R526" s="2345"/>
      <c r="S526" s="2345"/>
      <c r="T526" s="2345"/>
      <c r="U526" s="2345"/>
      <c r="V526" s="2345"/>
      <c r="W526" s="2345"/>
      <c r="X526" s="2345"/>
      <c r="Y526" s="2345"/>
      <c r="Z526" s="2345"/>
      <c r="AA526" s="2345"/>
      <c r="AB526" s="2345"/>
      <c r="AC526" s="2345"/>
      <c r="AD526" s="2345"/>
      <c r="AE526" s="2345"/>
      <c r="AF526" s="2345"/>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72">
        <f>BJ530</f>
        <v>48</v>
      </c>
      <c r="BE526" s="2572"/>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81"/>
      <c r="H527" s="2581"/>
      <c r="I527" s="2581"/>
      <c r="J527" s="2581"/>
      <c r="K527" s="2581"/>
      <c r="L527" s="2581"/>
      <c r="M527" s="2581"/>
      <c r="N527" s="2581"/>
      <c r="O527" s="2581"/>
      <c r="P527" s="2581"/>
      <c r="Q527" s="2581"/>
      <c r="R527" s="2581"/>
      <c r="S527" s="2581"/>
      <c r="T527" s="2581"/>
      <c r="U527" s="2581"/>
      <c r="V527" s="2581"/>
      <c r="W527" s="2581"/>
      <c r="X527" s="2581"/>
      <c r="Y527" s="2581"/>
      <c r="Z527" s="2581"/>
      <c r="AA527" s="2581"/>
      <c r="AB527" s="2581"/>
      <c r="AC527" s="2581"/>
      <c r="AD527" s="2581"/>
      <c r="AE527" s="2581"/>
      <c r="AF527" s="2581"/>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72">
        <f>SUM(E583:J591)</f>
        <v>48</v>
      </c>
      <c r="BE527" s="2572"/>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64">
        <v>0</v>
      </c>
      <c r="BK528" s="2565"/>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64">
        <f>Application!AG431</f>
        <v>48</v>
      </c>
      <c r="BK529" s="2565"/>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3" t="s">
        <v>135</v>
      </c>
      <c r="D530" s="1677"/>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64">
        <f>Application!AG433</f>
        <v>48</v>
      </c>
      <c r="BK530" s="2565"/>
      <c r="BM530" s="2422"/>
      <c r="BN530" s="2423"/>
      <c r="BO530" s="2422"/>
      <c r="BP530" s="2423"/>
      <c r="BQ530" s="2437"/>
      <c r="BR530" s="2439"/>
      <c r="BS530" s="2437"/>
      <c r="BT530" s="2439"/>
      <c r="BU530" s="2422">
        <f>IF(T610&gt;0,1,0)</f>
        <v>0</v>
      </c>
      <c r="BV530" s="2423"/>
      <c r="BW530" s="2422">
        <f>IF(Y610&gt;=0.1,1,0)</f>
        <v>0</v>
      </c>
      <c r="BX530" s="2423"/>
      <c r="BY530" s="2437"/>
      <c r="BZ530" s="2439"/>
      <c r="CA530" s="2437"/>
      <c r="CB530" s="2439"/>
      <c r="CC530" s="2422"/>
      <c r="CD530" s="2423"/>
      <c r="CE530" s="2422"/>
      <c r="CF530" s="2423"/>
      <c r="CG530" s="16"/>
      <c r="CH530" s="16"/>
      <c r="CI530" s="16"/>
      <c r="CJ530" s="16"/>
    </row>
    <row r="531" spans="1:101" s="46" customFormat="1" ht="12.75" hidden="1" customHeight="1">
      <c r="A531" s="28"/>
      <c r="C531" s="1198"/>
      <c r="D531" s="153"/>
      <c r="E531" s="225"/>
      <c r="F531" s="1977" t="s">
        <v>135</v>
      </c>
      <c r="G531" s="1977"/>
      <c r="H531" s="1977"/>
      <c r="I531" s="1977"/>
      <c r="J531" s="1977"/>
      <c r="K531" s="1977"/>
      <c r="L531" s="1977"/>
      <c r="M531" s="1977"/>
      <c r="N531" s="1977"/>
      <c r="O531" s="1977"/>
      <c r="P531" s="1977"/>
      <c r="Q531" s="1977"/>
      <c r="R531" s="1977"/>
      <c r="S531" s="1977"/>
      <c r="T531" s="1977"/>
      <c r="U531" s="1977"/>
      <c r="V531" s="1977"/>
      <c r="W531" s="1977"/>
      <c r="X531" s="1977"/>
      <c r="Y531" s="1977"/>
      <c r="Z531" s="1977"/>
      <c r="AA531" s="1977"/>
      <c r="AB531" s="1977"/>
      <c r="AC531" s="1977"/>
      <c r="AD531" s="1977"/>
      <c r="AE531" s="1977"/>
      <c r="AF531" s="1977"/>
      <c r="AG531" s="27"/>
      <c r="AH531" s="27"/>
      <c r="AI531" s="27"/>
      <c r="AJ531" s="27"/>
      <c r="AK531" s="1144"/>
      <c r="AL531" s="162"/>
      <c r="AN531" s="439"/>
      <c r="BM531" s="2422"/>
      <c r="BN531" s="2423"/>
      <c r="BO531" s="2422"/>
      <c r="BP531" s="2423"/>
      <c r="BQ531" s="2437"/>
      <c r="BR531" s="2439"/>
      <c r="BS531" s="2437"/>
      <c r="BT531" s="2439"/>
      <c r="BU531" s="2422"/>
      <c r="BV531" s="2423"/>
      <c r="BW531" s="2422"/>
      <c r="BX531" s="2423"/>
      <c r="BY531" s="2473">
        <f>IF(T611&gt;0,1,0)</f>
        <v>0</v>
      </c>
      <c r="BZ531" s="2475"/>
      <c r="CA531" s="2473">
        <f>IF(Y611&gt;=0.1,1,0)</f>
        <v>0</v>
      </c>
      <c r="CB531" s="2475"/>
      <c r="CC531" s="2422"/>
      <c r="CD531" s="2423"/>
      <c r="CE531" s="2422"/>
      <c r="CF531" s="2423"/>
      <c r="CG531" s="16"/>
      <c r="CH531" s="16"/>
      <c r="CI531" s="16"/>
      <c r="CJ531" s="16"/>
      <c r="CW531" s="16"/>
    </row>
    <row r="532" spans="1:101" s="46" customFormat="1" ht="12.75" hidden="1" customHeight="1">
      <c r="A532" s="28"/>
      <c r="C532" s="1199"/>
      <c r="D532" s="1154"/>
      <c r="E532" s="1174"/>
      <c r="F532" s="2375"/>
      <c r="G532" s="2375"/>
      <c r="H532" s="2375"/>
      <c r="I532" s="2375"/>
      <c r="J532" s="2375"/>
      <c r="K532" s="2375"/>
      <c r="L532" s="2375"/>
      <c r="M532" s="2375"/>
      <c r="N532" s="2375"/>
      <c r="O532" s="2375"/>
      <c r="P532" s="2375"/>
      <c r="Q532" s="2375"/>
      <c r="R532" s="2375"/>
      <c r="S532" s="2375"/>
      <c r="T532" s="2375"/>
      <c r="U532" s="2375"/>
      <c r="V532" s="2375"/>
      <c r="W532" s="2375"/>
      <c r="X532" s="2375"/>
      <c r="Y532" s="2375"/>
      <c r="Z532" s="2375"/>
      <c r="AA532" s="2375"/>
      <c r="AB532" s="2375"/>
      <c r="AC532" s="2375"/>
      <c r="AD532" s="2375"/>
      <c r="AE532" s="2375"/>
      <c r="AF532" s="2375"/>
      <c r="AG532" s="1176"/>
      <c r="AH532" s="1176"/>
      <c r="AI532" s="1176"/>
      <c r="AJ532" s="1176"/>
      <c r="AK532" s="1155"/>
      <c r="AL532" s="162"/>
      <c r="AN532" s="439"/>
      <c r="BM532" s="2422"/>
      <c r="BN532" s="2423"/>
      <c r="BO532" s="2422"/>
      <c r="BP532" s="2423"/>
      <c r="BQ532" s="2437"/>
      <c r="BR532" s="2439"/>
      <c r="BS532" s="2437"/>
      <c r="BT532" s="2439"/>
      <c r="BU532" s="2422"/>
      <c r="BV532" s="2423"/>
      <c r="BW532" s="2422"/>
      <c r="BX532" s="2423"/>
      <c r="BY532" s="2437"/>
      <c r="BZ532" s="2439"/>
      <c r="CA532" s="2437"/>
      <c r="CB532" s="2439"/>
      <c r="CC532" s="2422">
        <f>IF(T612&gt;0,1,0)</f>
        <v>1</v>
      </c>
      <c r="CD532" s="2423"/>
      <c r="CE532" s="2422">
        <f>IF(Y612&gt;=0.1,1,0)</f>
        <v>1</v>
      </c>
      <c r="CF532" s="2423"/>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22">
        <f>SUM(BM528:BN532)</f>
        <v>0</v>
      </c>
      <c r="BN533" s="2423"/>
      <c r="BO533" s="2422">
        <f>SUM(BO528:BP532)</f>
        <v>0</v>
      </c>
      <c r="BP533" s="2423"/>
      <c r="BQ533" s="2422">
        <f>SUM(BQ528:BR532)</f>
        <v>0</v>
      </c>
      <c r="BR533" s="2423"/>
      <c r="BS533" s="2422">
        <f>SUM(BS528:BT532)</f>
        <v>0</v>
      </c>
      <c r="BT533" s="2423"/>
      <c r="BU533" s="2422">
        <f>SUM(BU528:BV532)</f>
        <v>0</v>
      </c>
      <c r="BV533" s="2423"/>
      <c r="BW533" s="2422">
        <f>SUM(BW528:BX532)</f>
        <v>0</v>
      </c>
      <c r="BX533" s="2423"/>
      <c r="BY533" s="2422">
        <f>SUM(BY528:BZ532)</f>
        <v>0</v>
      </c>
      <c r="BZ533" s="2423"/>
      <c r="CA533" s="2422">
        <f>SUM(CA528:CB532)</f>
        <v>0</v>
      </c>
      <c r="CB533" s="2423"/>
      <c r="CC533" s="2422">
        <f>SUM(CC528:CD532)</f>
        <v>1</v>
      </c>
      <c r="CD533" s="2423"/>
      <c r="CE533" s="2422">
        <f>SUM(CE528:CF532)</f>
        <v>1</v>
      </c>
      <c r="CF533" s="2423"/>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9" t="s">
        <v>501</v>
      </c>
      <c r="AQ534" s="2570"/>
      <c r="AR534" s="2570"/>
      <c r="AS534" s="2570"/>
      <c r="AT534" s="2571"/>
      <c r="AU534" s="2569" t="s">
        <v>502</v>
      </c>
      <c r="AV534" s="2570"/>
      <c r="AW534" s="2570"/>
      <c r="AX534" s="2570"/>
      <c r="AY534" s="2571"/>
      <c r="BM534" s="2437">
        <f>SUM(BM533:BP533)</f>
        <v>0</v>
      </c>
      <c r="BN534" s="2438"/>
      <c r="BO534" s="2438"/>
      <c r="BP534" s="2439"/>
      <c r="BQ534" s="2437">
        <f>SUM(BQ533:BT533)</f>
        <v>0</v>
      </c>
      <c r="BR534" s="2438"/>
      <c r="BS534" s="2438"/>
      <c r="BT534" s="2439"/>
      <c r="BU534" s="2437">
        <f>SUM(BU533:BX533)</f>
        <v>0</v>
      </c>
      <c r="BV534" s="2438"/>
      <c r="BW534" s="2438"/>
      <c r="BX534" s="2439"/>
      <c r="BY534" s="2437">
        <f>SUM(BY533:CB533)</f>
        <v>0</v>
      </c>
      <c r="BZ534" s="2438"/>
      <c r="CA534" s="2438"/>
      <c r="CB534" s="2439"/>
      <c r="CC534" s="2437">
        <f>SUM(CC533:CF533)</f>
        <v>2</v>
      </c>
      <c r="CD534" s="2438"/>
      <c r="CE534" s="2438"/>
      <c r="CF534" s="2439"/>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66">
        <f>RANK(T608,$T$608:$X$612,0)+COUNTIF($T$608:$X$612,T608)-1</f>
        <v>5</v>
      </c>
      <c r="AQ535" s="2567"/>
      <c r="AR535" s="2567"/>
      <c r="AS535" s="2567"/>
      <c r="AT535" s="2568"/>
      <c r="AU535" s="2566">
        <f>RANK(Y608,$Y$608:$AC$612,0)+COUNTIF($Y$608:$AC$612,Y608)-1</f>
        <v>5</v>
      </c>
      <c r="AV535" s="2567"/>
      <c r="AW535" s="2567"/>
      <c r="AX535" s="2567"/>
      <c r="AY535" s="2568"/>
      <c r="BM535" s="2437"/>
      <c r="BN535" s="2438"/>
      <c r="BO535" s="2438"/>
      <c r="BP535" s="2439"/>
      <c r="BQ535" s="2437">
        <f>IF(AND(BQ534=2,BM534=1),1,0)</f>
        <v>0</v>
      </c>
      <c r="BR535" s="2438"/>
      <c r="BS535" s="2438"/>
      <c r="BT535" s="2439"/>
      <c r="BU535" s="2437">
        <f>IF(AND(BU534=2,BQ534=1),1,0)</f>
        <v>0</v>
      </c>
      <c r="BV535" s="2438"/>
      <c r="BW535" s="2438"/>
      <c r="BX535" s="2439"/>
      <c r="BY535" s="2437">
        <f>IF(AND(BY534=2,BU534=1),1,0)</f>
        <v>0</v>
      </c>
      <c r="BZ535" s="2438"/>
      <c r="CA535" s="2438"/>
      <c r="CB535" s="2439"/>
      <c r="CC535" s="2437">
        <f>IF(AND(CC534=2,BU534=1),1,0)</f>
        <v>0</v>
      </c>
      <c r="CD535" s="2438"/>
      <c r="CE535" s="2438"/>
      <c r="CF535" s="2439"/>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66">
        <f>RANK(T609,$T$608:$X$612,0)+COUNTIF($T$608:$X$612,T609)-1</f>
        <v>5</v>
      </c>
      <c r="AQ536" s="2567"/>
      <c r="AR536" s="2567"/>
      <c r="AS536" s="2567"/>
      <c r="AT536" s="2568"/>
      <c r="AU536" s="2566">
        <f>RANK(Y609,$Y$608:$AC$612,0)+COUNTIF($Y$608:$AC$612,Y609)-1</f>
        <v>5</v>
      </c>
      <c r="AV536" s="2567"/>
      <c r="AW536" s="2567"/>
      <c r="AX536" s="2567"/>
      <c r="AY536" s="2568"/>
      <c r="BM536" s="2437"/>
      <c r="BN536" s="2438"/>
      <c r="BO536" s="2438"/>
      <c r="BP536" s="2439"/>
      <c r="BQ536" s="2437"/>
      <c r="BR536" s="2438"/>
      <c r="BS536" s="2438"/>
      <c r="BT536" s="2439"/>
      <c r="BU536" s="2437">
        <f>IF(AND(BU534=2,BM534=1),1,0)</f>
        <v>0</v>
      </c>
      <c r="BV536" s="2438"/>
      <c r="BW536" s="2438"/>
      <c r="BX536" s="2439"/>
      <c r="BY536" s="2437">
        <f>IF(AND(BY534=2,BQ534=1),1,0)</f>
        <v>0</v>
      </c>
      <c r="BZ536" s="2438"/>
      <c r="CA536" s="2438"/>
      <c r="CB536" s="2439"/>
      <c r="CC536" s="2437">
        <f>IF(AND(CC535=2,BY535=1),1,0)</f>
        <v>0</v>
      </c>
      <c r="CD536" s="2438"/>
      <c r="CE536" s="2438"/>
      <c r="CF536" s="2439"/>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66">
        <f>RANK(T610,$T$608:$X$612,0)+COUNTIF($T$608:$X$612,T610)-1</f>
        <v>5</v>
      </c>
      <c r="AQ537" s="2567"/>
      <c r="AR537" s="2567"/>
      <c r="AS537" s="2567"/>
      <c r="AT537" s="2568"/>
      <c r="AU537" s="2566">
        <f>RANK(Y610,$Y$608:$AC$612,0)+COUNTIF($Y$608:$AC$612,Y610)-1</f>
        <v>5</v>
      </c>
      <c r="AV537" s="2567"/>
      <c r="AW537" s="2567"/>
      <c r="AX537" s="2567"/>
      <c r="AY537" s="2568"/>
      <c r="BM537" s="2437"/>
      <c r="BN537" s="2438"/>
      <c r="BO537" s="2438"/>
      <c r="BP537" s="2439"/>
      <c r="BQ537" s="2437"/>
      <c r="BR537" s="2438"/>
      <c r="BS537" s="2438"/>
      <c r="BT537" s="2439"/>
      <c r="BU537" s="2437"/>
      <c r="BV537" s="2438"/>
      <c r="BW537" s="2438"/>
      <c r="BX537" s="2439"/>
      <c r="BY537" s="2437">
        <f>IF(AND(BY534=2,BM534=1),1,0)</f>
        <v>0</v>
      </c>
      <c r="BZ537" s="2438"/>
      <c r="CA537" s="2438"/>
      <c r="CB537" s="2439"/>
      <c r="CC537" s="2437">
        <f>IF(AND(CC534=2,BQ534=1),1,0)</f>
        <v>0</v>
      </c>
      <c r="CD537" s="2438"/>
      <c r="CE537" s="2438"/>
      <c r="CF537" s="2439"/>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66">
        <f>RANK(T611,$T$608:$X$612,0)+COUNTIF($T$608:$X$612,T611)-1</f>
        <v>5</v>
      </c>
      <c r="AQ538" s="2567"/>
      <c r="AR538" s="2567"/>
      <c r="AS538" s="2567"/>
      <c r="AT538" s="2568"/>
      <c r="AU538" s="2566">
        <f>RANK(Y611,$Y$608:$AC$612,0)+COUNTIF($Y$608:$AC$612,Y611)-1</f>
        <v>5</v>
      </c>
      <c r="AV538" s="2567"/>
      <c r="AW538" s="2567"/>
      <c r="AX538" s="2567"/>
      <c r="AY538" s="2568"/>
      <c r="BM538" s="2437"/>
      <c r="BN538" s="2438"/>
      <c r="BO538" s="2438"/>
      <c r="BP538" s="2439"/>
      <c r="BQ538" s="2437"/>
      <c r="BR538" s="2438"/>
      <c r="BS538" s="2438"/>
      <c r="BT538" s="2439"/>
      <c r="BU538" s="2437"/>
      <c r="BV538" s="2438"/>
      <c r="BW538" s="2438"/>
      <c r="BX538" s="2439"/>
      <c r="BY538" s="2437"/>
      <c r="BZ538" s="2438"/>
      <c r="CA538" s="2438"/>
      <c r="CB538" s="2439"/>
      <c r="CC538" s="2437">
        <f>IF(AND(CC534=2,BM534=1),1,0)</f>
        <v>0</v>
      </c>
      <c r="CD538" s="2438"/>
      <c r="CE538" s="2438"/>
      <c r="CF538" s="2439"/>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66">
        <f>RANK(T612,$T$608:$X$612,0)+COUNTIF($T$608:$X$612,T612)-1</f>
        <v>1</v>
      </c>
      <c r="AQ539" s="2567"/>
      <c r="AR539" s="2567"/>
      <c r="AS539" s="2567"/>
      <c r="AT539" s="2568"/>
      <c r="AU539" s="2566">
        <f>RANK(Y612,$Y$608:$AC$612,0)+COUNTIF($Y$608:$AC$612,Y612)-1</f>
        <v>1</v>
      </c>
      <c r="AV539" s="2567"/>
      <c r="AW539" s="2567"/>
      <c r="AX539" s="2567"/>
      <c r="AY539" s="2568"/>
      <c r="BM539" s="2437">
        <f>SUM(BM535:BP538)</f>
        <v>0</v>
      </c>
      <c r="BN539" s="2438"/>
      <c r="BO539" s="2438"/>
      <c r="BP539" s="2439"/>
      <c r="BQ539" s="2437">
        <f>SUM(BQ535:BT538)</f>
        <v>0</v>
      </c>
      <c r="BR539" s="2438"/>
      <c r="BS539" s="2438"/>
      <c r="BT539" s="2439"/>
      <c r="BU539" s="2437">
        <f>SUM(BU535:BX538)</f>
        <v>0</v>
      </c>
      <c r="BV539" s="2438"/>
      <c r="BW539" s="2438"/>
      <c r="BX539" s="2439"/>
      <c r="BY539" s="2437">
        <f>SUM(BY535:CB538)</f>
        <v>0</v>
      </c>
      <c r="BZ539" s="2438"/>
      <c r="CA539" s="2438"/>
      <c r="CB539" s="2439"/>
      <c r="CC539" s="2437">
        <f>SUM(CC535:CF538)</f>
        <v>0</v>
      </c>
      <c r="CD539" s="2438"/>
      <c r="CE539" s="2438"/>
      <c r="CF539" s="2439"/>
      <c r="CG539" s="2437">
        <f>SUM(BM539:CF539)</f>
        <v>0</v>
      </c>
      <c r="CH539" s="2438"/>
      <c r="CI539" s="2438"/>
      <c r="CJ539" s="2439"/>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55">
        <f>SUM(AG486:AG531)</f>
        <v>0</v>
      </c>
      <c r="AL542" s="2356"/>
      <c r="AM542" s="2357"/>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22">
        <f>SUM(O608:S612)</f>
        <v>48</v>
      </c>
      <c r="AZ543" s="2423"/>
      <c r="CG543" s="35"/>
      <c r="CH543" s="2472" t="s">
        <v>840</v>
      </c>
      <c r="CI543" s="2142"/>
      <c r="CJ543" s="2142"/>
      <c r="CK543" s="214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22" t="str">
        <f>IF(AY543=BK570,"passed","failed")</f>
        <v>passed</v>
      </c>
      <c r="AT544" s="2428"/>
      <c r="AU544" s="2423"/>
      <c r="AV544" s="233"/>
      <c r="AW544" s="233"/>
      <c r="AX544" s="233"/>
      <c r="AY544" s="233"/>
      <c r="AZ544" s="234"/>
      <c r="CG544" s="35"/>
      <c r="CH544" s="2144"/>
      <c r="CI544" s="2145"/>
      <c r="CJ544" s="2145"/>
      <c r="CK544" s="2146"/>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6" t="s">
        <v>406</v>
      </c>
      <c r="AF545" s="2376"/>
      <c r="AG545" s="2376"/>
      <c r="AH545" s="2376"/>
      <c r="AI545" s="2376"/>
      <c r="AJ545" s="2376"/>
      <c r="AK545" s="2376"/>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44"/>
      <c r="CI545" s="2145"/>
      <c r="CJ545" s="2145"/>
      <c r="CK545" s="2146"/>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4" t="s">
        <v>198</v>
      </c>
      <c r="AH546" s="2354"/>
      <c r="AI546" s="2354"/>
      <c r="AJ546" s="2354"/>
      <c r="AK546" s="26"/>
      <c r="AL546" s="1250"/>
      <c r="AM546" s="65"/>
      <c r="AN546" s="439"/>
      <c r="BE546" s="2437" t="s">
        <v>248</v>
      </c>
      <c r="BF546" s="2438"/>
      <c r="BG546" s="2438"/>
      <c r="BH546" s="2439"/>
      <c r="BI546" s="2437" t="s">
        <v>778</v>
      </c>
      <c r="BJ546" s="2438"/>
      <c r="BK546" s="2438"/>
      <c r="BL546" s="2439"/>
      <c r="BM546" s="2437" t="s">
        <v>779</v>
      </c>
      <c r="BN546" s="2438"/>
      <c r="BO546" s="2438"/>
      <c r="BP546" s="2439"/>
      <c r="BQ546" s="2437" t="s">
        <v>780</v>
      </c>
      <c r="BR546" s="2438"/>
      <c r="BS546" s="2438"/>
      <c r="BT546" s="2439"/>
      <c r="BU546" s="2437" t="s">
        <v>781</v>
      </c>
      <c r="BV546" s="2438"/>
      <c r="BW546" s="2438"/>
      <c r="BX546" s="2439"/>
      <c r="BY546" s="2437" t="s">
        <v>249</v>
      </c>
      <c r="BZ546" s="2438"/>
      <c r="CA546" s="2438"/>
      <c r="CB546" s="2439"/>
      <c r="CC546" s="16"/>
      <c r="CG546" s="16"/>
      <c r="CH546" s="2144"/>
      <c r="CI546" s="2145"/>
      <c r="CJ546" s="2145"/>
      <c r="CK546" s="2146"/>
    </row>
    <row r="547" spans="1:89" s="46" customFormat="1" ht="12.75" customHeight="1">
      <c r="A547" s="152"/>
      <c r="B547" s="2547" t="s">
        <v>1883</v>
      </c>
      <c r="C547" s="2547"/>
      <c r="D547" s="2547"/>
      <c r="E547" s="2547"/>
      <c r="F547" s="2547"/>
      <c r="G547" s="2547"/>
      <c r="H547" s="2547"/>
      <c r="I547" s="2547"/>
      <c r="J547" s="2547"/>
      <c r="K547" s="2547"/>
      <c r="L547" s="2547"/>
      <c r="M547" s="2547"/>
      <c r="N547" s="2547"/>
      <c r="O547" s="2547"/>
      <c r="P547" s="2547"/>
      <c r="Q547" s="2547"/>
      <c r="R547" s="2547"/>
      <c r="S547" s="2547"/>
      <c r="T547" s="2547"/>
      <c r="U547" s="2547"/>
      <c r="V547" s="2547"/>
      <c r="W547" s="2547"/>
      <c r="X547" s="2547"/>
      <c r="Y547" s="2547"/>
      <c r="Z547" s="2547"/>
      <c r="AA547" s="2547"/>
      <c r="AB547" s="2547"/>
      <c r="AC547" s="2547"/>
      <c r="AD547" s="2547"/>
      <c r="AE547" s="2547"/>
      <c r="AF547" s="2547"/>
      <c r="AG547" s="2547"/>
      <c r="AK547" s="65"/>
      <c r="AL547" s="65"/>
      <c r="AM547" s="153"/>
      <c r="AN547" s="439"/>
      <c r="AP547" s="668" t="s">
        <v>675</v>
      </c>
      <c r="AQ547" s="669"/>
      <c r="AR547" s="669"/>
      <c r="AS547" s="669"/>
      <c r="AT547" s="669"/>
      <c r="AU547" s="669"/>
      <c r="AV547" s="670"/>
      <c r="AW547" s="669"/>
      <c r="AX547" s="669"/>
      <c r="AY547" s="670"/>
      <c r="BE547" s="2422">
        <f>IF(CH548=1,0,1)</f>
        <v>0</v>
      </c>
      <c r="BF547" s="2428"/>
      <c r="BG547" s="2428"/>
      <c r="BH547" s="2423"/>
      <c r="BI547" s="2422"/>
      <c r="BJ547" s="2428"/>
      <c r="BK547" s="2428"/>
      <c r="BL547" s="2423"/>
      <c r="BM547" s="2422"/>
      <c r="BN547" s="2428"/>
      <c r="BO547" s="2428"/>
      <c r="BP547" s="2423"/>
      <c r="BQ547" s="2422"/>
      <c r="BR547" s="2428"/>
      <c r="BS547" s="2428"/>
      <c r="BT547" s="2423"/>
      <c r="BU547" s="2473"/>
      <c r="BV547" s="2474"/>
      <c r="BW547" s="2474"/>
      <c r="BX547" s="2475"/>
      <c r="BY547" s="2473"/>
      <c r="BZ547" s="2474"/>
      <c r="CA547" s="2474"/>
      <c r="CB547" s="2475"/>
      <c r="CC547" s="16"/>
      <c r="CG547" s="16"/>
      <c r="CH547" s="2153"/>
      <c r="CI547" s="2154"/>
      <c r="CJ547" s="2154"/>
      <c r="CK547" s="2155"/>
    </row>
    <row r="548" spans="1:89" s="46" customFormat="1" ht="12.75" customHeight="1">
      <c r="A548" s="29"/>
      <c r="B548" s="2547"/>
      <c r="C548" s="2547"/>
      <c r="D548" s="2547"/>
      <c r="E548" s="2547"/>
      <c r="F548" s="2547"/>
      <c r="G548" s="2547"/>
      <c r="H548" s="2547"/>
      <c r="I548" s="2547"/>
      <c r="J548" s="2547"/>
      <c r="K548" s="2547"/>
      <c r="L548" s="2547"/>
      <c r="M548" s="2547"/>
      <c r="N548" s="2547"/>
      <c r="O548" s="2547"/>
      <c r="P548" s="2547"/>
      <c r="Q548" s="2547"/>
      <c r="R548" s="2547"/>
      <c r="S548" s="2547"/>
      <c r="T548" s="2547"/>
      <c r="U548" s="2547"/>
      <c r="V548" s="2547"/>
      <c r="W548" s="2547"/>
      <c r="X548" s="2547"/>
      <c r="Y548" s="2547"/>
      <c r="Z548" s="2547"/>
      <c r="AA548" s="2547"/>
      <c r="AB548" s="2547"/>
      <c r="AC548" s="2547"/>
      <c r="AD548" s="2547"/>
      <c r="AE548" s="2547"/>
      <c r="AF548" s="2547"/>
      <c r="AG548" s="2547"/>
      <c r="AK548" s="246"/>
      <c r="AL548" s="246"/>
      <c r="AM548" s="246"/>
      <c r="AN548" s="439"/>
      <c r="AP548" s="671" t="s">
        <v>673</v>
      </c>
      <c r="AQ548" s="672"/>
      <c r="AR548" s="672"/>
      <c r="AS548" s="672"/>
      <c r="AT548" s="672"/>
      <c r="AU548" s="2462">
        <f>ROUNDUP(BK570*0.1,0)</f>
        <v>5</v>
      </c>
      <c r="AV548" s="2464"/>
      <c r="AW548" s="672"/>
      <c r="AX548" s="672">
        <f>AU548-AP550</f>
        <v>-7</v>
      </c>
      <c r="AY548" s="673"/>
      <c r="BE548" s="2422"/>
      <c r="BF548" s="2428"/>
      <c r="BG548" s="2428"/>
      <c r="BH548" s="2423"/>
      <c r="BI548" s="2422">
        <f>IF(AND(CH549=1,BE547=0),0,1)</f>
        <v>0</v>
      </c>
      <c r="BJ548" s="2428"/>
      <c r="BK548" s="2428"/>
      <c r="BL548" s="2423"/>
      <c r="BM548" s="2422"/>
      <c r="BN548" s="2428"/>
      <c r="BO548" s="2428"/>
      <c r="BP548" s="2423"/>
      <c r="BQ548" s="2422"/>
      <c r="BR548" s="2428"/>
      <c r="BS548" s="2428"/>
      <c r="BT548" s="2423"/>
      <c r="BU548" s="2473"/>
      <c r="BV548" s="2474"/>
      <c r="BW548" s="2474"/>
      <c r="BX548" s="2475"/>
      <c r="BY548" s="2473"/>
      <c r="BZ548" s="2474"/>
      <c r="CA548" s="2474"/>
      <c r="CB548" s="2475"/>
      <c r="CC548" s="16"/>
      <c r="CG548" s="16"/>
      <c r="CH548" s="2437">
        <f>IF(OR(Y608=0,Y608&gt;=0.1),1,0)</f>
        <v>1</v>
      </c>
      <c r="CI548" s="2438"/>
      <c r="CJ548" s="2438"/>
      <c r="CK548" s="2439"/>
    </row>
    <row r="549" spans="1:89" s="46" customFormat="1" ht="12.75" customHeight="1">
      <c r="A549" s="28"/>
      <c r="B549" s="2547"/>
      <c r="C549" s="2547"/>
      <c r="D549" s="2547"/>
      <c r="E549" s="2547"/>
      <c r="F549" s="2547"/>
      <c r="G549" s="2547"/>
      <c r="H549" s="2547"/>
      <c r="I549" s="2547"/>
      <c r="J549" s="2547"/>
      <c r="K549" s="2547"/>
      <c r="L549" s="2547"/>
      <c r="M549" s="2547"/>
      <c r="N549" s="2547"/>
      <c r="O549" s="2547"/>
      <c r="P549" s="2547"/>
      <c r="Q549" s="2547"/>
      <c r="R549" s="2547"/>
      <c r="S549" s="2547"/>
      <c r="T549" s="2547"/>
      <c r="U549" s="2547"/>
      <c r="V549" s="2547"/>
      <c r="W549" s="2547"/>
      <c r="X549" s="2547"/>
      <c r="Y549" s="2547"/>
      <c r="Z549" s="2547"/>
      <c r="AA549" s="2547"/>
      <c r="AB549" s="2547"/>
      <c r="AC549" s="2547"/>
      <c r="AD549" s="2547"/>
      <c r="AE549" s="2547"/>
      <c r="AF549" s="2547"/>
      <c r="AG549" s="2547"/>
      <c r="AH549" s="245"/>
      <c r="AI549" s="245"/>
      <c r="AJ549" s="245"/>
      <c r="AK549" s="246"/>
      <c r="AL549" s="246"/>
      <c r="AM549" s="246"/>
      <c r="AN549" s="439"/>
      <c r="AP549" s="671"/>
      <c r="AQ549" s="672"/>
      <c r="AR549" s="672"/>
      <c r="AS549" s="672"/>
      <c r="AT549" s="672"/>
      <c r="AU549" s="672"/>
      <c r="AV549" s="673"/>
      <c r="AW549" s="672"/>
      <c r="AX549" s="672"/>
      <c r="AY549" s="673"/>
      <c r="BE549" s="2422"/>
      <c r="BF549" s="2428"/>
      <c r="BG549" s="2428"/>
      <c r="BH549" s="2423"/>
      <c r="BI549" s="2422"/>
      <c r="BJ549" s="2428"/>
      <c r="BK549" s="2428"/>
      <c r="BL549" s="2423"/>
      <c r="BM549" s="2422">
        <f>IF(AND(AND(CH550=1,BI548=0,BE547=0)),0,1)</f>
        <v>0</v>
      </c>
      <c r="BN549" s="2428"/>
      <c r="BO549" s="2428"/>
      <c r="BP549" s="2423"/>
      <c r="BQ549" s="2422"/>
      <c r="BR549" s="2428"/>
      <c r="BS549" s="2428"/>
      <c r="BT549" s="2423"/>
      <c r="BU549" s="2473"/>
      <c r="BV549" s="2474"/>
      <c r="BW549" s="2474"/>
      <c r="BX549" s="2475"/>
      <c r="BY549" s="2473"/>
      <c r="BZ549" s="2474"/>
      <c r="CA549" s="2474"/>
      <c r="CB549" s="2475"/>
      <c r="CC549" s="16"/>
      <c r="CG549" s="16"/>
      <c r="CH549" s="2437">
        <f>IF(OR(Y609=0,Y609&gt;=0.1),1,0)</f>
        <v>1</v>
      </c>
      <c r="CI549" s="2438"/>
      <c r="CJ549" s="2438"/>
      <c r="CK549" s="2439"/>
    </row>
    <row r="550" spans="1:89" s="46" customFormat="1" ht="12.75" customHeight="1">
      <c r="A550" s="28"/>
      <c r="B550" s="2547"/>
      <c r="C550" s="2547"/>
      <c r="D550" s="2547"/>
      <c r="E550" s="2547"/>
      <c r="F550" s="2547"/>
      <c r="G550" s="2547"/>
      <c r="H550" s="2547"/>
      <c r="I550" s="2547"/>
      <c r="J550" s="2547"/>
      <c r="K550" s="2547"/>
      <c r="L550" s="2547"/>
      <c r="M550" s="2547"/>
      <c r="N550" s="2547"/>
      <c r="O550" s="2547"/>
      <c r="P550" s="2547"/>
      <c r="Q550" s="2547"/>
      <c r="R550" s="2547"/>
      <c r="S550" s="2547"/>
      <c r="T550" s="2547"/>
      <c r="U550" s="2547"/>
      <c r="V550" s="2547"/>
      <c r="W550" s="2547"/>
      <c r="X550" s="2547"/>
      <c r="Y550" s="2547"/>
      <c r="Z550" s="2547"/>
      <c r="AA550" s="2547"/>
      <c r="AB550" s="2547"/>
      <c r="AC550" s="2547"/>
      <c r="AD550" s="2547"/>
      <c r="AE550" s="2547"/>
      <c r="AF550" s="2547"/>
      <c r="AG550" s="2547"/>
      <c r="AH550" s="245"/>
      <c r="AI550" s="245"/>
      <c r="AJ550" s="245"/>
      <c r="AK550" s="246"/>
      <c r="AL550" s="246"/>
      <c r="AM550" s="246"/>
      <c r="AN550" s="439"/>
      <c r="AP550" s="2549">
        <f>SUM(T608:X612)</f>
        <v>12</v>
      </c>
      <c r="AQ550" s="2550"/>
      <c r="AR550" s="2550"/>
      <c r="AS550" s="2550"/>
      <c r="AT550" s="2551"/>
      <c r="AU550" s="672"/>
      <c r="AV550" s="673"/>
      <c r="AW550" s="672"/>
      <c r="AX550" s="672"/>
      <c r="AY550" s="673"/>
      <c r="BE550" s="2422"/>
      <c r="BF550" s="2428"/>
      <c r="BG550" s="2428"/>
      <c r="BH550" s="2423"/>
      <c r="BI550" s="2422"/>
      <c r="BJ550" s="2428"/>
      <c r="BK550" s="2428"/>
      <c r="BL550" s="2423"/>
      <c r="BM550" s="2422"/>
      <c r="BN550" s="2428"/>
      <c r="BO550" s="2428"/>
      <c r="BP550" s="2423"/>
      <c r="BQ550" s="2422">
        <f>IF(AND(AND(AND(CH551=1,BM549=0,BI548=0,BE547=0))),0,1)</f>
        <v>0</v>
      </c>
      <c r="BR550" s="2428"/>
      <c r="BS550" s="2428"/>
      <c r="BT550" s="2423"/>
      <c r="BU550" s="2473"/>
      <c r="BV550" s="2474"/>
      <c r="BW550" s="2474"/>
      <c r="BX550" s="2475"/>
      <c r="BY550" s="2473"/>
      <c r="BZ550" s="2474"/>
      <c r="CA550" s="2474"/>
      <c r="CB550" s="2475"/>
      <c r="CC550" s="16"/>
      <c r="CG550" s="16"/>
      <c r="CH550" s="2437">
        <f>IF(OR(Y610=0,Y610&gt;=0.1),1,0)</f>
        <v>1</v>
      </c>
      <c r="CI550" s="2438"/>
      <c r="CJ550" s="2438"/>
      <c r="CK550" s="2439"/>
    </row>
    <row r="551" spans="1:89" s="46" customFormat="1" ht="12.75" customHeight="1">
      <c r="A551" s="28"/>
      <c r="B551" s="2547"/>
      <c r="C551" s="2547"/>
      <c r="D551" s="2547"/>
      <c r="E551" s="2547"/>
      <c r="F551" s="2547"/>
      <c r="G551" s="2547"/>
      <c r="H551" s="2547"/>
      <c r="I551" s="2547"/>
      <c r="J551" s="2547"/>
      <c r="K551" s="2547"/>
      <c r="L551" s="2547"/>
      <c r="M551" s="2547"/>
      <c r="N551" s="2547"/>
      <c r="O551" s="2547"/>
      <c r="P551" s="2547"/>
      <c r="Q551" s="2547"/>
      <c r="R551" s="2547"/>
      <c r="S551" s="2547"/>
      <c r="T551" s="2547"/>
      <c r="U551" s="2547"/>
      <c r="V551" s="2547"/>
      <c r="W551" s="2547"/>
      <c r="X551" s="2547"/>
      <c r="Y551" s="2547"/>
      <c r="Z551" s="2547"/>
      <c r="AA551" s="2547"/>
      <c r="AB551" s="2547"/>
      <c r="AC551" s="2547"/>
      <c r="AD551" s="2547"/>
      <c r="AE551" s="2547"/>
      <c r="AF551" s="2547"/>
      <c r="AG551" s="2547"/>
      <c r="AH551" s="245"/>
      <c r="AI551" s="245"/>
      <c r="AJ551" s="245"/>
      <c r="AK551" s="246"/>
      <c r="AL551" s="246"/>
      <c r="AM551" s="246"/>
      <c r="AN551" s="439"/>
      <c r="AP551" s="674"/>
      <c r="AQ551" s="675"/>
      <c r="AR551" s="675"/>
      <c r="AS551" s="675"/>
      <c r="AT551" s="676" t="s">
        <v>668</v>
      </c>
      <c r="AU551" s="2462" t="str">
        <f>IF(AP550&gt;=AU548,"passed","failed")</f>
        <v>passed</v>
      </c>
      <c r="AV551" s="2463"/>
      <c r="AW551" s="2464"/>
      <c r="AX551" s="677"/>
      <c r="AY551" s="678"/>
      <c r="BE551" s="2422"/>
      <c r="BF551" s="2428"/>
      <c r="BG551" s="2428"/>
      <c r="BH551" s="2423"/>
      <c r="BI551" s="2422"/>
      <c r="BJ551" s="2428"/>
      <c r="BK551" s="2428"/>
      <c r="BL551" s="2423"/>
      <c r="BM551" s="2422"/>
      <c r="BN551" s="2428"/>
      <c r="BO551" s="2428"/>
      <c r="BP551" s="2423"/>
      <c r="BQ551" s="2422"/>
      <c r="BR551" s="2428"/>
      <c r="BS551" s="2428"/>
      <c r="BT551" s="2423"/>
      <c r="BU551" s="2422">
        <f>IF(AND(AND(AND(AND(CH552=1,BQ550=0,BM549=0,BI548=0,BE547=0)))),0,1)</f>
        <v>0</v>
      </c>
      <c r="BV551" s="2428"/>
      <c r="BW551" s="2428"/>
      <c r="BX551" s="2423"/>
      <c r="BY551" s="2473"/>
      <c r="BZ551" s="2474"/>
      <c r="CA551" s="2474"/>
      <c r="CB551" s="2475"/>
      <c r="CC551" s="16"/>
      <c r="CD551" s="16"/>
      <c r="CE551" s="16"/>
      <c r="CF551" s="16"/>
      <c r="CG551" s="16"/>
      <c r="CH551" s="2437">
        <f>IF(OR(Y611=0,Y611&gt;=0.1),1,0)</f>
        <v>1</v>
      </c>
      <c r="CI551" s="2438"/>
      <c r="CJ551" s="2438"/>
      <c r="CK551" s="2439"/>
    </row>
    <row r="552" spans="1:89" s="46" customFormat="1" ht="13.7" customHeight="1">
      <c r="A552" s="28"/>
      <c r="B552" s="2547"/>
      <c r="C552" s="2547"/>
      <c r="D552" s="2547"/>
      <c r="E552" s="2547"/>
      <c r="F552" s="2547"/>
      <c r="G552" s="2547"/>
      <c r="H552" s="2547"/>
      <c r="I552" s="2547"/>
      <c r="J552" s="2547"/>
      <c r="K552" s="2547"/>
      <c r="L552" s="2547"/>
      <c r="M552" s="2547"/>
      <c r="N552" s="2547"/>
      <c r="O552" s="2547"/>
      <c r="P552" s="2547"/>
      <c r="Q552" s="2547"/>
      <c r="R552" s="2547"/>
      <c r="S552" s="2547"/>
      <c r="T552" s="2547"/>
      <c r="U552" s="2547"/>
      <c r="V552" s="2547"/>
      <c r="W552" s="2547"/>
      <c r="X552" s="2547"/>
      <c r="Y552" s="2547"/>
      <c r="Z552" s="2547"/>
      <c r="AA552" s="2547"/>
      <c r="AB552" s="2547"/>
      <c r="AC552" s="2547"/>
      <c r="AD552" s="2547"/>
      <c r="AE552" s="2547"/>
      <c r="AF552" s="2547"/>
      <c r="AG552" s="2547"/>
      <c r="AH552" s="245"/>
      <c r="AI552" s="245"/>
      <c r="AJ552" s="245"/>
      <c r="AK552" s="246"/>
      <c r="AL552" s="246"/>
      <c r="AM552" s="246"/>
      <c r="AN552" s="1089"/>
      <c r="BE552" s="2422">
        <f>SUM(BE547:BH551)</f>
        <v>0</v>
      </c>
      <c r="BF552" s="2428"/>
      <c r="BG552" s="2428"/>
      <c r="BH552" s="2423"/>
      <c r="BI552" s="2422">
        <f>SUM(BI547:BL551)</f>
        <v>0</v>
      </c>
      <c r="BJ552" s="2428"/>
      <c r="BK552" s="2428"/>
      <c r="BL552" s="2423"/>
      <c r="BM552" s="2422">
        <f>SUM(BM547:BP551)</f>
        <v>0</v>
      </c>
      <c r="BN552" s="2428"/>
      <c r="BO552" s="2428"/>
      <c r="BP552" s="2423"/>
      <c r="BQ552" s="2422">
        <f>SUM(BQ547:BT551)</f>
        <v>0</v>
      </c>
      <c r="BR552" s="2428"/>
      <c r="BS552" s="2428"/>
      <c r="BT552" s="2423"/>
      <c r="BU552" s="2422">
        <f>SUM(BU547:BX551)</f>
        <v>0</v>
      </c>
      <c r="BV552" s="2428"/>
      <c r="BW552" s="2428"/>
      <c r="BX552" s="2423"/>
      <c r="BY552" s="2422">
        <f>SUM(BY547:CB551)</f>
        <v>0</v>
      </c>
      <c r="BZ552" s="2428"/>
      <c r="CA552" s="2428"/>
      <c r="CB552" s="2423"/>
      <c r="CC552" s="2437">
        <f>IF(AND(CH548=1,T608&gt;0),0,SUM(BE552:CB552))</f>
        <v>0</v>
      </c>
      <c r="CD552" s="2438"/>
      <c r="CE552" s="2438"/>
      <c r="CF552" s="2439"/>
      <c r="CG552" s="16"/>
      <c r="CH552" s="2437">
        <f>IF(OR(Y612=0,Y612&gt;=0.1),1,0)</f>
        <v>1</v>
      </c>
      <c r="CI552" s="2438"/>
      <c r="CJ552" s="2438"/>
      <c r="CK552" s="2439"/>
    </row>
    <row r="553" spans="1:89" s="137" customFormat="1" ht="12.4" customHeight="1">
      <c r="A553" s="28"/>
      <c r="B553" s="2440" t="s">
        <v>1637</v>
      </c>
      <c r="C553" s="2440"/>
      <c r="D553" s="2440"/>
      <c r="E553" s="2440"/>
      <c r="F553" s="2440"/>
      <c r="G553" s="2440"/>
      <c r="H553" s="2440"/>
      <c r="I553" s="2440"/>
      <c r="J553" s="2440"/>
      <c r="K553" s="2440"/>
      <c r="L553" s="2440"/>
      <c r="M553" s="2440"/>
      <c r="N553" s="2440"/>
      <c r="O553" s="2440"/>
      <c r="P553" s="2440"/>
      <c r="Q553" s="2440"/>
      <c r="R553" s="2440"/>
      <c r="S553" s="2440"/>
      <c r="T553" s="2440"/>
      <c r="U553" s="2440"/>
      <c r="V553" s="2440"/>
      <c r="W553" s="2440"/>
      <c r="X553" s="2440"/>
      <c r="Y553" s="2440"/>
      <c r="Z553" s="2440"/>
      <c r="AA553" s="2440"/>
      <c r="AB553" s="2440"/>
      <c r="AC553" s="2440"/>
      <c r="AD553" s="2440"/>
      <c r="AE553" s="2440"/>
      <c r="AF553" s="2440"/>
      <c r="AG553" s="2440"/>
      <c r="AH553" s="245"/>
      <c r="AI553" s="245"/>
      <c r="AJ553" s="245"/>
      <c r="AK553" s="246"/>
      <c r="AL553" s="246"/>
      <c r="AM553" s="246"/>
      <c r="AN553" s="439"/>
    </row>
    <row r="554" spans="1:89" s="46" customFormat="1" ht="21" customHeight="1">
      <c r="A554" s="28"/>
      <c r="B554" s="2440"/>
      <c r="C554" s="2440"/>
      <c r="D554" s="2440"/>
      <c r="E554" s="2440"/>
      <c r="F554" s="2440"/>
      <c r="G554" s="2440"/>
      <c r="H554" s="2440"/>
      <c r="I554" s="2440"/>
      <c r="J554" s="2440"/>
      <c r="K554" s="2440"/>
      <c r="L554" s="2440"/>
      <c r="M554" s="2440"/>
      <c r="N554" s="2440"/>
      <c r="O554" s="2440"/>
      <c r="P554" s="2440"/>
      <c r="Q554" s="2440"/>
      <c r="R554" s="2440"/>
      <c r="S554" s="2440"/>
      <c r="T554" s="2440"/>
      <c r="U554" s="2440"/>
      <c r="V554" s="2440"/>
      <c r="W554" s="2440"/>
      <c r="X554" s="2440"/>
      <c r="Y554" s="2440"/>
      <c r="Z554" s="2440"/>
      <c r="AA554" s="2440"/>
      <c r="AB554" s="2440"/>
      <c r="AC554" s="2440"/>
      <c r="AD554" s="2440"/>
      <c r="AE554" s="2440"/>
      <c r="AF554" s="2440"/>
      <c r="AG554" s="2440"/>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40" t="s">
        <v>1930</v>
      </c>
      <c r="C555" s="2440"/>
      <c r="D555" s="2440"/>
      <c r="E555" s="2440"/>
      <c r="F555" s="2440"/>
      <c r="G555" s="2440"/>
      <c r="H555" s="2440"/>
      <c r="I555" s="2440"/>
      <c r="J555" s="2440"/>
      <c r="K555" s="2440"/>
      <c r="L555" s="2440"/>
      <c r="M555" s="2440"/>
      <c r="N555" s="2440"/>
      <c r="O555" s="2440"/>
      <c r="P555" s="2440"/>
      <c r="Q555" s="2440"/>
      <c r="R555" s="2440"/>
      <c r="S555" s="2440"/>
      <c r="T555" s="2440"/>
      <c r="U555" s="2440"/>
      <c r="V555" s="2440"/>
      <c r="W555" s="2440"/>
      <c r="X555" s="2440"/>
      <c r="Y555" s="2440"/>
      <c r="Z555" s="2440"/>
      <c r="AA555" s="2440"/>
      <c r="AB555" s="2440"/>
      <c r="AC555" s="2440"/>
      <c r="AD555" s="2440"/>
      <c r="AE555" s="2440"/>
      <c r="AF555" s="2440"/>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40"/>
      <c r="C556" s="2440"/>
      <c r="D556" s="2440"/>
      <c r="E556" s="2440"/>
      <c r="F556" s="2440"/>
      <c r="G556" s="2440"/>
      <c r="H556" s="2440"/>
      <c r="I556" s="2440"/>
      <c r="J556" s="2440"/>
      <c r="K556" s="2440"/>
      <c r="L556" s="2440"/>
      <c r="M556" s="2440"/>
      <c r="N556" s="2440"/>
      <c r="O556" s="2440"/>
      <c r="P556" s="2440"/>
      <c r="Q556" s="2440"/>
      <c r="R556" s="2440"/>
      <c r="S556" s="2440"/>
      <c r="T556" s="2440"/>
      <c r="U556" s="2440"/>
      <c r="V556" s="2440"/>
      <c r="W556" s="2440"/>
      <c r="X556" s="2440"/>
      <c r="Y556" s="2440"/>
      <c r="Z556" s="2440"/>
      <c r="AA556" s="2440"/>
      <c r="AB556" s="2440"/>
      <c r="AC556" s="2440"/>
      <c r="AD556" s="2440"/>
      <c r="AE556" s="2440"/>
      <c r="AF556" s="2440"/>
      <c r="AG556" s="245"/>
      <c r="AH556" s="245"/>
      <c r="AI556" s="245"/>
      <c r="AJ556" s="245"/>
      <c r="AK556" s="246"/>
      <c r="AL556" s="246"/>
      <c r="AM556" s="246"/>
      <c r="AN556" s="439"/>
      <c r="AP556" s="232"/>
      <c r="AQ556" s="233"/>
      <c r="AR556" s="233"/>
      <c r="AS556" s="233"/>
      <c r="AT556" s="239" t="s">
        <v>668</v>
      </c>
      <c r="AU556" s="233"/>
      <c r="AV556" s="2422" t="str">
        <f>IF(BJ592&gt;0,"failed","passed")</f>
        <v>passed</v>
      </c>
      <c r="AW556" s="2428"/>
      <c r="AX556" s="2428"/>
      <c r="AY556" s="2423"/>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8" t="s">
        <v>1638</v>
      </c>
      <c r="R559" s="2548"/>
      <c r="S559" s="2548"/>
      <c r="T559" s="2548"/>
      <c r="U559" s="2548"/>
      <c r="V559" s="2548"/>
      <c r="W559" s="2548"/>
      <c r="X559" s="2548"/>
      <c r="Y559" s="2548"/>
      <c r="Z559" s="2548"/>
      <c r="AA559" s="2548"/>
      <c r="AB559" s="2548"/>
      <c r="AC559" s="2548"/>
      <c r="AD559" s="2548"/>
      <c r="AE559" s="2548"/>
      <c r="AF559" s="2548"/>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8"/>
      <c r="R560" s="2548"/>
      <c r="S560" s="2548"/>
      <c r="T560" s="2548"/>
      <c r="U560" s="2548"/>
      <c r="V560" s="2548"/>
      <c r="W560" s="2548"/>
      <c r="X560" s="2548"/>
      <c r="Y560" s="2548"/>
      <c r="Z560" s="2548"/>
      <c r="AA560" s="2548"/>
      <c r="AB560" s="2548"/>
      <c r="AC560" s="2548"/>
      <c r="AD560" s="2548"/>
      <c r="AE560" s="2548"/>
      <c r="AF560" s="2548"/>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50" t="s">
        <v>1929</v>
      </c>
      <c r="R561" s="2351"/>
      <c r="S561" s="2560" t="s">
        <v>226</v>
      </c>
      <c r="T561" s="2560"/>
      <c r="U561" s="2350">
        <v>0.5</v>
      </c>
      <c r="V561" s="2351"/>
      <c r="W561" s="2350">
        <v>0.45</v>
      </c>
      <c r="X561" s="2351"/>
      <c r="Y561" s="2350">
        <v>0.4</v>
      </c>
      <c r="Z561" s="2351"/>
      <c r="AA561" s="2350">
        <v>0.35</v>
      </c>
      <c r="AB561" s="2351"/>
      <c r="AC561" s="2460">
        <v>0.3</v>
      </c>
      <c r="AD561" s="2461"/>
      <c r="AE561" s="2350">
        <v>0.2</v>
      </c>
      <c r="AF561" s="235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7"/>
      <c r="P562" s="2328"/>
      <c r="Q562" s="2349"/>
      <c r="R562" s="2334"/>
      <c r="S562" s="2441"/>
      <c r="T562" s="2441"/>
      <c r="U562" s="2334"/>
      <c r="V562" s="2334"/>
      <c r="W562" s="2334"/>
      <c r="X562" s="2334"/>
      <c r="Y562" s="2334"/>
      <c r="Z562" s="2334"/>
      <c r="AA562" s="2429"/>
      <c r="AB562" s="2429"/>
      <c r="AC562" s="2334"/>
      <c r="AD562" s="2334"/>
      <c r="AE562" s="2458"/>
      <c r="AF562" s="2459"/>
      <c r="AN562" s="439"/>
      <c r="AP562" s="226" t="s">
        <v>775</v>
      </c>
      <c r="AQ562" s="91"/>
      <c r="AR562" s="91"/>
      <c r="AS562" s="91"/>
      <c r="AT562" s="2437" t="str">
        <f>IF(OR(AV556="passed",BD560="passed"),"passed","failed")</f>
        <v>passed</v>
      </c>
      <c r="AU562" s="2438"/>
      <c r="AV562" s="2438"/>
      <c r="AW562" s="2438"/>
      <c r="AX562" s="2439"/>
    </row>
    <row r="563" spans="1:96" s="46" customFormat="1" ht="12.75" customHeight="1">
      <c r="A563" s="28"/>
      <c r="B563" s="106"/>
      <c r="C563" s="28"/>
      <c r="I563" s="345"/>
      <c r="J563" s="245"/>
      <c r="K563" s="162"/>
      <c r="L563" s="162"/>
      <c r="M563" s="162"/>
      <c r="N563" s="71"/>
      <c r="O563" s="2327"/>
      <c r="P563" s="2328"/>
      <c r="Q563" s="2319"/>
      <c r="R563" s="2320"/>
      <c r="S563" s="2320"/>
      <c r="T563" s="2320"/>
      <c r="U563" s="2320"/>
      <c r="V563" s="2320"/>
      <c r="W563" s="2320"/>
      <c r="X563" s="2320"/>
      <c r="Y563" s="2317"/>
      <c r="Z563" s="2317"/>
      <c r="AA563" s="2320"/>
      <c r="AB563" s="2320"/>
      <c r="AC563" s="2317"/>
      <c r="AD563" s="2317"/>
      <c r="AE563" s="2321"/>
      <c r="AF563" s="232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7"/>
      <c r="P564" s="2328"/>
      <c r="Q564" s="2319"/>
      <c r="R564" s="2320"/>
      <c r="S564" s="2320"/>
      <c r="T564" s="2320"/>
      <c r="U564" s="2320"/>
      <c r="V564" s="2320"/>
      <c r="W564" s="2320"/>
      <c r="X564" s="2320"/>
      <c r="Y564" s="2320"/>
      <c r="Z564" s="2320"/>
      <c r="AA564" s="2317"/>
      <c r="AB564" s="2317"/>
      <c r="AC564" s="2320"/>
      <c r="AD564" s="2320"/>
      <c r="AE564" s="2468"/>
      <c r="AF564" s="2469"/>
      <c r="AN564" s="439"/>
      <c r="AP564" s="235" t="s">
        <v>669</v>
      </c>
      <c r="AQ564" s="236"/>
      <c r="AR564" s="236"/>
      <c r="AS564" s="236"/>
      <c r="AT564" s="236"/>
      <c r="AU564" s="236"/>
      <c r="AV564" s="237"/>
      <c r="AW564" s="2465" t="str">
        <f>IF(AND(AND(AND(AND(AS544="passed",AU551="passed",BD560="passed",SUM(T608:X612)&gt;1)))),"YES","NO")</f>
        <v>YES</v>
      </c>
      <c r="AX564" s="2466"/>
      <c r="AY564" s="246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7"/>
      <c r="P565" s="2328"/>
      <c r="Q565" s="2319"/>
      <c r="R565" s="2320"/>
      <c r="S565" s="2320"/>
      <c r="T565" s="2320"/>
      <c r="U565" s="2320"/>
      <c r="V565" s="2320"/>
      <c r="W565" s="2320"/>
      <c r="X565" s="2320"/>
      <c r="Y565" s="2317"/>
      <c r="Z565" s="2317"/>
      <c r="AA565" s="2320"/>
      <c r="AB565" s="2320"/>
      <c r="AC565" s="2317"/>
      <c r="AD565" s="2317"/>
      <c r="AE565" s="2321"/>
      <c r="AF565" s="2322"/>
      <c r="AN565" s="439"/>
    </row>
    <row r="566" spans="1:96" s="46" customFormat="1" ht="12.75" customHeight="1">
      <c r="A566" s="28"/>
      <c r="B566" s="106"/>
      <c r="C566" s="28"/>
      <c r="I566" s="345"/>
      <c r="J566" s="245"/>
      <c r="K566" s="162"/>
      <c r="L566" s="162"/>
      <c r="M566" s="162"/>
      <c r="N566" s="71"/>
      <c r="O566" s="2327"/>
      <c r="P566" s="2328"/>
      <c r="Q566" s="2319"/>
      <c r="R566" s="2320"/>
      <c r="S566" s="2320"/>
      <c r="T566" s="2320"/>
      <c r="U566" s="2320"/>
      <c r="V566" s="2320"/>
      <c r="W566" s="2317"/>
      <c r="X566" s="2317"/>
      <c r="Y566" s="2320"/>
      <c r="Z566" s="2320"/>
      <c r="AA566" s="2317"/>
      <c r="AB566" s="2317"/>
      <c r="AC566" s="2320"/>
      <c r="AD566" s="2320"/>
      <c r="AE566" s="2468"/>
      <c r="AF566" s="2469"/>
      <c r="AN566" s="439"/>
    </row>
    <row r="567" spans="1:96" s="46" customFormat="1" ht="12.75" customHeight="1">
      <c r="A567" s="28"/>
      <c r="B567" s="106"/>
      <c r="C567" s="28"/>
      <c r="I567" s="345"/>
      <c r="J567" s="245"/>
      <c r="K567" s="162"/>
      <c r="L567" s="162"/>
      <c r="M567" s="162"/>
      <c r="N567" s="71"/>
      <c r="O567" s="2327"/>
      <c r="P567" s="2328"/>
      <c r="Q567" s="2319"/>
      <c r="R567" s="2320"/>
      <c r="S567" s="2320"/>
      <c r="T567" s="2320"/>
      <c r="U567" s="2320"/>
      <c r="V567" s="2320"/>
      <c r="W567" s="2320"/>
      <c r="X567" s="2320"/>
      <c r="Y567" s="2317"/>
      <c r="Z567" s="2317"/>
      <c r="AA567" s="2320"/>
      <c r="AB567" s="2320"/>
      <c r="AC567" s="2317"/>
      <c r="AD567" s="2317"/>
      <c r="AE567" s="2321"/>
      <c r="AF567" s="2322"/>
      <c r="AN567" s="439"/>
      <c r="AU567" s="65"/>
      <c r="AV567" s="65"/>
      <c r="AW567" s="90"/>
      <c r="AX567" s="91"/>
      <c r="AY567" s="91"/>
      <c r="AZ567" s="100" t="s">
        <v>1217</v>
      </c>
      <c r="BA567" s="2476" t="s">
        <v>776</v>
      </c>
      <c r="BB567" s="2477"/>
      <c r="BC567" s="2477"/>
      <c r="BD567" s="2477"/>
      <c r="BE567" s="2478"/>
      <c r="BF567" s="2433">
        <f>SUM(O608:S612)</f>
        <v>48</v>
      </c>
      <c r="BG567" s="2434"/>
      <c r="BH567" s="2434"/>
      <c r="BI567" s="2434"/>
      <c r="BJ567" s="2435"/>
      <c r="BK567" s="2308">
        <f>SUM(T608:X612)</f>
        <v>12</v>
      </c>
      <c r="BL567" s="2309"/>
      <c r="BM567" s="2309"/>
      <c r="BN567" s="2309"/>
      <c r="BO567" s="2310"/>
    </row>
    <row r="568" spans="1:96" s="46" customFormat="1" ht="12.75" customHeight="1">
      <c r="A568" s="28"/>
      <c r="B568" s="57"/>
      <c r="C568" s="28"/>
      <c r="I568" s="2369" t="s">
        <v>1636</v>
      </c>
      <c r="J568" s="2370"/>
      <c r="K568" s="2370"/>
      <c r="L568" s="2370"/>
      <c r="M568" s="2370"/>
      <c r="N568" s="2371"/>
      <c r="O568" s="2327">
        <v>0.5</v>
      </c>
      <c r="P568" s="2328"/>
      <c r="Q568" s="2352"/>
      <c r="R568" s="2353"/>
      <c r="S568" s="2320"/>
      <c r="T568" s="2320"/>
      <c r="U568" s="2562" t="s">
        <v>1640</v>
      </c>
      <c r="V568" s="2562"/>
      <c r="W568" s="2329">
        <v>37.5</v>
      </c>
      <c r="X568" s="2329"/>
      <c r="Y568" s="2353"/>
      <c r="Z568" s="2353"/>
      <c r="AA568" s="2329"/>
      <c r="AB568" s="2329"/>
      <c r="AC568" s="2353"/>
      <c r="AD568" s="2353"/>
      <c r="AE568" s="2470"/>
      <c r="AF568" s="2471"/>
      <c r="AN568" s="439"/>
      <c r="CL568" s="16"/>
      <c r="CM568" s="16"/>
    </row>
    <row r="569" spans="1:96" s="46" customFormat="1" ht="12.75" customHeight="1">
      <c r="A569" s="28"/>
      <c r="B569" s="195"/>
      <c r="C569" s="101"/>
      <c r="D569" s="28"/>
      <c r="E569" s="28"/>
      <c r="I569" s="2369"/>
      <c r="J569" s="2370"/>
      <c r="K569" s="2370"/>
      <c r="L569" s="2370"/>
      <c r="M569" s="2370"/>
      <c r="N569" s="2371"/>
      <c r="O569" s="2327">
        <v>0.45</v>
      </c>
      <c r="P569" s="2328"/>
      <c r="Q569" s="2319"/>
      <c r="R569" s="2320"/>
      <c r="S569" s="2320"/>
      <c r="T569" s="2320"/>
      <c r="U569" s="2326" t="s">
        <v>144</v>
      </c>
      <c r="V569" s="2326"/>
      <c r="W569" s="2317">
        <v>33.799999999999997</v>
      </c>
      <c r="X569" s="2317"/>
      <c r="Y569" s="2317"/>
      <c r="Z569" s="2317"/>
      <c r="AA569" s="2320"/>
      <c r="AB569" s="2320"/>
      <c r="AC569" s="2317"/>
      <c r="AD569" s="2317"/>
      <c r="AE569" s="2321"/>
      <c r="AF569" s="2322"/>
      <c r="AN569" s="439"/>
      <c r="CL569" s="16"/>
      <c r="CM569" s="16"/>
    </row>
    <row r="570" spans="1:96" s="46" customFormat="1" ht="12.75" customHeight="1">
      <c r="A570" s="28"/>
      <c r="B570" s="8"/>
      <c r="C570" s="8"/>
      <c r="D570" s="8"/>
      <c r="E570" s="8"/>
      <c r="I570" s="2369"/>
      <c r="J570" s="2370"/>
      <c r="K570" s="2370"/>
      <c r="L570" s="2370"/>
      <c r="M570" s="2370"/>
      <c r="N570" s="2371"/>
      <c r="O570" s="2327">
        <v>0.4</v>
      </c>
      <c r="P570" s="2328"/>
      <c r="Q570" s="2319"/>
      <c r="R570" s="2320"/>
      <c r="S570" s="2326" t="s">
        <v>1639</v>
      </c>
      <c r="T570" s="2326"/>
      <c r="U570" s="2317">
        <v>20</v>
      </c>
      <c r="V570" s="2317"/>
      <c r="W570" s="2317">
        <v>30</v>
      </c>
      <c r="X570" s="2317"/>
      <c r="Y570" s="2317"/>
      <c r="Z570" s="2317"/>
      <c r="AA570" s="2317"/>
      <c r="AB570" s="2317"/>
      <c r="AC570" s="2317"/>
      <c r="AD570" s="2317"/>
      <c r="AE570" s="2321"/>
      <c r="AF570" s="2322"/>
      <c r="AN570" s="439"/>
      <c r="AP570" s="2479" t="s">
        <v>227</v>
      </c>
      <c r="AQ570" s="2480"/>
      <c r="AR570" s="2480"/>
      <c r="AS570" s="2480"/>
      <c r="AT570" s="2480"/>
      <c r="AU570" s="2480"/>
      <c r="AV570" s="2480"/>
      <c r="AW570" s="2480"/>
      <c r="AX570" s="2480"/>
      <c r="AY570" s="2480"/>
      <c r="AZ570" s="2480"/>
      <c r="BA570" s="2480"/>
      <c r="BB570" s="2480"/>
      <c r="BC570" s="2480"/>
      <c r="BD570" s="2480"/>
      <c r="BE570" s="2480"/>
      <c r="BF570" s="2480"/>
      <c r="BG570" s="2480"/>
      <c r="BH570" s="2480"/>
      <c r="BI570" s="2480"/>
      <c r="BJ570" s="2481"/>
      <c r="BK570" s="2452">
        <f>BF567</f>
        <v>48</v>
      </c>
      <c r="BL570" s="2453"/>
      <c r="BM570" s="2453"/>
      <c r="BN570" s="2453"/>
      <c r="BO570" s="245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69"/>
      <c r="J571" s="2370"/>
      <c r="K571" s="2370"/>
      <c r="L571" s="2370"/>
      <c r="M571" s="2370"/>
      <c r="N571" s="2371"/>
      <c r="O571" s="2327">
        <v>0.35</v>
      </c>
      <c r="P571" s="2328"/>
      <c r="Q571" s="2319"/>
      <c r="R571" s="2320"/>
      <c r="S571" s="2326" t="s">
        <v>1931</v>
      </c>
      <c r="T571" s="2326"/>
      <c r="U571" s="2317">
        <v>17.5</v>
      </c>
      <c r="V571" s="2317"/>
      <c r="W571" s="2317">
        <v>26.3</v>
      </c>
      <c r="X571" s="2317"/>
      <c r="Y571" s="2317">
        <v>35</v>
      </c>
      <c r="Z571" s="2317"/>
      <c r="AA571" s="2317"/>
      <c r="AB571" s="2317"/>
      <c r="AC571" s="2317">
        <v>50</v>
      </c>
      <c r="AD571" s="2317"/>
      <c r="AE571" s="2321"/>
      <c r="AF571" s="2322"/>
      <c r="AN571" s="439"/>
      <c r="AP571" s="2482"/>
      <c r="AQ571" s="2483"/>
      <c r="AR571" s="2483"/>
      <c r="AS571" s="2483"/>
      <c r="AT571" s="2483"/>
      <c r="AU571" s="2483"/>
      <c r="AV571" s="2483"/>
      <c r="AW571" s="2483"/>
      <c r="AX571" s="2483"/>
      <c r="AY571" s="2483"/>
      <c r="AZ571" s="2483"/>
      <c r="BA571" s="2483"/>
      <c r="BB571" s="2483"/>
      <c r="BC571" s="2483"/>
      <c r="BD571" s="2483"/>
      <c r="BE571" s="2483"/>
      <c r="BF571" s="2483"/>
      <c r="BG571" s="2483"/>
      <c r="BH571" s="2483"/>
      <c r="BI571" s="2483"/>
      <c r="BJ571" s="2484"/>
      <c r="BK571" s="2455"/>
      <c r="BL571" s="2456"/>
      <c r="BM571" s="2456"/>
      <c r="BN571" s="2456"/>
      <c r="BO571" s="245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69"/>
      <c r="J572" s="2370"/>
      <c r="K572" s="2370"/>
      <c r="L572" s="2370"/>
      <c r="M572" s="2370"/>
      <c r="N572" s="2371"/>
      <c r="O572" s="2327">
        <v>0.3</v>
      </c>
      <c r="P572" s="2328"/>
      <c r="Q572" s="2319"/>
      <c r="R572" s="2320"/>
      <c r="S572" s="2326" t="s">
        <v>1932</v>
      </c>
      <c r="T572" s="2326"/>
      <c r="U572" s="2317">
        <v>15</v>
      </c>
      <c r="V572" s="2317"/>
      <c r="W572" s="2317">
        <v>22.5</v>
      </c>
      <c r="X572" s="2317"/>
      <c r="Y572" s="2317">
        <v>30</v>
      </c>
      <c r="Z572" s="2317"/>
      <c r="AA572" s="2317">
        <v>37.5</v>
      </c>
      <c r="AB572" s="2317"/>
      <c r="AC572" s="2317">
        <v>45</v>
      </c>
      <c r="AD572" s="2317"/>
      <c r="AE572" s="2321"/>
      <c r="AF572" s="232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6">
        <v>5</v>
      </c>
      <c r="BK572" s="2436"/>
      <c r="BL572" s="2436"/>
      <c r="BM572" s="2436"/>
      <c r="BN572" s="1897"/>
      <c r="BO572" s="1896">
        <v>4</v>
      </c>
      <c r="BP572" s="2436"/>
      <c r="BQ572" s="2436"/>
      <c r="BR572" s="2436"/>
      <c r="BS572" s="1897"/>
      <c r="BT572" s="1896">
        <v>3</v>
      </c>
      <c r="BU572" s="2436"/>
      <c r="BV572" s="2436"/>
      <c r="BW572" s="2436"/>
      <c r="BX572" s="1897"/>
      <c r="BY572" s="1896">
        <v>2</v>
      </c>
      <c r="BZ572" s="2436"/>
      <c r="CA572" s="2436"/>
      <c r="CB572" s="2436"/>
      <c r="CC572" s="1897"/>
      <c r="CD572" s="1896">
        <v>1</v>
      </c>
      <c r="CE572" s="2436"/>
      <c r="CF572" s="2436"/>
      <c r="CG572" s="2436"/>
      <c r="CH572" s="1897"/>
      <c r="CI572" s="1896">
        <v>0</v>
      </c>
      <c r="CJ572" s="2436"/>
      <c r="CK572" s="2436"/>
      <c r="CL572" s="2436"/>
      <c r="CM572" s="1897"/>
      <c r="CN572" s="65"/>
      <c r="CO572" s="65"/>
      <c r="CP572" s="65"/>
      <c r="CQ572" s="65"/>
      <c r="CR572" s="65"/>
    </row>
    <row r="573" spans="1:96" s="46" customFormat="1" ht="12.75" customHeight="1">
      <c r="A573" s="28"/>
      <c r="B573" s="8"/>
      <c r="C573" s="8"/>
      <c r="D573" s="8"/>
      <c r="E573" s="8"/>
      <c r="I573" s="2369"/>
      <c r="J573" s="2370"/>
      <c r="K573" s="2370"/>
      <c r="L573" s="2370"/>
      <c r="M573" s="2370"/>
      <c r="N573" s="2371"/>
      <c r="O573" s="2327">
        <v>0.25</v>
      </c>
      <c r="P573" s="2328"/>
      <c r="Q573" s="2319"/>
      <c r="R573" s="2320"/>
      <c r="S573" s="2326" t="s">
        <v>1933</v>
      </c>
      <c r="T573" s="2326"/>
      <c r="U573" s="2317">
        <v>12.5</v>
      </c>
      <c r="V573" s="2317"/>
      <c r="W573" s="2317">
        <v>18.8</v>
      </c>
      <c r="X573" s="2317"/>
      <c r="Y573" s="2317">
        <v>25</v>
      </c>
      <c r="Z573" s="2317"/>
      <c r="AA573" s="2317">
        <v>31.3</v>
      </c>
      <c r="AB573" s="2317"/>
      <c r="AC573" s="2317">
        <v>37.5</v>
      </c>
      <c r="AD573" s="2317"/>
      <c r="AE573" s="2321">
        <v>50</v>
      </c>
      <c r="AF573" s="2322"/>
      <c r="AN573" s="439"/>
      <c r="AP573" s="2430" t="str">
        <f t="shared" ref="AP573:AP579" si="0">J607</f>
        <v>5 BR</v>
      </c>
      <c r="AQ573" s="2431"/>
      <c r="AR573" s="2431"/>
      <c r="AS573" s="2431"/>
      <c r="AT573" s="2432"/>
      <c r="AU573" s="2425">
        <f t="shared" ref="AU573:AU578" si="1">O607</f>
        <v>0</v>
      </c>
      <c r="AV573" s="2426"/>
      <c r="AW573" s="2426"/>
      <c r="AX573" s="2426"/>
      <c r="AY573" s="2427"/>
      <c r="AZ573" s="2425">
        <f t="shared" ref="AZ573:AZ578" si="2">T607</f>
        <v>0</v>
      </c>
      <c r="BA573" s="2426"/>
      <c r="BB573" s="2426"/>
      <c r="BC573" s="2426"/>
      <c r="BD573" s="2427"/>
      <c r="BE573" s="1882">
        <f t="shared" ref="BE573:BE578" si="3">Y607</f>
        <v>0</v>
      </c>
      <c r="BF573" s="1883"/>
      <c r="BG573" s="1883"/>
      <c r="BH573" s="1883"/>
      <c r="BI573" s="1884"/>
      <c r="BJ573" s="1896">
        <f>IF(OR(AP583=0,BE573&gt;=0.1),0,1)</f>
        <v>0</v>
      </c>
      <c r="BK573" s="2436"/>
      <c r="BL573" s="2436"/>
      <c r="BM573" s="2436"/>
      <c r="BN573" s="1897"/>
      <c r="BO573" s="1896"/>
      <c r="BP573" s="2436"/>
      <c r="BQ573" s="2436"/>
      <c r="BR573" s="2436"/>
      <c r="BS573" s="1897"/>
      <c r="BT573" s="1896"/>
      <c r="BU573" s="2436"/>
      <c r="BV573" s="2436"/>
      <c r="BW573" s="2436"/>
      <c r="BX573" s="1897"/>
      <c r="BY573" s="1896"/>
      <c r="BZ573" s="2436"/>
      <c r="CA573" s="2436"/>
      <c r="CB573" s="2436"/>
      <c r="CC573" s="1897"/>
      <c r="CD573" s="1896"/>
      <c r="CE573" s="2436"/>
      <c r="CF573" s="2436"/>
      <c r="CG573" s="2436"/>
      <c r="CH573" s="1897"/>
      <c r="CI573" s="1896"/>
      <c r="CJ573" s="2436"/>
      <c r="CK573" s="2436"/>
      <c r="CL573" s="2436"/>
      <c r="CM573" s="1897"/>
      <c r="CN573" s="65"/>
      <c r="CO573" s="65"/>
      <c r="CP573" s="65"/>
      <c r="CQ573" s="65"/>
      <c r="CR573" s="65"/>
    </row>
    <row r="574" spans="1:96" s="46" customFormat="1" ht="12.75" customHeight="1">
      <c r="A574" s="195"/>
      <c r="B574" s="8"/>
      <c r="C574" s="8"/>
      <c r="D574" s="8"/>
      <c r="E574" s="8"/>
      <c r="I574" s="2369"/>
      <c r="J574" s="2370"/>
      <c r="K574" s="2370"/>
      <c r="L574" s="2370"/>
      <c r="M574" s="2370"/>
      <c r="N574" s="2371"/>
      <c r="O574" s="2327">
        <v>0.2</v>
      </c>
      <c r="P574" s="2328"/>
      <c r="Q574" s="2319"/>
      <c r="R574" s="2320"/>
      <c r="S574" s="2348" t="s">
        <v>1936</v>
      </c>
      <c r="T574" s="2348"/>
      <c r="U574" s="2317">
        <v>10</v>
      </c>
      <c r="V574" s="2317"/>
      <c r="W574" s="2317">
        <v>15</v>
      </c>
      <c r="X574" s="2317"/>
      <c r="Y574" s="2317">
        <v>20</v>
      </c>
      <c r="Z574" s="2317"/>
      <c r="AA574" s="2317">
        <v>25</v>
      </c>
      <c r="AB574" s="2317"/>
      <c r="AC574" s="2317">
        <v>30</v>
      </c>
      <c r="AD574" s="2317"/>
      <c r="AE574" s="2321">
        <v>40</v>
      </c>
      <c r="AF574" s="2322"/>
      <c r="AN574" s="439"/>
      <c r="AP574" s="2430" t="str">
        <f t="shared" si="0"/>
        <v>4 BR</v>
      </c>
      <c r="AQ574" s="2431"/>
      <c r="AR574" s="2431"/>
      <c r="AS574" s="2431"/>
      <c r="AT574" s="2432"/>
      <c r="AU574" s="2425">
        <f t="shared" si="1"/>
        <v>0</v>
      </c>
      <c r="AV574" s="2426"/>
      <c r="AW574" s="2426"/>
      <c r="AX574" s="2426"/>
      <c r="AY574" s="2427"/>
      <c r="AZ574" s="2425">
        <f t="shared" si="2"/>
        <v>0</v>
      </c>
      <c r="BA574" s="2426"/>
      <c r="BB574" s="2426"/>
      <c r="BC574" s="2426"/>
      <c r="BD574" s="2427"/>
      <c r="BE574" s="1882">
        <f t="shared" si="3"/>
        <v>0</v>
      </c>
      <c r="BF574" s="1883"/>
      <c r="BG574" s="1883"/>
      <c r="BH574" s="1883"/>
      <c r="BI574" s="1884"/>
      <c r="BJ574" s="1896"/>
      <c r="BK574" s="2436"/>
      <c r="BL574" s="2436"/>
      <c r="BM574" s="2436"/>
      <c r="BN574" s="1897"/>
      <c r="BO574" s="1896">
        <f>IF(AND(AND(AZ573=0,BJ573=0,AP584=1)),1,0)</f>
        <v>0</v>
      </c>
      <c r="BP574" s="2436"/>
      <c r="BQ574" s="2436"/>
      <c r="BR574" s="2436"/>
      <c r="BS574" s="1897"/>
      <c r="BT574" s="1896"/>
      <c r="BU574" s="2436"/>
      <c r="BV574" s="2436"/>
      <c r="BW574" s="2436"/>
      <c r="BX574" s="1897"/>
      <c r="BY574" s="1896"/>
      <c r="BZ574" s="2436"/>
      <c r="CA574" s="2436"/>
      <c r="CB574" s="2436"/>
      <c r="CC574" s="1897"/>
      <c r="CD574" s="1896"/>
      <c r="CE574" s="2436"/>
      <c r="CF574" s="2436"/>
      <c r="CG574" s="2436"/>
      <c r="CH574" s="1897"/>
      <c r="CI574" s="1896"/>
      <c r="CJ574" s="2436"/>
      <c r="CK574" s="2436"/>
      <c r="CL574" s="2436"/>
      <c r="CM574" s="1897"/>
      <c r="CN574" s="65"/>
      <c r="CO574" s="65"/>
      <c r="CP574" s="65"/>
      <c r="CQ574" s="65"/>
      <c r="CR574" s="65"/>
    </row>
    <row r="575" spans="1:96" s="46" customFormat="1" ht="12.75" customHeight="1">
      <c r="A575" s="195"/>
      <c r="B575" s="8"/>
      <c r="C575" s="8"/>
      <c r="D575" s="8"/>
      <c r="E575" s="8"/>
      <c r="I575" s="2369"/>
      <c r="J575" s="2370"/>
      <c r="K575" s="2370"/>
      <c r="L575" s="2370"/>
      <c r="M575" s="2370"/>
      <c r="N575" s="2371"/>
      <c r="O575" s="2327">
        <v>0.15</v>
      </c>
      <c r="P575" s="2328"/>
      <c r="Q575" s="2319"/>
      <c r="R575" s="2320"/>
      <c r="S575" s="2326" t="s">
        <v>1934</v>
      </c>
      <c r="T575" s="2326"/>
      <c r="U575" s="2317">
        <v>7.5</v>
      </c>
      <c r="V575" s="2317"/>
      <c r="W575" s="2317">
        <v>11.3</v>
      </c>
      <c r="X575" s="2317"/>
      <c r="Y575" s="2317">
        <v>15</v>
      </c>
      <c r="Z575" s="2317"/>
      <c r="AA575" s="2317">
        <v>18.8</v>
      </c>
      <c r="AB575" s="2317"/>
      <c r="AC575" s="2317">
        <v>22.5</v>
      </c>
      <c r="AD575" s="2317"/>
      <c r="AE575" s="2321">
        <v>30</v>
      </c>
      <c r="AF575" s="2322"/>
      <c r="AK575" s="153"/>
      <c r="AL575" s="153"/>
      <c r="AM575" s="153"/>
      <c r="AN575" s="439"/>
      <c r="AP575" s="2430" t="str">
        <f t="shared" si="0"/>
        <v>3 BR</v>
      </c>
      <c r="AQ575" s="2431"/>
      <c r="AR575" s="2431"/>
      <c r="AS575" s="2431"/>
      <c r="AT575" s="2432"/>
      <c r="AU575" s="2425">
        <f t="shared" si="1"/>
        <v>12</v>
      </c>
      <c r="AV575" s="2426"/>
      <c r="AW575" s="2426"/>
      <c r="AX575" s="2426"/>
      <c r="AY575" s="2427"/>
      <c r="AZ575" s="2425">
        <f t="shared" si="2"/>
        <v>0</v>
      </c>
      <c r="BA575" s="2426"/>
      <c r="BB575" s="2426"/>
      <c r="BC575" s="2426"/>
      <c r="BD575" s="2427"/>
      <c r="BE575" s="1882">
        <f t="shared" si="3"/>
        <v>0</v>
      </c>
      <c r="BF575" s="1883"/>
      <c r="BG575" s="1883"/>
      <c r="BH575" s="1883"/>
      <c r="BI575" s="1884"/>
      <c r="BJ575" s="1896"/>
      <c r="BK575" s="2436"/>
      <c r="BL575" s="2436"/>
      <c r="BM575" s="2436"/>
      <c r="BN575" s="1897"/>
      <c r="BO575" s="1896"/>
      <c r="BP575" s="2436"/>
      <c r="BQ575" s="2436"/>
      <c r="BR575" s="2436"/>
      <c r="BS575" s="1897"/>
      <c r="BT575" s="1896">
        <f>IF(AND(AND(AZ573+AZ574=0,BJ573+BO574=0,AP585=1)),1,0)</f>
        <v>0</v>
      </c>
      <c r="BU575" s="2436"/>
      <c r="BV575" s="2436"/>
      <c r="BW575" s="2436"/>
      <c r="BX575" s="1897"/>
      <c r="BY575" s="1896"/>
      <c r="BZ575" s="2436"/>
      <c r="CA575" s="2436"/>
      <c r="CB575" s="2436"/>
      <c r="CC575" s="1897"/>
      <c r="CD575" s="1896"/>
      <c r="CE575" s="2436"/>
      <c r="CF575" s="2436"/>
      <c r="CG575" s="2436"/>
      <c r="CH575" s="1897"/>
      <c r="CI575" s="1896"/>
      <c r="CJ575" s="2436"/>
      <c r="CK575" s="2436"/>
      <c r="CL575" s="2436"/>
      <c r="CM575" s="1897"/>
      <c r="CN575" s="65"/>
      <c r="CO575" s="65"/>
      <c r="CP575" s="65"/>
      <c r="CQ575" s="65"/>
      <c r="CR575" s="65"/>
    </row>
    <row r="576" spans="1:96" s="46" customFormat="1" ht="12.75" customHeight="1" thickBot="1">
      <c r="B576" s="8"/>
      <c r="C576" s="8"/>
      <c r="D576" s="8"/>
      <c r="E576" s="8"/>
      <c r="I576" s="2372"/>
      <c r="J576" s="2373"/>
      <c r="K576" s="2373"/>
      <c r="L576" s="2373"/>
      <c r="M576" s="2373"/>
      <c r="N576" s="2374"/>
      <c r="O576" s="2327">
        <v>0.1</v>
      </c>
      <c r="P576" s="2328"/>
      <c r="Q576" s="2346"/>
      <c r="R576" s="2347"/>
      <c r="S576" s="2326" t="s">
        <v>1935</v>
      </c>
      <c r="T576" s="2326"/>
      <c r="U576" s="2424">
        <v>5</v>
      </c>
      <c r="V576" s="2424"/>
      <c r="W576" s="2424">
        <v>7.5</v>
      </c>
      <c r="X576" s="2424"/>
      <c r="Y576" s="2424">
        <v>10</v>
      </c>
      <c r="Z576" s="2424"/>
      <c r="AA576" s="2424">
        <v>12.5</v>
      </c>
      <c r="AB576" s="2424"/>
      <c r="AC576" s="2424">
        <v>15</v>
      </c>
      <c r="AD576" s="2424"/>
      <c r="AE576" s="2585">
        <v>20</v>
      </c>
      <c r="AF576" s="2586"/>
      <c r="AK576" s="252"/>
      <c r="AL576" s="252"/>
      <c r="AM576" s="8"/>
      <c r="AN576" s="439"/>
      <c r="AP576" s="2430" t="str">
        <f t="shared" si="0"/>
        <v>2 BR</v>
      </c>
      <c r="AQ576" s="2431"/>
      <c r="AR576" s="2431"/>
      <c r="AS576" s="2431"/>
      <c r="AT576" s="2432"/>
      <c r="AU576" s="2425">
        <f t="shared" si="1"/>
        <v>12</v>
      </c>
      <c r="AV576" s="2426"/>
      <c r="AW576" s="2426"/>
      <c r="AX576" s="2426"/>
      <c r="AY576" s="2427"/>
      <c r="AZ576" s="2425">
        <f t="shared" si="2"/>
        <v>0</v>
      </c>
      <c r="BA576" s="2426"/>
      <c r="BB576" s="2426"/>
      <c r="BC576" s="2426"/>
      <c r="BD576" s="2427"/>
      <c r="BE576" s="1882">
        <f t="shared" si="3"/>
        <v>0</v>
      </c>
      <c r="BF576" s="1883"/>
      <c r="BG576" s="1883"/>
      <c r="BH576" s="1883"/>
      <c r="BI576" s="1884"/>
      <c r="BJ576" s="1896"/>
      <c r="BK576" s="2436"/>
      <c r="BL576" s="2436"/>
      <c r="BM576" s="2436"/>
      <c r="BN576" s="1897"/>
      <c r="BO576" s="1896"/>
      <c r="BP576" s="2436"/>
      <c r="BQ576" s="2436"/>
      <c r="BR576" s="2436"/>
      <c r="BS576" s="1897"/>
      <c r="BT576" s="1896"/>
      <c r="BU576" s="2436"/>
      <c r="BV576" s="2436"/>
      <c r="BW576" s="2436"/>
      <c r="BX576" s="1897"/>
      <c r="BY576" s="1896">
        <f>IF(AND(AND(AZ573+AZ574+AZ575=0,BO574+BT575+BJ573=0,AP586=1)),1,0)</f>
        <v>0</v>
      </c>
      <c r="BZ576" s="2436"/>
      <c r="CA576" s="2436"/>
      <c r="CB576" s="2436"/>
      <c r="CC576" s="1897"/>
      <c r="CD576" s="1896"/>
      <c r="CE576" s="2436"/>
      <c r="CF576" s="2436"/>
      <c r="CG576" s="2436"/>
      <c r="CH576" s="1897"/>
      <c r="CI576" s="1896"/>
      <c r="CJ576" s="2436"/>
      <c r="CK576" s="2436"/>
      <c r="CL576" s="2436"/>
      <c r="CM576" s="1897"/>
      <c r="CN576" s="65"/>
      <c r="CO576" s="65"/>
      <c r="CP576" s="65"/>
      <c r="CQ576" s="65"/>
      <c r="CR576" s="65"/>
    </row>
    <row r="577" spans="2:96" s="46" customFormat="1" ht="12.75" customHeight="1">
      <c r="B577" s="8"/>
      <c r="C577" s="8"/>
      <c r="D577" s="8"/>
      <c r="E577" s="1829" t="s">
        <v>1022</v>
      </c>
      <c r="F577" s="2173"/>
      <c r="G577" s="2173"/>
      <c r="H577" s="2173"/>
      <c r="I577" s="2173"/>
      <c r="J577" s="2173"/>
      <c r="K577" s="2173"/>
      <c r="L577" s="2173"/>
      <c r="M577" s="2173"/>
      <c r="N577" s="2173"/>
      <c r="O577" s="2173"/>
      <c r="P577" s="2173"/>
      <c r="Q577" s="2173"/>
      <c r="R577" s="2173"/>
      <c r="S577" s="2173"/>
      <c r="T577" s="2173"/>
      <c r="U577" s="2173"/>
      <c r="V577" s="2173"/>
      <c r="W577" s="2173"/>
      <c r="X577" s="2173"/>
      <c r="Y577" s="2173"/>
      <c r="Z577" s="2173"/>
      <c r="AA577" s="2173"/>
      <c r="AB577" s="2173"/>
      <c r="AC577" s="2173"/>
      <c r="AD577" s="2173"/>
      <c r="AE577" s="2173"/>
      <c r="AF577" s="2173"/>
      <c r="AG577" s="2173"/>
      <c r="AH577" s="2174"/>
      <c r="AK577" s="252"/>
      <c r="AL577" s="252"/>
      <c r="AM577" s="8"/>
      <c r="AN577" s="439"/>
      <c r="AP577" s="2430" t="str">
        <f t="shared" si="0"/>
        <v>1 BR</v>
      </c>
      <c r="AQ577" s="2431"/>
      <c r="AR577" s="2431"/>
      <c r="AS577" s="2431"/>
      <c r="AT577" s="2432"/>
      <c r="AU577" s="2425">
        <f t="shared" si="1"/>
        <v>12</v>
      </c>
      <c r="AV577" s="2426"/>
      <c r="AW577" s="2426"/>
      <c r="AX577" s="2426"/>
      <c r="AY577" s="2427"/>
      <c r="AZ577" s="2425">
        <f t="shared" si="2"/>
        <v>0</v>
      </c>
      <c r="BA577" s="2426"/>
      <c r="BB577" s="2426"/>
      <c r="BC577" s="2426"/>
      <c r="BD577" s="2427"/>
      <c r="BE577" s="1882">
        <f t="shared" si="3"/>
        <v>0</v>
      </c>
      <c r="BF577" s="1883"/>
      <c r="BG577" s="1883"/>
      <c r="BH577" s="1883"/>
      <c r="BI577" s="1884"/>
      <c r="BJ577" s="1896"/>
      <c r="BK577" s="2436"/>
      <c r="BL577" s="2436"/>
      <c r="BM577" s="2436"/>
      <c r="BN577" s="1897"/>
      <c r="BO577" s="1896"/>
      <c r="BP577" s="2436"/>
      <c r="BQ577" s="2436"/>
      <c r="BR577" s="2436"/>
      <c r="BS577" s="1897"/>
      <c r="BT577" s="1896"/>
      <c r="BU577" s="2436"/>
      <c r="BV577" s="2436"/>
      <c r="BW577" s="2436"/>
      <c r="BX577" s="1897"/>
      <c r="BY577" s="1896"/>
      <c r="BZ577" s="2436"/>
      <c r="CA577" s="2436"/>
      <c r="CB577" s="2436"/>
      <c r="CC577" s="1897"/>
      <c r="CD577" s="1896">
        <f>IF(AND(AND(BE574+BE575+BE576+BE573=0,BT575+BY576+BO574+BJ573=0,AP587=1)),1,0)</f>
        <v>0</v>
      </c>
      <c r="CE577" s="2436"/>
      <c r="CF577" s="2436"/>
      <c r="CG577" s="2436"/>
      <c r="CH577" s="1897"/>
      <c r="CI577" s="1896"/>
      <c r="CJ577" s="2436"/>
      <c r="CK577" s="2436"/>
      <c r="CL577" s="2436"/>
      <c r="CM577" s="1897"/>
      <c r="CN577" s="65"/>
      <c r="CO577" s="65"/>
      <c r="CP577" s="65"/>
      <c r="CQ577" s="65"/>
      <c r="CR577" s="65"/>
    </row>
    <row r="578" spans="2:96" s="46" customFormat="1" ht="12.75" customHeight="1">
      <c r="E578" s="2552"/>
      <c r="F578" s="2178"/>
      <c r="G578" s="2178"/>
      <c r="H578" s="2178"/>
      <c r="I578" s="2178"/>
      <c r="J578" s="2178"/>
      <c r="K578" s="2178"/>
      <c r="L578" s="2178"/>
      <c r="M578" s="2178"/>
      <c r="N578" s="2178"/>
      <c r="O578" s="2178"/>
      <c r="P578" s="2178"/>
      <c r="Q578" s="2178"/>
      <c r="R578" s="2178"/>
      <c r="S578" s="2178"/>
      <c r="T578" s="2178"/>
      <c r="U578" s="2178"/>
      <c r="V578" s="2178"/>
      <c r="W578" s="2178"/>
      <c r="X578" s="2178"/>
      <c r="Y578" s="2178"/>
      <c r="Z578" s="2178"/>
      <c r="AA578" s="2178"/>
      <c r="AB578" s="2178"/>
      <c r="AC578" s="2178"/>
      <c r="AD578" s="2178"/>
      <c r="AE578" s="2178"/>
      <c r="AF578" s="2178"/>
      <c r="AG578" s="2178"/>
      <c r="AH578" s="2553"/>
      <c r="AN578" s="439"/>
      <c r="AP578" s="2430" t="str">
        <f t="shared" si="0"/>
        <v>SRO</v>
      </c>
      <c r="AQ578" s="2431"/>
      <c r="AR578" s="2431"/>
      <c r="AS578" s="2431"/>
      <c r="AT578" s="2432"/>
      <c r="AU578" s="2425">
        <f t="shared" si="1"/>
        <v>12</v>
      </c>
      <c r="AV578" s="2426"/>
      <c r="AW578" s="2426"/>
      <c r="AX578" s="2426"/>
      <c r="AY578" s="2427"/>
      <c r="AZ578" s="2425">
        <f t="shared" si="2"/>
        <v>12</v>
      </c>
      <c r="BA578" s="2426"/>
      <c r="BB578" s="2426"/>
      <c r="BC578" s="2426"/>
      <c r="BD578" s="2427"/>
      <c r="BE578" s="1882">
        <f t="shared" si="3"/>
        <v>1</v>
      </c>
      <c r="BF578" s="1883"/>
      <c r="BG578" s="1883"/>
      <c r="BH578" s="1883"/>
      <c r="BI578" s="1884"/>
      <c r="BJ578" s="1896"/>
      <c r="BK578" s="2436"/>
      <c r="BL578" s="2436"/>
      <c r="BM578" s="2436"/>
      <c r="BN578" s="1897"/>
      <c r="BO578" s="1896"/>
      <c r="BP578" s="2436"/>
      <c r="BQ578" s="2436"/>
      <c r="BR578" s="2436"/>
      <c r="BS578" s="1897"/>
      <c r="BT578" s="1896"/>
      <c r="BU578" s="2436"/>
      <c r="BV578" s="2436"/>
      <c r="BW578" s="2436"/>
      <c r="BX578" s="1897"/>
      <c r="BY578" s="1896"/>
      <c r="BZ578" s="2436"/>
      <c r="CA578" s="2436"/>
      <c r="CB578" s="2436"/>
      <c r="CC578" s="1897"/>
      <c r="CD578" s="1896"/>
      <c r="CE578" s="2436"/>
      <c r="CF578" s="2436"/>
      <c r="CG578" s="2436"/>
      <c r="CH578" s="1897"/>
      <c r="CI578" s="1896">
        <f>IF(AND(AND(AZ575+AZ576+AZ577+AZ574+AZ573=0,BY576+CD577+BT575+BO574+BJ573=0,AP588=1)),1,0)</f>
        <v>0</v>
      </c>
      <c r="CJ578" s="2436"/>
      <c r="CK578" s="2436"/>
      <c r="CL578" s="2436"/>
      <c r="CM578" s="1897"/>
      <c r="CN578" s="65"/>
      <c r="CO578" s="65"/>
      <c r="CP578" s="65"/>
      <c r="CQ578" s="65"/>
      <c r="CR578" s="65"/>
    </row>
    <row r="579" spans="2:96" s="46" customFormat="1" ht="12.75" customHeight="1">
      <c r="E579" s="2587" t="s">
        <v>1646</v>
      </c>
      <c r="F579" s="2588"/>
      <c r="G579" s="2588"/>
      <c r="H579" s="2588"/>
      <c r="I579" s="2588"/>
      <c r="J579" s="2589"/>
      <c r="K579" s="2587" t="s">
        <v>1927</v>
      </c>
      <c r="L579" s="2588"/>
      <c r="M579" s="2588"/>
      <c r="N579" s="2588"/>
      <c r="O579" s="2588"/>
      <c r="P579" s="2589"/>
      <c r="Q579" s="2544" t="s">
        <v>1642</v>
      </c>
      <c r="R579" s="2545"/>
      <c r="S579" s="2545"/>
      <c r="T579" s="2545"/>
      <c r="U579" s="2545"/>
      <c r="V579" s="2546"/>
      <c r="W579" s="2544" t="str">
        <f>I568</f>
        <v>Percent of Low-Income Units (exclusive of manager’s units)</v>
      </c>
      <c r="X579" s="2545"/>
      <c r="Y579" s="2545"/>
      <c r="Z579" s="2545"/>
      <c r="AA579" s="2545"/>
      <c r="AB579" s="2546"/>
      <c r="AC579" s="2544" t="s">
        <v>1645</v>
      </c>
      <c r="AD579" s="2545"/>
      <c r="AE579" s="2545"/>
      <c r="AF579" s="2545"/>
      <c r="AG579" s="2545"/>
      <c r="AH579" s="2546"/>
      <c r="AN579" s="439"/>
      <c r="AP579" s="2430" t="str">
        <f t="shared" si="0"/>
        <v>Total:</v>
      </c>
      <c r="AQ579" s="2431"/>
      <c r="AR579" s="2431"/>
      <c r="AS579" s="2431"/>
      <c r="AT579" s="2432"/>
      <c r="AU579" s="2430"/>
      <c r="AV579" s="2431"/>
      <c r="AW579" s="2431"/>
      <c r="AX579" s="2431"/>
      <c r="AY579" s="2432"/>
      <c r="AZ579" s="2430"/>
      <c r="BA579" s="2431"/>
      <c r="BB579" s="2431"/>
      <c r="BC579" s="2431"/>
      <c r="BD579" s="2432"/>
      <c r="BE579" s="2430"/>
      <c r="BF579" s="2431"/>
      <c r="BG579" s="2431"/>
      <c r="BH579" s="2431"/>
      <c r="BI579" s="2432"/>
      <c r="BJ579" s="1896">
        <f>SUM(BJ573:BN578)</f>
        <v>0</v>
      </c>
      <c r="BK579" s="2436"/>
      <c r="BL579" s="2436"/>
      <c r="BM579" s="2436"/>
      <c r="BN579" s="1897"/>
      <c r="BO579" s="1896">
        <f>SUM(BO573:BS578)</f>
        <v>0</v>
      </c>
      <c r="BP579" s="2436"/>
      <c r="BQ579" s="2436"/>
      <c r="BR579" s="2436"/>
      <c r="BS579" s="1897"/>
      <c r="BT579" s="1896">
        <f>SUM(BT573:BX578)</f>
        <v>0</v>
      </c>
      <c r="BU579" s="2436"/>
      <c r="BV579" s="2436"/>
      <c r="BW579" s="2436"/>
      <c r="BX579" s="1897"/>
      <c r="BY579" s="1896">
        <f>SUM(BY573:CC578)</f>
        <v>0</v>
      </c>
      <c r="BZ579" s="2436"/>
      <c r="CA579" s="2436"/>
      <c r="CB579" s="2436"/>
      <c r="CC579" s="1897"/>
      <c r="CD579" s="1896">
        <f>SUM(CD573:CH578)</f>
        <v>0</v>
      </c>
      <c r="CE579" s="2436"/>
      <c r="CF579" s="2436"/>
      <c r="CG579" s="2436"/>
      <c r="CH579" s="1897"/>
      <c r="CI579" s="1896">
        <f>SUM(CI573:CM578)</f>
        <v>0</v>
      </c>
      <c r="CJ579" s="2436"/>
      <c r="CK579" s="2436"/>
      <c r="CL579" s="2436"/>
      <c r="CM579" s="1897"/>
      <c r="CN579" s="1896">
        <f>SUM(BJ579:CM579)</f>
        <v>0</v>
      </c>
      <c r="CO579" s="2436"/>
      <c r="CP579" s="2436"/>
      <c r="CQ579" s="2436"/>
      <c r="CR579" s="1897"/>
    </row>
    <row r="580" spans="2:96" s="46" customFormat="1" ht="12.75" customHeight="1">
      <c r="E580" s="2590"/>
      <c r="F580" s="2591"/>
      <c r="G580" s="2591"/>
      <c r="H580" s="2591"/>
      <c r="I580" s="2591"/>
      <c r="J580" s="2592"/>
      <c r="K580" s="2590"/>
      <c r="L580" s="2591"/>
      <c r="M580" s="2591"/>
      <c r="N580" s="2591"/>
      <c r="O580" s="2591"/>
      <c r="P580" s="2592"/>
      <c r="Q580" s="2369"/>
      <c r="R580" s="2370"/>
      <c r="S580" s="2370"/>
      <c r="T580" s="2370"/>
      <c r="U580" s="2370"/>
      <c r="V580" s="2371"/>
      <c r="W580" s="2369"/>
      <c r="X580" s="2370"/>
      <c r="Y580" s="2370"/>
      <c r="Z580" s="2370"/>
      <c r="AA580" s="2370"/>
      <c r="AB580" s="2371"/>
      <c r="AC580" s="2369"/>
      <c r="AD580" s="2370"/>
      <c r="AE580" s="2370"/>
      <c r="AF580" s="2370"/>
      <c r="AG580" s="2370"/>
      <c r="AH580" s="2371"/>
      <c r="AN580" s="439"/>
    </row>
    <row r="581" spans="2:96" s="46" customFormat="1" ht="12.75" customHeight="1">
      <c r="E581" s="2590"/>
      <c r="F581" s="2591"/>
      <c r="G581" s="2591"/>
      <c r="H581" s="2591"/>
      <c r="I581" s="2591"/>
      <c r="J581" s="2592"/>
      <c r="K581" s="2590"/>
      <c r="L581" s="2591"/>
      <c r="M581" s="2591"/>
      <c r="N581" s="2591"/>
      <c r="O581" s="2591"/>
      <c r="P581" s="2592"/>
      <c r="Q581" s="2369"/>
      <c r="R581" s="2370"/>
      <c r="S581" s="2370"/>
      <c r="T581" s="2370"/>
      <c r="U581" s="2370"/>
      <c r="V581" s="2371"/>
      <c r="W581" s="2369"/>
      <c r="X581" s="2370"/>
      <c r="Y581" s="2370"/>
      <c r="Z581" s="2370"/>
      <c r="AA581" s="2370"/>
      <c r="AB581" s="2371"/>
      <c r="AC581" s="2369"/>
      <c r="AD581" s="2370"/>
      <c r="AE581" s="2370"/>
      <c r="AF581" s="2370"/>
      <c r="AG581" s="2370"/>
      <c r="AH581" s="2371"/>
      <c r="AN581" s="439"/>
    </row>
    <row r="582" spans="2:96" s="46" customFormat="1" ht="12.75" customHeight="1">
      <c r="E582" s="2590"/>
      <c r="F582" s="2591"/>
      <c r="G582" s="2591"/>
      <c r="H582" s="2591"/>
      <c r="I582" s="2591"/>
      <c r="J582" s="2592"/>
      <c r="K582" s="2590"/>
      <c r="L582" s="2591"/>
      <c r="M582" s="2591"/>
      <c r="N582" s="2591"/>
      <c r="O582" s="2591"/>
      <c r="P582" s="2592"/>
      <c r="Q582" s="2369"/>
      <c r="R582" s="2370"/>
      <c r="S582" s="2370"/>
      <c r="T582" s="2370"/>
      <c r="U582" s="2370"/>
      <c r="V582" s="2371"/>
      <c r="W582" s="2369"/>
      <c r="X582" s="2370"/>
      <c r="Y582" s="2370"/>
      <c r="Z582" s="2370"/>
      <c r="AA582" s="2370"/>
      <c r="AB582" s="2371"/>
      <c r="AC582" s="2369"/>
      <c r="AD582" s="2370"/>
      <c r="AE582" s="2370"/>
      <c r="AF582" s="2370"/>
      <c r="AG582" s="2370"/>
      <c r="AH582" s="2371"/>
      <c r="AN582" s="439"/>
      <c r="AP582" s="63" t="s">
        <v>1218</v>
      </c>
      <c r="BH582" s="63" t="s">
        <v>1219</v>
      </c>
    </row>
    <row r="583" spans="2:96" s="46" customFormat="1" ht="12.75" customHeight="1">
      <c r="E583" s="2311"/>
      <c r="F583" s="2312"/>
      <c r="G583" s="2312"/>
      <c r="H583" s="2312"/>
      <c r="I583" s="2312"/>
      <c r="J583" s="2313"/>
      <c r="K583" s="2308">
        <v>20</v>
      </c>
      <c r="L583" s="2309"/>
      <c r="M583" s="2309"/>
      <c r="N583" s="2309"/>
      <c r="O583" s="2309"/>
      <c r="P583" s="2310"/>
      <c r="Q583" s="2323">
        <f>IF(ISERROR(IF((((E583/$BJ$530)*100)&gt;100),"EXCESSIVE VALUE",(E583/$BJ$530)*100)),0,IF((((E583/$BJ$530)*100)&gt;100),"EXCESSIVE VALUE",(E583/$BJ$530)*100))</f>
        <v>0</v>
      </c>
      <c r="R583" s="2324"/>
      <c r="S583" s="2324"/>
      <c r="T583" s="2324"/>
      <c r="U583" s="2324"/>
      <c r="V583" s="2325"/>
      <c r="W583" s="2314">
        <f>IF(FLOOR(Q583,5)&gt;80,80,FLOOR(Q583,5))</f>
        <v>0</v>
      </c>
      <c r="X583" s="2315"/>
      <c r="Y583" s="2315"/>
      <c r="Z583" s="2315"/>
      <c r="AA583" s="2315"/>
      <c r="AB583" s="2316"/>
      <c r="AC583" s="2314">
        <f t="shared" ref="AC583:AC588" si="4">IFERROR(IF(W583&gt;0,INDEX($BI$509:$BP$523,MATCH(W583,$BH$509:$BH$523,0),MATCH(K583,$BI$508:$BP$508,0)),0),0)</f>
        <v>0</v>
      </c>
      <c r="AD583" s="2315"/>
      <c r="AE583" s="2315"/>
      <c r="AF583" s="2315"/>
      <c r="AG583" s="2315"/>
      <c r="AH583" s="2316"/>
      <c r="AN583" s="439"/>
      <c r="AO583" s="46">
        <v>5</v>
      </c>
      <c r="AP583" s="2449">
        <f t="shared" ref="AP583:AP588" si="5">IF(OR(BE573&gt;=0.1,BE573=0),0,1)</f>
        <v>0</v>
      </c>
      <c r="AQ583" s="2450"/>
      <c r="AR583" s="2450"/>
      <c r="AS583" s="2450"/>
      <c r="AT583" s="2451"/>
      <c r="AX583" s="2422" t="s">
        <v>862</v>
      </c>
      <c r="AY583" s="2428"/>
      <c r="AZ583" s="2428"/>
      <c r="BA583" s="2428"/>
      <c r="BB583" s="2428"/>
      <c r="BC583" s="2428"/>
      <c r="BD583" s="2428"/>
      <c r="BE583" s="2428"/>
      <c r="BF583" s="2428"/>
      <c r="BG583" s="2428"/>
      <c r="BH583" s="2428"/>
      <c r="BI583" s="2428"/>
      <c r="BJ583" s="2428"/>
      <c r="BK583" s="2428"/>
      <c r="BL583" s="2428"/>
      <c r="BM583" s="2428"/>
      <c r="BN583" s="2428"/>
      <c r="BO583" s="2428"/>
      <c r="BP583" s="2428"/>
      <c r="BQ583" s="2423"/>
    </row>
    <row r="584" spans="2:96" s="46" customFormat="1" ht="12.75" customHeight="1">
      <c r="E584" s="2311">
        <v>12</v>
      </c>
      <c r="F584" s="2312"/>
      <c r="G584" s="2312"/>
      <c r="H584" s="2312"/>
      <c r="I584" s="2312"/>
      <c r="J584" s="2313"/>
      <c r="K584" s="2308">
        <v>30</v>
      </c>
      <c r="L584" s="2309"/>
      <c r="M584" s="2309"/>
      <c r="N584" s="2309"/>
      <c r="O584" s="2309"/>
      <c r="P584" s="2310"/>
      <c r="Q584" s="2323">
        <f t="shared" ref="Q584:Q591" si="6">IF(ISERROR(IF((((E584/$BJ$530)*100)&gt;100),"EXCESSIVE VALUE",(E584/$BJ$530)*100)),0,IF((((E584/$BJ$530)*100)&gt;100),"EXCESSIVE VALUE",(E584/$BJ$530)*100))</f>
        <v>25</v>
      </c>
      <c r="R584" s="2324"/>
      <c r="S584" s="2324"/>
      <c r="T584" s="2324"/>
      <c r="U584" s="2324"/>
      <c r="V584" s="2325"/>
      <c r="W584" s="2314">
        <f>IF(FLOOR(Q584,5)&gt;80,80,FLOOR(Q584,5))</f>
        <v>25</v>
      </c>
      <c r="X584" s="2315"/>
      <c r="Y584" s="2315"/>
      <c r="Z584" s="2315"/>
      <c r="AA584" s="2315"/>
      <c r="AB584" s="2316"/>
      <c r="AC584" s="2314">
        <f t="shared" si="4"/>
        <v>37.5</v>
      </c>
      <c r="AD584" s="2315"/>
      <c r="AE584" s="2315"/>
      <c r="AF584" s="2315"/>
      <c r="AG584" s="2315"/>
      <c r="AH584" s="2316"/>
      <c r="AN584" s="439"/>
      <c r="AO584" s="46">
        <v>4</v>
      </c>
      <c r="AP584" s="2449">
        <f t="shared" si="5"/>
        <v>0</v>
      </c>
      <c r="AQ584" s="2450"/>
      <c r="AR584" s="2450"/>
      <c r="AS584" s="2450"/>
      <c r="AT584" s="2451"/>
      <c r="AX584" s="2447" t="s">
        <v>678</v>
      </c>
      <c r="AY584" s="2448"/>
      <c r="AZ584" s="1822" t="s">
        <v>678</v>
      </c>
      <c r="BA584" s="1823"/>
      <c r="BB584" s="2447" t="s">
        <v>292</v>
      </c>
      <c r="BC584" s="2448"/>
      <c r="BD584" s="2437" t="s">
        <v>292</v>
      </c>
      <c r="BE584" s="2439"/>
      <c r="BF584" s="2447" t="s">
        <v>291</v>
      </c>
      <c r="BG584" s="2448"/>
      <c r="BH584" s="2437" t="s">
        <v>291</v>
      </c>
      <c r="BI584" s="2439"/>
      <c r="BJ584" s="2447" t="s">
        <v>290</v>
      </c>
      <c r="BK584" s="2448"/>
      <c r="BL584" s="2437" t="s">
        <v>290</v>
      </c>
      <c r="BM584" s="2439"/>
      <c r="BN584" s="2447" t="s">
        <v>677</v>
      </c>
      <c r="BO584" s="2448"/>
      <c r="BP584" s="2437" t="s">
        <v>677</v>
      </c>
      <c r="BQ584" s="2439"/>
    </row>
    <row r="585" spans="2:96" s="46" customFormat="1" ht="12.75" customHeight="1">
      <c r="E585" s="2311"/>
      <c r="F585" s="2312"/>
      <c r="G585" s="2312"/>
      <c r="H585" s="2312"/>
      <c r="I585" s="2312"/>
      <c r="J585" s="2313"/>
      <c r="K585" s="2308">
        <v>35</v>
      </c>
      <c r="L585" s="2309"/>
      <c r="M585" s="2309"/>
      <c r="N585" s="2309"/>
      <c r="O585" s="2309"/>
      <c r="P585" s="2310"/>
      <c r="Q585" s="2323">
        <f t="shared" si="6"/>
        <v>0</v>
      </c>
      <c r="R585" s="2324"/>
      <c r="S585" s="2324"/>
      <c r="T585" s="2324"/>
      <c r="U585" s="2324"/>
      <c r="V585" s="2325"/>
      <c r="W585" s="2314">
        <f t="shared" ref="W585:W591" si="7">IF(FLOOR(Q585,5)&gt;80,80,FLOOR(Q585,5))</f>
        <v>0</v>
      </c>
      <c r="X585" s="2315"/>
      <c r="Y585" s="2315"/>
      <c r="Z585" s="2315"/>
      <c r="AA585" s="2315"/>
      <c r="AB585" s="2316"/>
      <c r="AC585" s="2314">
        <f t="shared" si="4"/>
        <v>0</v>
      </c>
      <c r="AD585" s="2315"/>
      <c r="AE585" s="2315"/>
      <c r="AF585" s="2315"/>
      <c r="AG585" s="2315"/>
      <c r="AH585" s="2316"/>
      <c r="AN585" s="439"/>
      <c r="AO585" s="137">
        <v>3</v>
      </c>
      <c r="AP585" s="2308">
        <f t="shared" si="5"/>
        <v>0</v>
      </c>
      <c r="AQ585" s="2309"/>
      <c r="AR585" s="2309"/>
      <c r="AS585" s="2309"/>
      <c r="AT585" s="2310"/>
      <c r="AX585" s="2447">
        <f>IF(AP535=1,1,0)</f>
        <v>0</v>
      </c>
      <c r="AY585" s="2448"/>
      <c r="AZ585" s="2422"/>
      <c r="BA585" s="2423"/>
      <c r="BB585" s="2445"/>
      <c r="BC585" s="2446"/>
      <c r="BD585" s="2437">
        <f>IF(AND(T608&gt;0,AP535&gt;0),1,0)</f>
        <v>0</v>
      </c>
      <c r="BE585" s="2439"/>
      <c r="BF585" s="2445"/>
      <c r="BG585" s="2446"/>
      <c r="BH585" s="2437">
        <f>IF(AND(T608&gt;0,AP535&gt;0),1,0)</f>
        <v>0</v>
      </c>
      <c r="BI585" s="2439"/>
      <c r="BJ585" s="2445"/>
      <c r="BK585" s="2446"/>
      <c r="BL585" s="2437">
        <f>IF(AND(T608&gt;0,AP535&gt;0),1,0)</f>
        <v>0</v>
      </c>
      <c r="BM585" s="2439"/>
      <c r="BN585" s="2445"/>
      <c r="BO585" s="2446"/>
      <c r="BP585" s="2437">
        <f>IF(AND(T608&gt;0,AP535&gt;0),1,0)</f>
        <v>0</v>
      </c>
      <c r="BQ585" s="2439"/>
    </row>
    <row r="586" spans="2:96" s="46" customFormat="1" ht="12.75" customHeight="1">
      <c r="E586" s="2311"/>
      <c r="F586" s="2312"/>
      <c r="G586" s="2312"/>
      <c r="H586" s="2312"/>
      <c r="I586" s="2312"/>
      <c r="J586" s="2313"/>
      <c r="K586" s="2308">
        <v>40</v>
      </c>
      <c r="L586" s="2309"/>
      <c r="M586" s="2309"/>
      <c r="N586" s="2309"/>
      <c r="O586" s="2309"/>
      <c r="P586" s="2310"/>
      <c r="Q586" s="2323">
        <f t="shared" si="6"/>
        <v>0</v>
      </c>
      <c r="R586" s="2324"/>
      <c r="S586" s="2324"/>
      <c r="T586" s="2324"/>
      <c r="U586" s="2324"/>
      <c r="V586" s="2325"/>
      <c r="W586" s="2314">
        <f t="shared" si="7"/>
        <v>0</v>
      </c>
      <c r="X586" s="2315"/>
      <c r="Y586" s="2315"/>
      <c r="Z586" s="2315"/>
      <c r="AA586" s="2315"/>
      <c r="AB586" s="2316"/>
      <c r="AC586" s="2314">
        <f t="shared" si="4"/>
        <v>0</v>
      </c>
      <c r="AD586" s="2315"/>
      <c r="AE586" s="2315"/>
      <c r="AF586" s="2315"/>
      <c r="AG586" s="2315"/>
      <c r="AH586" s="2316"/>
      <c r="AN586" s="439"/>
      <c r="AO586" s="46">
        <v>2</v>
      </c>
      <c r="AP586" s="2449">
        <f t="shared" si="5"/>
        <v>0</v>
      </c>
      <c r="AQ586" s="2450"/>
      <c r="AR586" s="2450"/>
      <c r="AS586" s="2450"/>
      <c r="AT586" s="2451"/>
      <c r="AX586" s="2445"/>
      <c r="AY586" s="2446"/>
      <c r="AZ586" s="2422"/>
      <c r="BA586" s="2423"/>
      <c r="BB586" s="2447">
        <f>IF(AP536=1,1,0)</f>
        <v>0</v>
      </c>
      <c r="BC586" s="2448"/>
      <c r="BD586" s="2422"/>
      <c r="BE586" s="2423"/>
      <c r="BF586" s="2445"/>
      <c r="BG586" s="2446"/>
      <c r="BH586" s="2437">
        <f>IF(AND(T609&gt;0,AP536&gt;0),1,0)</f>
        <v>0</v>
      </c>
      <c r="BI586" s="2439"/>
      <c r="BJ586" s="2445"/>
      <c r="BK586" s="2446"/>
      <c r="BL586" s="2437">
        <f>IF(AND(T609&gt;0,AP536&gt;0),1,0)</f>
        <v>0</v>
      </c>
      <c r="BM586" s="2439"/>
      <c r="BN586" s="2445"/>
      <c r="BO586" s="2446"/>
      <c r="BP586" s="2437">
        <f>IF(AND(T609&gt;0,AP536&gt;0),1,0)</f>
        <v>0</v>
      </c>
      <c r="BQ586" s="2439"/>
    </row>
    <row r="587" spans="2:96" s="46" customFormat="1" ht="12.75" customHeight="1">
      <c r="E587" s="2311"/>
      <c r="F587" s="2312"/>
      <c r="G587" s="2312"/>
      <c r="H587" s="2312"/>
      <c r="I587" s="2312"/>
      <c r="J587" s="2313"/>
      <c r="K587" s="2308">
        <v>45</v>
      </c>
      <c r="L587" s="2309"/>
      <c r="M587" s="2309"/>
      <c r="N587" s="2309"/>
      <c r="O587" s="2309"/>
      <c r="P587" s="2310"/>
      <c r="Q587" s="2323">
        <f t="shared" si="6"/>
        <v>0</v>
      </c>
      <c r="R587" s="2324"/>
      <c r="S587" s="2324"/>
      <c r="T587" s="2324"/>
      <c r="U587" s="2324"/>
      <c r="V587" s="2325"/>
      <c r="W587" s="2314">
        <f>IF(FLOOR(Q587,5)&gt;65,65,FLOOR(Q587,5))</f>
        <v>0</v>
      </c>
      <c r="X587" s="2315"/>
      <c r="Y587" s="2315"/>
      <c r="Z587" s="2315"/>
      <c r="AA587" s="2315"/>
      <c r="AB587" s="2316"/>
      <c r="AC587" s="2314">
        <f t="shared" si="4"/>
        <v>0</v>
      </c>
      <c r="AD587" s="2315"/>
      <c r="AE587" s="2315"/>
      <c r="AF587" s="2315"/>
      <c r="AG587" s="2315"/>
      <c r="AH587" s="2316"/>
      <c r="AN587" s="439"/>
      <c r="AO587" s="46">
        <v>1</v>
      </c>
      <c r="AP587" s="2449">
        <f t="shared" si="5"/>
        <v>0</v>
      </c>
      <c r="AQ587" s="2450"/>
      <c r="AR587" s="2450"/>
      <c r="AS587" s="2450"/>
      <c r="AT587" s="2451"/>
      <c r="AX587" s="2445"/>
      <c r="AY587" s="2446"/>
      <c r="AZ587" s="2422"/>
      <c r="BA587" s="2423"/>
      <c r="BB587" s="2445"/>
      <c r="BC587" s="2446"/>
      <c r="BD587" s="2422"/>
      <c r="BE587" s="2423"/>
      <c r="BF587" s="2447">
        <f>IF(AP537=1,1,0)</f>
        <v>0</v>
      </c>
      <c r="BG587" s="2448"/>
      <c r="BH587" s="2422"/>
      <c r="BI587" s="2423"/>
      <c r="BJ587" s="2445"/>
      <c r="BK587" s="2446"/>
      <c r="BL587" s="2437">
        <f>IF(AND(T610&gt;0,AP537&gt;0),1,0)</f>
        <v>0</v>
      </c>
      <c r="BM587" s="2439"/>
      <c r="BN587" s="2445"/>
      <c r="BO587" s="2446"/>
      <c r="BP587" s="2437">
        <f>IF(AND(T610&gt;0,AP537&gt;0),1,0)</f>
        <v>0</v>
      </c>
      <c r="BQ587" s="2439"/>
    </row>
    <row r="588" spans="2:96" s="46" customFormat="1" ht="12.75" customHeight="1">
      <c r="E588" s="2311">
        <v>13</v>
      </c>
      <c r="F588" s="2312"/>
      <c r="G588" s="2312"/>
      <c r="H588" s="2312"/>
      <c r="I588" s="2312"/>
      <c r="J588" s="2313"/>
      <c r="K588" s="2308">
        <v>50</v>
      </c>
      <c r="L588" s="2309"/>
      <c r="M588" s="2309"/>
      <c r="N588" s="2309"/>
      <c r="O588" s="2309"/>
      <c r="P588" s="2310"/>
      <c r="Q588" s="2323">
        <f t="shared" si="6"/>
        <v>27.083333333333332</v>
      </c>
      <c r="R588" s="2324"/>
      <c r="S588" s="2324"/>
      <c r="T588" s="2324"/>
      <c r="U588" s="2324"/>
      <c r="V588" s="2325"/>
      <c r="W588" s="2314">
        <f>IF(FLOOR(Q588,5)&gt;40,40,FLOOR(Q588,5))</f>
        <v>25</v>
      </c>
      <c r="X588" s="2315"/>
      <c r="Y588" s="2315"/>
      <c r="Z588" s="2315"/>
      <c r="AA588" s="2315"/>
      <c r="AB588" s="2316"/>
      <c r="AC588" s="2314">
        <f t="shared" si="4"/>
        <v>12.5</v>
      </c>
      <c r="AD588" s="2315"/>
      <c r="AE588" s="2315"/>
      <c r="AF588" s="2315"/>
      <c r="AG588" s="2315"/>
      <c r="AH588" s="2316"/>
      <c r="AN588" s="439"/>
      <c r="AO588" s="46">
        <v>0</v>
      </c>
      <c r="AP588" s="2449">
        <f t="shared" si="5"/>
        <v>0</v>
      </c>
      <c r="AQ588" s="2450"/>
      <c r="AR588" s="2450"/>
      <c r="AS588" s="2450"/>
      <c r="AT588" s="2451"/>
      <c r="AX588" s="2445"/>
      <c r="AY588" s="2446"/>
      <c r="AZ588" s="2422"/>
      <c r="BA588" s="2423"/>
      <c r="BB588" s="2445"/>
      <c r="BC588" s="2446"/>
      <c r="BD588" s="2422"/>
      <c r="BE588" s="2423"/>
      <c r="BF588" s="2445"/>
      <c r="BG588" s="2446"/>
      <c r="BH588" s="2422"/>
      <c r="BI588" s="2423"/>
      <c r="BJ588" s="2447">
        <f>IF(AP538=1,1,0)</f>
        <v>0</v>
      </c>
      <c r="BK588" s="2448"/>
      <c r="BL588" s="2445"/>
      <c r="BM588" s="2446"/>
      <c r="BN588" s="2445"/>
      <c r="BO588" s="2446"/>
      <c r="BP588" s="2437">
        <f>IF(AND(T611&gt;0,AP538&gt;0),1,0)</f>
        <v>0</v>
      </c>
      <c r="BQ588" s="2439"/>
    </row>
    <row r="589" spans="2:96" s="46" customFormat="1" ht="12.75" customHeight="1">
      <c r="E589" s="2414"/>
      <c r="F589" s="2415"/>
      <c r="G589" s="2415"/>
      <c r="H589" s="2415"/>
      <c r="I589" s="2415"/>
      <c r="J589" s="2416"/>
      <c r="K589" s="2410">
        <f>IF(OR(Application!D211="Rural",Application!D211="Rural apportionment (Section 514)",Application!D211="Rural apportionment (Section 515)",Application!D211="Rural apportionment (HOME)",Application!D211="Rural (Native American apportionment)"),50,0)</f>
        <v>0</v>
      </c>
      <c r="L589" s="2411"/>
      <c r="M589" s="2412" t="s">
        <v>2027</v>
      </c>
      <c r="N589" s="2412"/>
      <c r="O589" s="2412"/>
      <c r="P589" s="2413"/>
      <c r="Q589" s="2323">
        <f t="shared" si="6"/>
        <v>0</v>
      </c>
      <c r="R589" s="2324"/>
      <c r="S589" s="2324"/>
      <c r="T589" s="2324"/>
      <c r="U589" s="2324"/>
      <c r="V589" s="2325"/>
      <c r="W589" s="2314">
        <f>IF(FLOOR(Q589,5)&gt;50,50,FLOOR(Q589,5))</f>
        <v>0</v>
      </c>
      <c r="X589" s="2315"/>
      <c r="Y589" s="2315"/>
      <c r="Z589" s="2315"/>
      <c r="AA589" s="2315"/>
      <c r="AB589" s="2316"/>
      <c r="AC589" s="2314">
        <f>IFERROR(IF(W589&gt;0,INDEX($AT$509:$BA$523,MATCH(W589,$AS$509:$AS$523,0),MATCH(K589,$AT$508:$BA$508,0)),0),0)</f>
        <v>0</v>
      </c>
      <c r="AD589" s="2315"/>
      <c r="AE589" s="2315"/>
      <c r="AF589" s="2315"/>
      <c r="AG589" s="2315"/>
      <c r="AH589" s="2316"/>
      <c r="AN589" s="439"/>
      <c r="AP589" s="2449"/>
      <c r="AQ589" s="2450"/>
      <c r="AR589" s="2450"/>
      <c r="AS589" s="2450"/>
      <c r="AT589" s="2451"/>
      <c r="AX589" s="2445"/>
      <c r="AY589" s="2446"/>
      <c r="AZ589" s="2422"/>
      <c r="BA589" s="2423"/>
      <c r="BB589" s="2445"/>
      <c r="BC589" s="2446"/>
      <c r="BD589" s="2422"/>
      <c r="BE589" s="2423"/>
      <c r="BF589" s="2445"/>
      <c r="BG589" s="2446"/>
      <c r="BH589" s="2422"/>
      <c r="BI589" s="2423"/>
      <c r="BJ589" s="2445"/>
      <c r="BK589" s="2446"/>
      <c r="BL589" s="2445"/>
      <c r="BM589" s="2446"/>
      <c r="BN589" s="2447">
        <f>IF(AP539=1,1,0)</f>
        <v>1</v>
      </c>
      <c r="BO589" s="2448"/>
      <c r="BP589" s="2422"/>
      <c r="BQ589" s="2423"/>
    </row>
    <row r="590" spans="2:96" s="46" customFormat="1" ht="12.75" customHeight="1">
      <c r="E590" s="2414"/>
      <c r="F590" s="2415"/>
      <c r="G590" s="2415"/>
      <c r="H590" s="2415"/>
      <c r="I590" s="2415"/>
      <c r="J590" s="2416"/>
      <c r="K590" s="2410">
        <f>IF(OR(Application!D211="Rural",Application!D211="Rural apportionment (Section 514)",Application!D211="Rural apportionment (Section 515)",Application!D211="Rural apportionment (HOME)",Application!D211="Rural (Native American apportionment)"),55,0)</f>
        <v>0</v>
      </c>
      <c r="L590" s="2411"/>
      <c r="M590" s="2412" t="s">
        <v>2027</v>
      </c>
      <c r="N590" s="2412"/>
      <c r="O590" s="2412"/>
      <c r="P590" s="2413"/>
      <c r="Q590" s="2323">
        <f t="shared" si="6"/>
        <v>0</v>
      </c>
      <c r="R590" s="2324"/>
      <c r="S590" s="2324"/>
      <c r="T590" s="2324"/>
      <c r="U590" s="2324"/>
      <c r="V590" s="2325"/>
      <c r="W590" s="2314">
        <f>IF(FLOOR(Q590,5)&gt;40,40,FLOOR(Q590,5))</f>
        <v>0</v>
      </c>
      <c r="X590" s="2315"/>
      <c r="Y590" s="2315"/>
      <c r="Z590" s="2315"/>
      <c r="AA590" s="2315"/>
      <c r="AB590" s="2316"/>
      <c r="AC590" s="2314">
        <f>IFERROR(IF(W590&gt;0,INDEX($AT$509:$BA$523,MATCH(W590,$AS$509:$AS$523,0),MATCH(K590,$AT$508:$BA$508,0)),0),0)</f>
        <v>0</v>
      </c>
      <c r="AD590" s="2315"/>
      <c r="AE590" s="2315"/>
      <c r="AF590" s="2315"/>
      <c r="AG590" s="2315"/>
      <c r="AH590" s="2316"/>
      <c r="AN590" s="439"/>
      <c r="AX590" s="2447">
        <f>SUM(AX585:AY589)</f>
        <v>0</v>
      </c>
      <c r="AY590" s="2448"/>
      <c r="AZ590" s="2437">
        <f>SUM(AZ586:BA589)</f>
        <v>0</v>
      </c>
      <c r="BA590" s="2439"/>
      <c r="BB590" s="2447">
        <f>SUM(BB586:BC589)</f>
        <v>0</v>
      </c>
      <c r="BC590" s="2448"/>
      <c r="BD590" s="2437">
        <f>SUM(BD585:BE589)</f>
        <v>0</v>
      </c>
      <c r="BE590" s="2439"/>
      <c r="BF590" s="2447">
        <f>SUM(BF587:BG589)</f>
        <v>0</v>
      </c>
      <c r="BG590" s="2448"/>
      <c r="BH590" s="2437">
        <f>SUM(BH585:BI589)</f>
        <v>0</v>
      </c>
      <c r="BI590" s="2439"/>
      <c r="BJ590" s="2447">
        <f>SUM(BJ585:BK589)</f>
        <v>0</v>
      </c>
      <c r="BK590" s="2448"/>
      <c r="BL590" s="2437">
        <f>SUM(BL585:BM589)</f>
        <v>0</v>
      </c>
      <c r="BM590" s="2439"/>
      <c r="BN590" s="2447">
        <f>SUM(BN585:BO589)</f>
        <v>1</v>
      </c>
      <c r="BO590" s="2448"/>
      <c r="BP590" s="2437">
        <f>SUM(BP585:BQ589)</f>
        <v>0</v>
      </c>
      <c r="BQ590" s="2439"/>
    </row>
    <row r="591" spans="2:96" s="46" customFormat="1" ht="12.75" customHeight="1">
      <c r="E591" s="2311">
        <f>8+8+7</f>
        <v>23</v>
      </c>
      <c r="F591" s="2312"/>
      <c r="G591" s="2312"/>
      <c r="H591" s="2312"/>
      <c r="I591" s="2312"/>
      <c r="J591" s="2313"/>
      <c r="K591" s="2308" t="s">
        <v>2028</v>
      </c>
      <c r="L591" s="2309"/>
      <c r="M591" s="2309"/>
      <c r="N591" s="2309"/>
      <c r="O591" s="2309"/>
      <c r="P591" s="2310"/>
      <c r="Q591" s="2323">
        <f t="shared" si="6"/>
        <v>47.916666666666671</v>
      </c>
      <c r="R591" s="2324"/>
      <c r="S591" s="2324"/>
      <c r="T591" s="2324"/>
      <c r="U591" s="2324"/>
      <c r="V591" s="2325"/>
      <c r="W591" s="2314">
        <f t="shared" si="7"/>
        <v>45</v>
      </c>
      <c r="X591" s="2315"/>
      <c r="Y591" s="2315"/>
      <c r="Z591" s="2315"/>
      <c r="AA591" s="2315"/>
      <c r="AB591" s="2316"/>
      <c r="AC591" s="2314">
        <v>0</v>
      </c>
      <c r="AD591" s="2315"/>
      <c r="AE591" s="2315"/>
      <c r="AF591" s="2315"/>
      <c r="AG591" s="2315"/>
      <c r="AH591" s="2316"/>
      <c r="AN591" s="439"/>
      <c r="AX591" s="2442">
        <f>IF(AND(AX590=1,AZ590&gt;1),1,0)</f>
        <v>0</v>
      </c>
      <c r="AY591" s="2443"/>
      <c r="AZ591" s="2443"/>
      <c r="BA591" s="2444"/>
      <c r="BB591" s="2442">
        <f>IF(AND(BB590=1,BD590&gt;=1),1,0)</f>
        <v>0</v>
      </c>
      <c r="BC591" s="2443"/>
      <c r="BD591" s="2443"/>
      <c r="BE591" s="2444"/>
      <c r="BF591" s="2442">
        <f>IF(AND(BF590=1,BH590&gt;=1),1,0)</f>
        <v>0</v>
      </c>
      <c r="BG591" s="2443"/>
      <c r="BH591" s="2443"/>
      <c r="BI591" s="2444"/>
      <c r="BJ591" s="2442">
        <f>IF(AND(BJ590=1,BL590&gt;=1),1,0)</f>
        <v>0</v>
      </c>
      <c r="BK591" s="2443"/>
      <c r="BL591" s="2443"/>
      <c r="BM591" s="2444"/>
      <c r="BN591" s="2442">
        <f>IF(AND(BN590=1,BP590&gt;=1),1,0)</f>
        <v>0</v>
      </c>
      <c r="BO591" s="2443"/>
      <c r="BP591" s="2443"/>
      <c r="BQ591" s="2444"/>
    </row>
    <row r="592" spans="2:96" s="46" customFormat="1" ht="12.75" customHeight="1">
      <c r="E592" s="2557">
        <f>SUM(E583:J591)</f>
        <v>48</v>
      </c>
      <c r="F592" s="2558"/>
      <c r="G592" s="2558"/>
      <c r="H592" s="2558"/>
      <c r="I592" s="2558"/>
      <c r="J592" s="2559"/>
      <c r="K592" s="260"/>
      <c r="L592" s="260"/>
      <c r="M592" s="260"/>
      <c r="N592" s="260"/>
      <c r="O592" s="260"/>
      <c r="P592" s="260"/>
      <c r="Q592" s="260"/>
      <c r="R592" s="260"/>
      <c r="S592" s="260"/>
      <c r="T592" s="260"/>
      <c r="U592" s="254"/>
      <c r="V592" s="254"/>
      <c r="W592" s="254"/>
      <c r="X592" s="254"/>
      <c r="Y592" s="254"/>
      <c r="Z592" s="260"/>
      <c r="AA592" s="254"/>
      <c r="AB592" s="100" t="s">
        <v>667</v>
      </c>
      <c r="AC592" s="2554">
        <f>IF(SUM(AC583:AH591)&gt;0,SUM(AC583:AH591),0)</f>
        <v>50</v>
      </c>
      <c r="AD592" s="2555"/>
      <c r="AE592" s="2555"/>
      <c r="AF592" s="2555"/>
      <c r="AG592" s="2555"/>
      <c r="AH592" s="2556"/>
      <c r="AK592" s="8"/>
      <c r="AL592" s="8"/>
      <c r="AM592" s="261"/>
      <c r="AN592" s="439"/>
      <c r="AX592" s="16"/>
      <c r="AY592" s="16"/>
      <c r="AZ592" s="16"/>
      <c r="BA592" s="16"/>
      <c r="BB592" s="16"/>
      <c r="BC592" s="16"/>
      <c r="BD592" s="16"/>
      <c r="BE592" s="16"/>
      <c r="BF592" s="16"/>
      <c r="BG592" s="16"/>
      <c r="BH592" s="16"/>
      <c r="BI592" s="240" t="s">
        <v>672</v>
      </c>
      <c r="BJ592" s="2442">
        <f>AX591+BB591+BF591+BJ591+BN591</f>
        <v>0</v>
      </c>
      <c r="BK592" s="2443"/>
      <c r="BL592" s="2443"/>
      <c r="BM592" s="2444"/>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54" t="s">
        <v>114</v>
      </c>
      <c r="AH595" s="2354"/>
      <c r="AI595" s="2354"/>
      <c r="AJ595" s="2354"/>
      <c r="AK595" s="8"/>
      <c r="AL595" s="8"/>
      <c r="AM595" s="8"/>
      <c r="AN595" s="439"/>
    </row>
    <row r="596" spans="1:69" s="46" customFormat="1" ht="12.75" customHeight="1">
      <c r="B596" s="2547" t="s">
        <v>2004</v>
      </c>
      <c r="C596" s="2547"/>
      <c r="D596" s="2547"/>
      <c r="E596" s="2547"/>
      <c r="F596" s="2547"/>
      <c r="G596" s="2547"/>
      <c r="H596" s="2547"/>
      <c r="I596" s="2547"/>
      <c r="J596" s="2547"/>
      <c r="K596" s="2547"/>
      <c r="L596" s="2547"/>
      <c r="M596" s="2547"/>
      <c r="N596" s="2547"/>
      <c r="O596" s="2547"/>
      <c r="P596" s="2547"/>
      <c r="Q596" s="2547"/>
      <c r="R596" s="2547"/>
      <c r="S596" s="2547"/>
      <c r="T596" s="2547"/>
      <c r="U596" s="2547"/>
      <c r="V596" s="2547"/>
      <c r="W596" s="2547"/>
      <c r="X596" s="2547"/>
      <c r="Y596" s="2547"/>
      <c r="Z596" s="2547"/>
      <c r="AA596" s="2547"/>
      <c r="AB596" s="2547"/>
      <c r="AC596" s="2547"/>
      <c r="AD596" s="2547"/>
      <c r="AE596" s="2547"/>
      <c r="AF596" s="2547"/>
      <c r="AG596" s="2547"/>
      <c r="AH596" s="2547"/>
      <c r="AI596" s="65"/>
      <c r="AJ596" s="65"/>
      <c r="AK596" s="16"/>
      <c r="AL596" s="16"/>
      <c r="AM596" s="16"/>
      <c r="AN596" s="439"/>
    </row>
    <row r="597" spans="1:69" s="46" customFormat="1" ht="12.75" customHeight="1">
      <c r="A597" s="65"/>
      <c r="B597" s="2547"/>
      <c r="C597" s="2547"/>
      <c r="D597" s="2547"/>
      <c r="E597" s="2547"/>
      <c r="F597" s="2547"/>
      <c r="G597" s="2547"/>
      <c r="H597" s="2547"/>
      <c r="I597" s="2547"/>
      <c r="J597" s="2547"/>
      <c r="K597" s="2547"/>
      <c r="L597" s="2547"/>
      <c r="M597" s="2547"/>
      <c r="N597" s="2547"/>
      <c r="O597" s="2547"/>
      <c r="P597" s="2547"/>
      <c r="Q597" s="2547"/>
      <c r="R597" s="2547"/>
      <c r="S597" s="2547"/>
      <c r="T597" s="2547"/>
      <c r="U597" s="2547"/>
      <c r="V597" s="2547"/>
      <c r="W597" s="2547"/>
      <c r="X597" s="2547"/>
      <c r="Y597" s="2547"/>
      <c r="Z597" s="2547"/>
      <c r="AA597" s="2547"/>
      <c r="AB597" s="2547"/>
      <c r="AC597" s="2547"/>
      <c r="AD597" s="2547"/>
      <c r="AE597" s="2547"/>
      <c r="AF597" s="2547"/>
      <c r="AG597" s="2547"/>
      <c r="AH597" s="2547"/>
      <c r="AI597" s="65"/>
      <c r="AJ597" s="65"/>
      <c r="AK597" s="16"/>
      <c r="AL597" s="16"/>
      <c r="AM597" s="16"/>
      <c r="AN597" s="439"/>
    </row>
    <row r="598" spans="1:69" s="46" customFormat="1" ht="12.75" customHeight="1">
      <c r="A598" s="65"/>
      <c r="B598" s="2547"/>
      <c r="C598" s="2547"/>
      <c r="D598" s="2547"/>
      <c r="E598" s="2547"/>
      <c r="F598" s="2547"/>
      <c r="G598" s="2547"/>
      <c r="H598" s="2547"/>
      <c r="I598" s="2547"/>
      <c r="J598" s="2547"/>
      <c r="K598" s="2547"/>
      <c r="L598" s="2547"/>
      <c r="M598" s="2547"/>
      <c r="N598" s="2547"/>
      <c r="O598" s="2547"/>
      <c r="P598" s="2547"/>
      <c r="Q598" s="2547"/>
      <c r="R598" s="2547"/>
      <c r="S598" s="2547"/>
      <c r="T598" s="2547"/>
      <c r="U598" s="2547"/>
      <c r="V598" s="2547"/>
      <c r="W598" s="2547"/>
      <c r="X598" s="2547"/>
      <c r="Y598" s="2547"/>
      <c r="Z598" s="2547"/>
      <c r="AA598" s="2547"/>
      <c r="AB598" s="2547"/>
      <c r="AC598" s="2547"/>
      <c r="AD598" s="2547"/>
      <c r="AE598" s="2547"/>
      <c r="AF598" s="2547"/>
      <c r="AG598" s="2547"/>
      <c r="AH598" s="2547"/>
      <c r="AI598" s="65"/>
      <c r="AJ598" s="65"/>
      <c r="AK598" s="16"/>
      <c r="AL598" s="16"/>
      <c r="AM598" s="16"/>
      <c r="AN598" s="439"/>
    </row>
    <row r="599" spans="1:69" s="46" customFormat="1" ht="12.75" customHeight="1">
      <c r="A599" s="65"/>
      <c r="B599" s="2547"/>
      <c r="C599" s="2547"/>
      <c r="D599" s="2547"/>
      <c r="E599" s="2547"/>
      <c r="F599" s="2547"/>
      <c r="G599" s="2547"/>
      <c r="H599" s="2547"/>
      <c r="I599" s="2547"/>
      <c r="J599" s="2547"/>
      <c r="K599" s="2547"/>
      <c r="L599" s="2547"/>
      <c r="M599" s="2547"/>
      <c r="N599" s="2547"/>
      <c r="O599" s="2547"/>
      <c r="P599" s="2547"/>
      <c r="Q599" s="2547"/>
      <c r="R599" s="2547"/>
      <c r="S599" s="2547"/>
      <c r="T599" s="2547"/>
      <c r="U599" s="2547"/>
      <c r="V599" s="2547"/>
      <c r="W599" s="2547"/>
      <c r="X599" s="2547"/>
      <c r="Y599" s="2547"/>
      <c r="Z599" s="2547"/>
      <c r="AA599" s="2547"/>
      <c r="AB599" s="2547"/>
      <c r="AC599" s="2547"/>
      <c r="AD599" s="2547"/>
      <c r="AE599" s="2547"/>
      <c r="AF599" s="2547"/>
      <c r="AG599" s="2547"/>
      <c r="AH599" s="2547"/>
      <c r="AI599" s="65"/>
      <c r="AJ599" s="65"/>
      <c r="AK599" s="16"/>
      <c r="AL599" s="16"/>
      <c r="AM599" s="16"/>
      <c r="AN599" s="439"/>
    </row>
    <row r="600" spans="1:69" s="46" customFormat="1" ht="12.75" customHeight="1">
      <c r="A600" s="65"/>
      <c r="B600" s="2547"/>
      <c r="C600" s="2547"/>
      <c r="D600" s="2547"/>
      <c r="E600" s="2547"/>
      <c r="F600" s="2547"/>
      <c r="G600" s="2547"/>
      <c r="H600" s="2547"/>
      <c r="I600" s="2547"/>
      <c r="J600" s="2547"/>
      <c r="K600" s="2547"/>
      <c r="L600" s="2547"/>
      <c r="M600" s="2547"/>
      <c r="N600" s="2547"/>
      <c r="O600" s="2547"/>
      <c r="P600" s="2547"/>
      <c r="Q600" s="2547"/>
      <c r="R600" s="2547"/>
      <c r="S600" s="2547"/>
      <c r="T600" s="2547"/>
      <c r="U600" s="2547"/>
      <c r="V600" s="2547"/>
      <c r="W600" s="2547"/>
      <c r="X600" s="2547"/>
      <c r="Y600" s="2547"/>
      <c r="Z600" s="2547"/>
      <c r="AA600" s="2547"/>
      <c r="AB600" s="2547"/>
      <c r="AC600" s="2547"/>
      <c r="AD600" s="2547"/>
      <c r="AE600" s="2547"/>
      <c r="AF600" s="2547"/>
      <c r="AG600" s="2547"/>
      <c r="AH600" s="2547"/>
      <c r="AI600" s="65"/>
      <c r="AJ600" s="65"/>
      <c r="AK600" s="16"/>
      <c r="AL600" s="16"/>
      <c r="AM600" s="16"/>
      <c r="AN600" s="439"/>
    </row>
    <row r="601" spans="1:69" s="46" customFormat="1" ht="12.75" customHeight="1">
      <c r="A601" s="65"/>
      <c r="B601" s="2547"/>
      <c r="C601" s="2547"/>
      <c r="D601" s="2547"/>
      <c r="E601" s="2547"/>
      <c r="F601" s="2547"/>
      <c r="G601" s="2547"/>
      <c r="H601" s="2547"/>
      <c r="I601" s="2547"/>
      <c r="J601" s="2547"/>
      <c r="K601" s="2547"/>
      <c r="L601" s="2547"/>
      <c r="M601" s="2547"/>
      <c r="N601" s="2547"/>
      <c r="O601" s="2547"/>
      <c r="P601" s="2547"/>
      <c r="Q601" s="2547"/>
      <c r="R601" s="2547"/>
      <c r="S601" s="2547"/>
      <c r="T601" s="2547"/>
      <c r="U601" s="2547"/>
      <c r="V601" s="2547"/>
      <c r="W601" s="2547"/>
      <c r="X601" s="2547"/>
      <c r="Y601" s="2547"/>
      <c r="Z601" s="2547"/>
      <c r="AA601" s="2547"/>
      <c r="AB601" s="2547"/>
      <c r="AC601" s="2547"/>
      <c r="AD601" s="2547"/>
      <c r="AE601" s="2547"/>
      <c r="AF601" s="2547"/>
      <c r="AG601" s="2547"/>
      <c r="AH601" s="2547"/>
      <c r="AI601" s="65"/>
      <c r="AJ601" s="65"/>
      <c r="AK601" s="65"/>
      <c r="AL601" s="65"/>
      <c r="AM601" s="65"/>
      <c r="AN601" s="1084"/>
    </row>
    <row r="602" spans="1:69">
      <c r="E602" s="245"/>
      <c r="BD602" s="65"/>
      <c r="BE602" s="65"/>
      <c r="BF602" s="65"/>
      <c r="BG602" s="65"/>
      <c r="BH602" s="65"/>
    </row>
    <row r="603" spans="1:69" ht="12.75" customHeight="1">
      <c r="J603" s="2498" t="s">
        <v>863</v>
      </c>
      <c r="K603" s="2499"/>
      <c r="L603" s="2499"/>
      <c r="M603" s="2499"/>
      <c r="N603" s="2500"/>
      <c r="O603" s="2544" t="s">
        <v>1643</v>
      </c>
      <c r="P603" s="2545"/>
      <c r="Q603" s="2545"/>
      <c r="R603" s="2545"/>
      <c r="S603" s="2546"/>
      <c r="T603" s="2544" t="s">
        <v>1937</v>
      </c>
      <c r="U603" s="2545"/>
      <c r="V603" s="2545"/>
      <c r="W603" s="2545"/>
      <c r="X603" s="2546"/>
      <c r="Y603" s="2544" t="s">
        <v>1644</v>
      </c>
      <c r="Z603" s="2545"/>
      <c r="AA603" s="2545"/>
      <c r="AB603" s="2545"/>
      <c r="AC603" s="2546"/>
      <c r="AF603" s="16"/>
      <c r="AG603" s="16"/>
      <c r="AH603" s="16"/>
      <c r="AI603" s="16"/>
      <c r="AJ603" s="16"/>
    </row>
    <row r="604" spans="1:69" ht="12.75" customHeight="1">
      <c r="D604" s="16"/>
      <c r="E604" s="16"/>
      <c r="F604" s="16"/>
      <c r="G604" s="16"/>
      <c r="H604" s="16"/>
      <c r="I604" s="16"/>
      <c r="J604" s="2501"/>
      <c r="K604" s="2502"/>
      <c r="L604" s="2502"/>
      <c r="M604" s="2502"/>
      <c r="N604" s="2503"/>
      <c r="O604" s="2369"/>
      <c r="P604" s="2370"/>
      <c r="Q604" s="2370"/>
      <c r="R604" s="2370"/>
      <c r="S604" s="2371"/>
      <c r="T604" s="2369"/>
      <c r="U604" s="2370"/>
      <c r="V604" s="2370"/>
      <c r="W604" s="2370"/>
      <c r="X604" s="2371"/>
      <c r="Y604" s="2369"/>
      <c r="Z604" s="2370"/>
      <c r="AA604" s="2370"/>
      <c r="AB604" s="2370"/>
      <c r="AC604" s="2371"/>
      <c r="AF604" s="16"/>
      <c r="AG604" s="16"/>
      <c r="AH604" s="16"/>
      <c r="AI604" s="16"/>
      <c r="AJ604" s="16"/>
    </row>
    <row r="605" spans="1:69">
      <c r="I605" s="16"/>
      <c r="J605" s="2501"/>
      <c r="K605" s="2502"/>
      <c r="L605" s="2502"/>
      <c r="M605" s="2502"/>
      <c r="N605" s="2503"/>
      <c r="O605" s="2369"/>
      <c r="P605" s="2370"/>
      <c r="Q605" s="2370"/>
      <c r="R605" s="2370"/>
      <c r="S605" s="2371"/>
      <c r="T605" s="2369"/>
      <c r="U605" s="2370"/>
      <c r="V605" s="2370"/>
      <c r="W605" s="2370"/>
      <c r="X605" s="2371"/>
      <c r="Y605" s="2369"/>
      <c r="Z605" s="2370"/>
      <c r="AA605" s="2370"/>
      <c r="AB605" s="2370"/>
      <c r="AC605" s="2371"/>
      <c r="AD605" s="42"/>
      <c r="AF605" s="16"/>
      <c r="AG605" s="16"/>
      <c r="AH605" s="16"/>
      <c r="AI605" s="16"/>
      <c r="AJ605" s="16"/>
    </row>
    <row r="606" spans="1:69">
      <c r="D606" s="16"/>
      <c r="E606" s="16"/>
      <c r="F606" s="16"/>
      <c r="G606" s="16"/>
      <c r="H606" s="16"/>
      <c r="I606" s="16"/>
      <c r="J606" s="2501"/>
      <c r="K606" s="2502"/>
      <c r="L606" s="2502"/>
      <c r="M606" s="2502"/>
      <c r="N606" s="2503"/>
      <c r="O606" s="2369"/>
      <c r="P606" s="2370"/>
      <c r="Q606" s="2370"/>
      <c r="R606" s="2370"/>
      <c r="S606" s="2371"/>
      <c r="T606" s="2369"/>
      <c r="U606" s="2370"/>
      <c r="V606" s="2370"/>
      <c r="W606" s="2370"/>
      <c r="X606" s="2371"/>
      <c r="Y606" s="2369"/>
      <c r="Z606" s="2370"/>
      <c r="AA606" s="2370"/>
      <c r="AB606" s="2370"/>
      <c r="AC606" s="2371"/>
      <c r="AD606" s="42"/>
      <c r="AF606" s="16"/>
      <c r="AG606" s="16"/>
      <c r="AH606" s="16"/>
      <c r="AI606" s="16"/>
      <c r="AJ606" s="16"/>
    </row>
    <row r="607" spans="1:69">
      <c r="D607" s="16"/>
      <c r="E607" s="16"/>
      <c r="F607" s="16"/>
      <c r="G607" s="16"/>
      <c r="H607" s="16"/>
      <c r="I607" s="16"/>
      <c r="J607" s="2398" t="s">
        <v>250</v>
      </c>
      <c r="K607" s="2399"/>
      <c r="L607" s="2399"/>
      <c r="M607" s="2399"/>
      <c r="N607" s="2400"/>
      <c r="O607" s="2308">
        <f>Application!CM627</f>
        <v>0</v>
      </c>
      <c r="P607" s="2309"/>
      <c r="Q607" s="2309"/>
      <c r="R607" s="2309"/>
      <c r="S607" s="2310"/>
      <c r="T607" s="2308">
        <f>Application!DR628</f>
        <v>0</v>
      </c>
      <c r="U607" s="2309"/>
      <c r="V607" s="2309"/>
      <c r="W607" s="2309"/>
      <c r="X607" s="2310"/>
      <c r="Y607" s="2401">
        <f t="shared" ref="Y607:Y612" si="8">IF(T607&gt;0,T607/O607,0)</f>
        <v>0</v>
      </c>
      <c r="Z607" s="2402"/>
      <c r="AA607" s="2402"/>
      <c r="AB607" s="2402"/>
      <c r="AC607" s="2403"/>
      <c r="AD607" s="42"/>
      <c r="AF607" s="16"/>
      <c r="AG607" s="16"/>
      <c r="AH607" s="16"/>
      <c r="AI607" s="16"/>
      <c r="AJ607" s="16"/>
    </row>
    <row r="608" spans="1:69">
      <c r="D608" s="16"/>
      <c r="E608" s="16"/>
      <c r="F608" s="16"/>
      <c r="G608" s="16"/>
      <c r="H608" s="16"/>
      <c r="I608" s="16"/>
      <c r="J608" s="2398" t="s">
        <v>36</v>
      </c>
      <c r="K608" s="2399"/>
      <c r="L608" s="2399"/>
      <c r="M608" s="2399"/>
      <c r="N608" s="2400"/>
      <c r="O608" s="2308">
        <f>Application!CH627</f>
        <v>0</v>
      </c>
      <c r="P608" s="2309"/>
      <c r="Q608" s="2309"/>
      <c r="R608" s="2309"/>
      <c r="S608" s="2310"/>
      <c r="T608" s="2308">
        <f>Application!DM628</f>
        <v>0</v>
      </c>
      <c r="U608" s="2309"/>
      <c r="V608" s="2309"/>
      <c r="W608" s="2309"/>
      <c r="X608" s="2310"/>
      <c r="Y608" s="2401">
        <f t="shared" si="8"/>
        <v>0</v>
      </c>
      <c r="Z608" s="2402"/>
      <c r="AA608" s="2402"/>
      <c r="AB608" s="2402"/>
      <c r="AC608" s="2403"/>
      <c r="AD608" s="42"/>
      <c r="AF608" s="16"/>
      <c r="AG608" s="16"/>
      <c r="AH608" s="16"/>
      <c r="AI608" s="16"/>
      <c r="AJ608" s="16"/>
    </row>
    <row r="609" spans="1:60">
      <c r="D609" s="16"/>
      <c r="E609" s="16"/>
      <c r="F609" s="16"/>
      <c r="G609" s="16"/>
      <c r="H609" s="16"/>
      <c r="I609" s="16"/>
      <c r="J609" s="2398" t="s">
        <v>292</v>
      </c>
      <c r="K609" s="2399"/>
      <c r="L609" s="2399"/>
      <c r="M609" s="2399"/>
      <c r="N609" s="2400"/>
      <c r="O609" s="2308">
        <f>Application!CC627</f>
        <v>12</v>
      </c>
      <c r="P609" s="2309"/>
      <c r="Q609" s="2309"/>
      <c r="R609" s="2309"/>
      <c r="S609" s="2310"/>
      <c r="T609" s="2308">
        <f>Application!DH628</f>
        <v>0</v>
      </c>
      <c r="U609" s="2309"/>
      <c r="V609" s="2309"/>
      <c r="W609" s="2309"/>
      <c r="X609" s="2310"/>
      <c r="Y609" s="2401">
        <f t="shared" si="8"/>
        <v>0</v>
      </c>
      <c r="Z609" s="2402"/>
      <c r="AA609" s="2402"/>
      <c r="AB609" s="2402"/>
      <c r="AC609" s="2403"/>
      <c r="AD609" s="16"/>
      <c r="AF609" s="16"/>
      <c r="AG609" s="16"/>
      <c r="AH609" s="16"/>
      <c r="AI609" s="16"/>
      <c r="AJ609" s="16"/>
      <c r="AN609" s="1100"/>
    </row>
    <row r="610" spans="1:60">
      <c r="D610" s="16"/>
      <c r="E610" s="16"/>
      <c r="F610" s="16"/>
      <c r="G610" s="16"/>
      <c r="H610" s="16"/>
      <c r="I610" s="16"/>
      <c r="J610" s="2398" t="s">
        <v>291</v>
      </c>
      <c r="K610" s="2399"/>
      <c r="L610" s="2399"/>
      <c r="M610" s="2399"/>
      <c r="N610" s="2400"/>
      <c r="O610" s="2308">
        <f>Application!BX627</f>
        <v>12</v>
      </c>
      <c r="P610" s="2309"/>
      <c r="Q610" s="2309"/>
      <c r="R610" s="2309"/>
      <c r="S610" s="2310"/>
      <c r="T610" s="2308">
        <f>Application!DC628</f>
        <v>0</v>
      </c>
      <c r="U610" s="2309"/>
      <c r="V610" s="2309"/>
      <c r="W610" s="2309"/>
      <c r="X610" s="2310"/>
      <c r="Y610" s="2401">
        <f t="shared" si="8"/>
        <v>0</v>
      </c>
      <c r="Z610" s="2402"/>
      <c r="AA610" s="2402"/>
      <c r="AB610" s="2402"/>
      <c r="AC610" s="2403"/>
      <c r="AD610" s="16"/>
      <c r="AF610" s="16"/>
      <c r="AG610" s="16"/>
      <c r="AH610" s="16"/>
      <c r="AI610" s="16"/>
      <c r="AJ610" s="16"/>
      <c r="AN610" s="1100"/>
      <c r="AO610" s="46"/>
      <c r="AP610" s="30"/>
      <c r="AQ610" s="30"/>
      <c r="AR610" s="30"/>
      <c r="AS610" s="30"/>
      <c r="AT610" s="30"/>
    </row>
    <row r="611" spans="1:60">
      <c r="D611" s="16"/>
      <c r="E611" s="16"/>
      <c r="F611" s="16"/>
      <c r="G611" s="16"/>
      <c r="H611" s="16"/>
      <c r="I611" s="16"/>
      <c r="J611" s="2398" t="s">
        <v>290</v>
      </c>
      <c r="K611" s="2399"/>
      <c r="L611" s="2399"/>
      <c r="M611" s="2399"/>
      <c r="N611" s="2400"/>
      <c r="O611" s="2308">
        <f>Application!BS627</f>
        <v>12</v>
      </c>
      <c r="P611" s="2309"/>
      <c r="Q611" s="2309"/>
      <c r="R611" s="2309"/>
      <c r="S611" s="2310"/>
      <c r="T611" s="2308">
        <f>Application!CX628</f>
        <v>0</v>
      </c>
      <c r="U611" s="2309"/>
      <c r="V611" s="2309"/>
      <c r="W611" s="2309"/>
      <c r="X611" s="2310"/>
      <c r="Y611" s="2401">
        <f t="shared" si="8"/>
        <v>0</v>
      </c>
      <c r="Z611" s="2402"/>
      <c r="AA611" s="2402"/>
      <c r="AB611" s="2402"/>
      <c r="AC611" s="2403"/>
      <c r="AD611" s="16"/>
      <c r="AF611" s="16"/>
      <c r="AG611" s="16"/>
      <c r="AH611" s="16"/>
      <c r="AI611" s="16"/>
      <c r="AJ611" s="16"/>
      <c r="AN611" s="1100"/>
      <c r="AQ611" s="30"/>
      <c r="AR611" s="30"/>
      <c r="AS611" s="30"/>
      <c r="AT611" s="30"/>
    </row>
    <row r="612" spans="1:60">
      <c r="D612" s="16"/>
      <c r="E612" s="16"/>
      <c r="F612" s="16"/>
      <c r="G612" s="16"/>
      <c r="H612" s="16"/>
      <c r="I612" s="16"/>
      <c r="J612" s="2398" t="s">
        <v>677</v>
      </c>
      <c r="K612" s="2399"/>
      <c r="L612" s="2399"/>
      <c r="M612" s="2399"/>
      <c r="N612" s="2400"/>
      <c r="O612" s="2308">
        <f>Application!BN627</f>
        <v>12</v>
      </c>
      <c r="P612" s="2309"/>
      <c r="Q612" s="2309"/>
      <c r="R612" s="2309"/>
      <c r="S612" s="2310"/>
      <c r="T612" s="2308">
        <f>Application!CS628</f>
        <v>12</v>
      </c>
      <c r="U612" s="2309"/>
      <c r="V612" s="2309"/>
      <c r="W612" s="2309"/>
      <c r="X612" s="2310"/>
      <c r="Y612" s="2401">
        <f t="shared" si="8"/>
        <v>1</v>
      </c>
      <c r="Z612" s="2402"/>
      <c r="AA612" s="2402"/>
      <c r="AB612" s="2402"/>
      <c r="AC612" s="2403"/>
      <c r="AD612" s="16"/>
      <c r="AF612" s="16"/>
      <c r="AG612" s="16"/>
      <c r="AH612" s="16"/>
      <c r="AI612" s="16"/>
      <c r="AJ612" s="16"/>
      <c r="AN612" s="1100"/>
      <c r="AQ612" s="30"/>
      <c r="AR612" s="30"/>
      <c r="AS612" s="30"/>
      <c r="AT612" s="30"/>
    </row>
    <row r="613" spans="1:60">
      <c r="D613" s="16"/>
      <c r="E613" s="16"/>
      <c r="F613" s="16"/>
      <c r="G613" s="16"/>
      <c r="H613" s="16"/>
      <c r="I613" s="16"/>
      <c r="J613" s="2541" t="s">
        <v>954</v>
      </c>
      <c r="K613" s="2542"/>
      <c r="L613" s="2542"/>
      <c r="M613" s="2542"/>
      <c r="N613" s="2543"/>
      <c r="O613" s="2538">
        <f>SUM(O607:S612)</f>
        <v>48</v>
      </c>
      <c r="P613" s="2539"/>
      <c r="Q613" s="2539"/>
      <c r="R613" s="2539"/>
      <c r="S613" s="2540"/>
      <c r="T613" s="2538">
        <f>SUM(T607:X612)</f>
        <v>12</v>
      </c>
      <c r="U613" s="2539"/>
      <c r="V613" s="2539"/>
      <c r="W613" s="2539"/>
      <c r="X613" s="2540"/>
      <c r="Y613" s="2494" t="s">
        <v>258</v>
      </c>
      <c r="Z613" s="2495"/>
      <c r="AA613" s="2495"/>
      <c r="AB613" s="2495"/>
      <c r="AC613" s="2496"/>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878" t="s">
        <v>1647</v>
      </c>
      <c r="B616" s="1879"/>
      <c r="C616" s="1879"/>
      <c r="D616" s="1879"/>
      <c r="E616" s="1879"/>
      <c r="F616" s="1879"/>
      <c r="G616" s="1879"/>
      <c r="H616" s="1879"/>
      <c r="I616" s="1879"/>
      <c r="J616" s="1879"/>
      <c r="K616" s="1879"/>
      <c r="L616" s="1879"/>
      <c r="M616" s="1879"/>
      <c r="N616" s="1879"/>
      <c r="O616" s="1879"/>
      <c r="P616" s="1879"/>
      <c r="Q616" s="1879"/>
      <c r="R616" s="1879"/>
      <c r="S616" s="1879"/>
      <c r="T616" s="1879"/>
      <c r="U616" s="1879"/>
      <c r="V616" s="1879"/>
      <c r="W616" s="1879"/>
      <c r="X616" s="1879"/>
      <c r="Y616" s="1879"/>
      <c r="Z616" s="1879"/>
      <c r="AA616" s="1879"/>
      <c r="AB616" s="1879"/>
      <c r="AC616" s="1879"/>
      <c r="AD616" s="1879"/>
      <c r="AE616" s="1879"/>
      <c r="AF616" s="1879"/>
      <c r="AG616" s="1879"/>
      <c r="AH616" s="1879"/>
      <c r="AI616" s="1880"/>
      <c r="AJ616" s="2530">
        <v>2</v>
      </c>
      <c r="AK616" s="2531"/>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65" t="s">
        <v>196</v>
      </c>
      <c r="B618" s="2365"/>
      <c r="C618" s="2365"/>
      <c r="D618" s="2365"/>
      <c r="E618" s="2365"/>
      <c r="F618" s="2365"/>
      <c r="G618" s="2365"/>
      <c r="H618" s="2365"/>
      <c r="I618" s="2365"/>
      <c r="J618" s="2365"/>
      <c r="K618" s="2365"/>
      <c r="L618" s="2365"/>
      <c r="M618" s="2365"/>
      <c r="N618" s="2365"/>
      <c r="O618" s="2365"/>
      <c r="P618" s="2365"/>
      <c r="Q618" s="2365"/>
      <c r="R618" s="2365"/>
      <c r="S618" s="2365"/>
      <c r="T618" s="2365"/>
      <c r="U618" s="2365"/>
      <c r="V618" s="2365"/>
      <c r="W618" s="2365"/>
      <c r="X618" s="2365"/>
      <c r="Y618" s="2365"/>
      <c r="Z618" s="2365"/>
      <c r="AA618" s="2365"/>
      <c r="AB618" s="2365"/>
      <c r="AC618" s="2365"/>
      <c r="AD618" s="2365"/>
      <c r="AE618" s="2365"/>
      <c r="AF618" s="2365"/>
      <c r="AG618" s="2365"/>
      <c r="AH618" s="2365"/>
      <c r="AI618" s="2365"/>
      <c r="AJ618" s="2365"/>
      <c r="AK618" s="2355">
        <f>IF($AC$592=0,0,$AC$592+$AJ$616)</f>
        <v>52</v>
      </c>
      <c r="AL618" s="2356"/>
      <c r="AM618" s="2357"/>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37" t="s">
        <v>1648</v>
      </c>
      <c r="C622" s="2537"/>
      <c r="D622" s="2537"/>
      <c r="E622" s="2537"/>
      <c r="F622" s="2537"/>
      <c r="G622" s="2537"/>
      <c r="H622" s="2537"/>
      <c r="I622" s="2537"/>
      <c r="J622" s="2537"/>
      <c r="K622" s="2537"/>
      <c r="L622" s="2537"/>
      <c r="M622" s="2537"/>
      <c r="N622" s="2537"/>
      <c r="O622" s="2537"/>
      <c r="P622" s="2537"/>
      <c r="Q622" s="2537"/>
      <c r="R622" s="2537"/>
      <c r="S622" s="2537"/>
      <c r="T622" s="2537"/>
      <c r="U622" s="2537"/>
      <c r="V622" s="2537"/>
      <c r="W622" s="2537"/>
      <c r="X622" s="2537"/>
      <c r="Y622" s="2537"/>
      <c r="Z622" s="2537"/>
      <c r="AA622" s="2537"/>
      <c r="AB622" s="2537"/>
      <c r="AC622" s="2537"/>
      <c r="AD622" s="2537"/>
      <c r="AE622" s="2537"/>
      <c r="AF622" s="2537"/>
      <c r="AG622" s="2537"/>
      <c r="AH622" s="2537"/>
      <c r="AI622" s="27"/>
      <c r="AJ622" s="46"/>
      <c r="AK622" s="153"/>
      <c r="AL622" s="153"/>
      <c r="AM622" s="153"/>
      <c r="AN622" s="1100"/>
      <c r="AO622" s="66"/>
      <c r="AP622" s="30"/>
      <c r="AQ622" s="30"/>
      <c r="AR622" s="30"/>
      <c r="AS622" s="30"/>
      <c r="AT622" s="30"/>
    </row>
    <row r="623" spans="1:60" ht="22.7" customHeight="1">
      <c r="A623" s="28"/>
      <c r="B623" s="2537"/>
      <c r="C623" s="2537"/>
      <c r="D623" s="2537"/>
      <c r="E623" s="2537"/>
      <c r="F623" s="2537"/>
      <c r="G623" s="2537"/>
      <c r="H623" s="2537"/>
      <c r="I623" s="2537"/>
      <c r="J623" s="2537"/>
      <c r="K623" s="2537"/>
      <c r="L623" s="2537"/>
      <c r="M623" s="2537"/>
      <c r="N623" s="2537"/>
      <c r="O623" s="2537"/>
      <c r="P623" s="2537"/>
      <c r="Q623" s="2537"/>
      <c r="R623" s="2537"/>
      <c r="S623" s="2537"/>
      <c r="T623" s="2537"/>
      <c r="U623" s="2537"/>
      <c r="V623" s="2537"/>
      <c r="W623" s="2537"/>
      <c r="X623" s="2537"/>
      <c r="Y623" s="2537"/>
      <c r="Z623" s="2537"/>
      <c r="AA623" s="2537"/>
      <c r="AB623" s="2537"/>
      <c r="AC623" s="2537"/>
      <c r="AD623" s="2537"/>
      <c r="AE623" s="2537"/>
      <c r="AF623" s="2537"/>
      <c r="AG623" s="2537"/>
      <c r="AH623" s="2537"/>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77" t="s">
        <v>119</v>
      </c>
      <c r="D626" s="1677"/>
      <c r="E626" s="293"/>
      <c r="F626" s="2504" t="s">
        <v>2239</v>
      </c>
      <c r="G626" s="2505"/>
      <c r="H626" s="2505"/>
      <c r="I626" s="2505"/>
      <c r="J626" s="2505"/>
      <c r="K626" s="2505"/>
      <c r="L626" s="2505"/>
      <c r="M626" s="2505"/>
      <c r="N626" s="2505"/>
      <c r="O626" s="2505"/>
      <c r="P626" s="2505"/>
      <c r="Q626" s="2505"/>
      <c r="R626" s="2505"/>
      <c r="S626" s="2505"/>
      <c r="T626" s="2505"/>
      <c r="U626" s="2505"/>
      <c r="V626" s="2505"/>
      <c r="W626" s="2505"/>
      <c r="X626" s="2505"/>
      <c r="Y626" s="2505"/>
      <c r="Z626" s="2505"/>
      <c r="AA626" s="2505"/>
      <c r="AB626" s="2505"/>
      <c r="AC626" s="2505"/>
      <c r="AD626" s="2506"/>
      <c r="AE626" s="46"/>
      <c r="AF626" s="265"/>
      <c r="AG626" s="2497" t="s">
        <v>1021</v>
      </c>
      <c r="AH626" s="2497"/>
      <c r="AI626" s="2497"/>
      <c r="AJ626" s="2497"/>
      <c r="AK626" s="153"/>
      <c r="AL626" s="153"/>
      <c r="AM626" s="153"/>
      <c r="AN626" s="1100"/>
      <c r="AO626" s="46"/>
      <c r="AS626" s="30"/>
      <c r="AT626" s="30"/>
    </row>
    <row r="627" spans="1:46" ht="13.7" customHeight="1">
      <c r="A627" s="28"/>
      <c r="B627" s="203"/>
      <c r="C627" s="77"/>
      <c r="D627" s="46"/>
      <c r="E627" s="293"/>
      <c r="F627" s="2507"/>
      <c r="G627" s="2508"/>
      <c r="H627" s="2508"/>
      <c r="I627" s="2508"/>
      <c r="J627" s="2508"/>
      <c r="K627" s="2508"/>
      <c r="L627" s="2508"/>
      <c r="M627" s="2508"/>
      <c r="N627" s="2508"/>
      <c r="O627" s="2508"/>
      <c r="P627" s="2508"/>
      <c r="Q627" s="2508"/>
      <c r="R627" s="2508"/>
      <c r="S627" s="2508"/>
      <c r="T627" s="2508"/>
      <c r="U627" s="2508"/>
      <c r="V627" s="2508"/>
      <c r="W627" s="2508"/>
      <c r="X627" s="2508"/>
      <c r="Y627" s="2508"/>
      <c r="Z627" s="2508"/>
      <c r="AA627" s="2508"/>
      <c r="AB627" s="2508"/>
      <c r="AC627" s="2508"/>
      <c r="AD627" s="2509"/>
      <c r="AE627" s="46"/>
      <c r="AF627" s="265"/>
      <c r="AG627" s="265"/>
      <c r="AH627" s="265"/>
      <c r="AI627" s="265"/>
      <c r="AJ627" s="46"/>
      <c r="AK627" s="153"/>
      <c r="AL627" s="153"/>
      <c r="AM627" s="153"/>
      <c r="AN627" s="1100"/>
      <c r="AO627" s="46"/>
      <c r="AS627" s="30"/>
      <c r="AT627" s="30"/>
    </row>
    <row r="628" spans="1:46">
      <c r="A628" s="28"/>
      <c r="B628" s="203"/>
      <c r="C628" s="77"/>
      <c r="D628" s="46"/>
      <c r="E628" s="293"/>
      <c r="F628" s="2510"/>
      <c r="G628" s="2511"/>
      <c r="H628" s="2511"/>
      <c r="I628" s="2511"/>
      <c r="J628" s="2511"/>
      <c r="K628" s="2511"/>
      <c r="L628" s="2511"/>
      <c r="M628" s="2511"/>
      <c r="N628" s="2511"/>
      <c r="O628" s="2511"/>
      <c r="P628" s="2511"/>
      <c r="Q628" s="2511"/>
      <c r="R628" s="2511"/>
      <c r="S628" s="2511"/>
      <c r="T628" s="2511"/>
      <c r="U628" s="2511"/>
      <c r="V628" s="2511"/>
      <c r="W628" s="2511"/>
      <c r="X628" s="2511"/>
      <c r="Y628" s="2511"/>
      <c r="Z628" s="2511"/>
      <c r="AA628" s="2511"/>
      <c r="AB628" s="2511"/>
      <c r="AC628" s="2511"/>
      <c r="AD628" s="2512"/>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37" t="s">
        <v>2007</v>
      </c>
      <c r="C630" s="2537"/>
      <c r="D630" s="2537"/>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2537"/>
      <c r="AF630" s="2537"/>
      <c r="AG630" s="2537"/>
      <c r="AH630" s="2537"/>
      <c r="AI630" s="265"/>
      <c r="AJ630" s="46"/>
      <c r="AK630" s="153"/>
      <c r="AL630" s="153"/>
      <c r="AM630" s="153"/>
    </row>
    <row r="631" spans="1:46" ht="13.7" customHeight="1">
      <c r="B631" s="2537"/>
      <c r="C631" s="2537"/>
      <c r="D631" s="2537"/>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2537"/>
      <c r="AF631" s="2537"/>
      <c r="AG631" s="2537"/>
      <c r="AH631" s="2537"/>
      <c r="AI631" s="245"/>
      <c r="AJ631" s="46"/>
      <c r="AK631" s="153"/>
      <c r="AL631" s="153"/>
      <c r="AM631" s="153"/>
    </row>
    <row r="632" spans="1:46" ht="13.7" customHeight="1">
      <c r="A632" s="263"/>
      <c r="B632" s="2537"/>
      <c r="C632" s="2537"/>
      <c r="D632" s="2537"/>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2537"/>
      <c r="AF632" s="2537"/>
      <c r="AG632" s="2537"/>
      <c r="AH632" s="2537"/>
      <c r="AI632" s="245"/>
      <c r="AJ632" s="46"/>
      <c r="AK632" s="153"/>
      <c r="AL632" s="153"/>
      <c r="AM632" s="153"/>
      <c r="AN632" s="124"/>
    </row>
    <row r="633" spans="1:46" ht="13.7" customHeight="1">
      <c r="A633" s="46"/>
      <c r="B633" s="2537"/>
      <c r="C633" s="2537"/>
      <c r="D633" s="2537"/>
      <c r="E633" s="2537"/>
      <c r="F633" s="2537"/>
      <c r="G633" s="2537"/>
      <c r="H633" s="2537"/>
      <c r="I633" s="2537"/>
      <c r="J633" s="2537"/>
      <c r="K633" s="2537"/>
      <c r="L633" s="2537"/>
      <c r="M633" s="2537"/>
      <c r="N633" s="2537"/>
      <c r="O633" s="2537"/>
      <c r="P633" s="2537"/>
      <c r="Q633" s="2537"/>
      <c r="R633" s="2537"/>
      <c r="S633" s="2537"/>
      <c r="T633" s="2537"/>
      <c r="U633" s="2537"/>
      <c r="V633" s="2537"/>
      <c r="W633" s="2537"/>
      <c r="X633" s="2537"/>
      <c r="Y633" s="2537"/>
      <c r="Z633" s="2537"/>
      <c r="AA633" s="2537"/>
      <c r="AB633" s="2537"/>
      <c r="AC633" s="2537"/>
      <c r="AD633" s="2537"/>
      <c r="AE633" s="2537"/>
      <c r="AF633" s="2537"/>
      <c r="AG633" s="2537"/>
      <c r="AH633" s="2537"/>
      <c r="AI633" s="245"/>
      <c r="AJ633" s="46"/>
      <c r="AK633" s="153"/>
      <c r="AL633" s="153"/>
      <c r="AM633" s="153"/>
      <c r="AN633" s="124"/>
    </row>
    <row r="634" spans="1:46" ht="13.7" customHeight="1">
      <c r="A634" s="46"/>
      <c r="B634" s="2537"/>
      <c r="C634" s="2537"/>
      <c r="D634" s="2537"/>
      <c r="E634" s="2537"/>
      <c r="F634" s="2537"/>
      <c r="G634" s="2537"/>
      <c r="H634" s="2537"/>
      <c r="I634" s="2537"/>
      <c r="J634" s="2537"/>
      <c r="K634" s="2537"/>
      <c r="L634" s="2537"/>
      <c r="M634" s="2537"/>
      <c r="N634" s="2537"/>
      <c r="O634" s="2537"/>
      <c r="P634" s="2537"/>
      <c r="Q634" s="2537"/>
      <c r="R634" s="2537"/>
      <c r="S634" s="2537"/>
      <c r="T634" s="2537"/>
      <c r="U634" s="2537"/>
      <c r="V634" s="2537"/>
      <c r="W634" s="2537"/>
      <c r="X634" s="2537"/>
      <c r="Y634" s="2537"/>
      <c r="Z634" s="2537"/>
      <c r="AA634" s="2537"/>
      <c r="AB634" s="2537"/>
      <c r="AC634" s="2537"/>
      <c r="AD634" s="2537"/>
      <c r="AE634" s="2537"/>
      <c r="AF634" s="2537"/>
      <c r="AG634" s="2537"/>
      <c r="AH634" s="2537"/>
      <c r="AI634" s="245"/>
      <c r="AJ634" s="46"/>
      <c r="AK634" s="153"/>
      <c r="AL634" s="153"/>
      <c r="AM634" s="153"/>
      <c r="AN634" s="124"/>
    </row>
    <row r="635" spans="1:46" ht="13.7" customHeight="1">
      <c r="A635" s="263"/>
      <c r="B635" s="2537"/>
      <c r="C635" s="2537"/>
      <c r="D635" s="2537"/>
      <c r="E635" s="2537"/>
      <c r="F635" s="2537"/>
      <c r="G635" s="2537"/>
      <c r="H635" s="2537"/>
      <c r="I635" s="2537"/>
      <c r="J635" s="2537"/>
      <c r="K635" s="2537"/>
      <c r="L635" s="2537"/>
      <c r="M635" s="2537"/>
      <c r="N635" s="2537"/>
      <c r="O635" s="2537"/>
      <c r="P635" s="2537"/>
      <c r="Q635" s="2537"/>
      <c r="R635" s="2537"/>
      <c r="S635" s="2537"/>
      <c r="T635" s="2537"/>
      <c r="U635" s="2537"/>
      <c r="V635" s="2537"/>
      <c r="W635" s="2537"/>
      <c r="X635" s="2537"/>
      <c r="Y635" s="2537"/>
      <c r="Z635" s="2537"/>
      <c r="AA635" s="2537"/>
      <c r="AB635" s="2537"/>
      <c r="AC635" s="2537"/>
      <c r="AD635" s="2537"/>
      <c r="AE635" s="2537"/>
      <c r="AF635" s="2537"/>
      <c r="AG635" s="2537"/>
      <c r="AH635" s="2537"/>
      <c r="AI635" s="245"/>
      <c r="AJ635" s="46"/>
      <c r="AK635" s="153"/>
      <c r="AL635" s="153"/>
      <c r="AM635" s="153"/>
      <c r="AN635" s="124"/>
    </row>
    <row r="636" spans="1:46" ht="13.7" customHeight="1">
      <c r="A636" s="263"/>
      <c r="B636" s="2537"/>
      <c r="C636" s="2537"/>
      <c r="D636" s="2537"/>
      <c r="E636" s="2537"/>
      <c r="F636" s="2537"/>
      <c r="G636" s="2537"/>
      <c r="H636" s="2537"/>
      <c r="I636" s="2537"/>
      <c r="J636" s="2537"/>
      <c r="K636" s="2537"/>
      <c r="L636" s="2537"/>
      <c r="M636" s="2537"/>
      <c r="N636" s="2537"/>
      <c r="O636" s="2537"/>
      <c r="P636" s="2537"/>
      <c r="Q636" s="2537"/>
      <c r="R636" s="2537"/>
      <c r="S636" s="2537"/>
      <c r="T636" s="2537"/>
      <c r="U636" s="2537"/>
      <c r="V636" s="2537"/>
      <c r="W636" s="2537"/>
      <c r="X636" s="2537"/>
      <c r="Y636" s="2537"/>
      <c r="Z636" s="2537"/>
      <c r="AA636" s="2537"/>
      <c r="AB636" s="2537"/>
      <c r="AC636" s="2537"/>
      <c r="AD636" s="2537"/>
      <c r="AE636" s="2537"/>
      <c r="AF636" s="2537"/>
      <c r="AG636" s="2537"/>
      <c r="AH636" s="2537"/>
      <c r="AI636" s="245"/>
      <c r="AJ636" s="46"/>
      <c r="AK636" s="153"/>
      <c r="AL636" s="153"/>
      <c r="AM636" s="153"/>
      <c r="AN636" s="124"/>
    </row>
    <row r="637" spans="1:46" ht="13.7" customHeight="1">
      <c r="A637" s="263"/>
      <c r="B637" s="2537"/>
      <c r="C637" s="2537"/>
      <c r="D637" s="2537"/>
      <c r="E637" s="2537"/>
      <c r="F637" s="2537"/>
      <c r="G637" s="2537"/>
      <c r="H637" s="2537"/>
      <c r="I637" s="2537"/>
      <c r="J637" s="2537"/>
      <c r="K637" s="2537"/>
      <c r="L637" s="2537"/>
      <c r="M637" s="2537"/>
      <c r="N637" s="2537"/>
      <c r="O637" s="2537"/>
      <c r="P637" s="2537"/>
      <c r="Q637" s="2537"/>
      <c r="R637" s="2537"/>
      <c r="S637" s="2537"/>
      <c r="T637" s="2537"/>
      <c r="U637" s="2537"/>
      <c r="V637" s="2537"/>
      <c r="W637" s="2537"/>
      <c r="X637" s="2537"/>
      <c r="Y637" s="2537"/>
      <c r="Z637" s="2537"/>
      <c r="AA637" s="2537"/>
      <c r="AB637" s="2537"/>
      <c r="AC637" s="2537"/>
      <c r="AD637" s="2537"/>
      <c r="AE637" s="2537"/>
      <c r="AF637" s="2537"/>
      <c r="AG637" s="2537"/>
      <c r="AH637" s="2537"/>
      <c r="AI637" s="245"/>
      <c r="AJ637" s="46"/>
      <c r="AK637" s="153"/>
      <c r="AL637" s="153"/>
      <c r="AM637" s="153"/>
      <c r="AN637" s="124"/>
    </row>
    <row r="638" spans="1:46" ht="13.7" customHeight="1">
      <c r="A638" s="263"/>
      <c r="B638" s="2537"/>
      <c r="C638" s="2537"/>
      <c r="D638" s="2537"/>
      <c r="E638" s="2537"/>
      <c r="F638" s="2537"/>
      <c r="G638" s="2537"/>
      <c r="H638" s="2537"/>
      <c r="I638" s="2537"/>
      <c r="J638" s="2537"/>
      <c r="K638" s="2537"/>
      <c r="L638" s="2537"/>
      <c r="M638" s="2537"/>
      <c r="N638" s="2537"/>
      <c r="O638" s="2537"/>
      <c r="P638" s="2537"/>
      <c r="Q638" s="2537"/>
      <c r="R638" s="2537"/>
      <c r="S638" s="2537"/>
      <c r="T638" s="2537"/>
      <c r="U638" s="2537"/>
      <c r="V638" s="2537"/>
      <c r="W638" s="2537"/>
      <c r="X638" s="2537"/>
      <c r="Y638" s="2537"/>
      <c r="Z638" s="2537"/>
      <c r="AA638" s="2537"/>
      <c r="AB638" s="2537"/>
      <c r="AC638" s="2537"/>
      <c r="AD638" s="2537"/>
      <c r="AE638" s="2537"/>
      <c r="AF638" s="2537"/>
      <c r="AG638" s="2537"/>
      <c r="AH638" s="2537"/>
      <c r="AI638" s="245"/>
      <c r="AJ638" s="46"/>
      <c r="AK638" s="153"/>
      <c r="AL638" s="153"/>
      <c r="AM638" s="153"/>
      <c r="AN638" s="124"/>
    </row>
    <row r="639" spans="1:46">
      <c r="A639" s="263"/>
      <c r="B639" s="2537"/>
      <c r="C639" s="2537"/>
      <c r="D639" s="2537"/>
      <c r="E639" s="2537"/>
      <c r="F639" s="2537"/>
      <c r="G639" s="2537"/>
      <c r="H639" s="2537"/>
      <c r="I639" s="2537"/>
      <c r="J639" s="2537"/>
      <c r="K639" s="2537"/>
      <c r="L639" s="2537"/>
      <c r="M639" s="2537"/>
      <c r="N639" s="2537"/>
      <c r="O639" s="2537"/>
      <c r="P639" s="2537"/>
      <c r="Q639" s="2537"/>
      <c r="R639" s="2537"/>
      <c r="S639" s="2537"/>
      <c r="T639" s="2537"/>
      <c r="U639" s="2537"/>
      <c r="V639" s="2537"/>
      <c r="W639" s="2537"/>
      <c r="X639" s="2537"/>
      <c r="Y639" s="2537"/>
      <c r="Z639" s="2537"/>
      <c r="AA639" s="2537"/>
      <c r="AB639" s="2537"/>
      <c r="AC639" s="2537"/>
      <c r="AD639" s="2537"/>
      <c r="AE639" s="2537"/>
      <c r="AF639" s="2537"/>
      <c r="AG639" s="2537"/>
      <c r="AH639" s="2537"/>
      <c r="AI639" s="245"/>
      <c r="AJ639" s="46"/>
      <c r="AK639" s="153"/>
      <c r="AL639" s="153"/>
      <c r="AM639" s="153"/>
      <c r="AN639" s="124"/>
    </row>
    <row r="640" spans="1:46">
      <c r="A640" s="263"/>
      <c r="B640" s="2537"/>
      <c r="C640" s="2537"/>
      <c r="D640" s="2537"/>
      <c r="E640" s="2537"/>
      <c r="F640" s="2537"/>
      <c r="G640" s="2537"/>
      <c r="H640" s="2537"/>
      <c r="I640" s="2537"/>
      <c r="J640" s="2537"/>
      <c r="K640" s="2537"/>
      <c r="L640" s="2537"/>
      <c r="M640" s="2537"/>
      <c r="N640" s="2537"/>
      <c r="O640" s="2537"/>
      <c r="P640" s="2537"/>
      <c r="Q640" s="2537"/>
      <c r="R640" s="2537"/>
      <c r="S640" s="2537"/>
      <c r="T640" s="2537"/>
      <c r="U640" s="2537"/>
      <c r="V640" s="2537"/>
      <c r="W640" s="2537"/>
      <c r="X640" s="2537"/>
      <c r="Y640" s="2537"/>
      <c r="Z640" s="2537"/>
      <c r="AA640" s="2537"/>
      <c r="AB640" s="2537"/>
      <c r="AC640" s="2537"/>
      <c r="AD640" s="2537"/>
      <c r="AE640" s="2537"/>
      <c r="AF640" s="2537"/>
      <c r="AG640" s="2537"/>
      <c r="AH640" s="2537"/>
      <c r="AI640" s="245"/>
      <c r="AJ640" s="46"/>
      <c r="AK640" s="153"/>
      <c r="AL640" s="153"/>
      <c r="AM640" s="153"/>
      <c r="AN640" s="124"/>
    </row>
    <row r="641" spans="1:60">
      <c r="A641" s="263"/>
      <c r="B641" s="2537"/>
      <c r="C641" s="2537"/>
      <c r="D641" s="2537"/>
      <c r="E641" s="2537"/>
      <c r="F641" s="2537"/>
      <c r="G641" s="2537"/>
      <c r="H641" s="2537"/>
      <c r="I641" s="2537"/>
      <c r="J641" s="2537"/>
      <c r="K641" s="2537"/>
      <c r="L641" s="2537"/>
      <c r="M641" s="2537"/>
      <c r="N641" s="2537"/>
      <c r="O641" s="2537"/>
      <c r="P641" s="2537"/>
      <c r="Q641" s="2537"/>
      <c r="R641" s="2537"/>
      <c r="S641" s="2537"/>
      <c r="T641" s="2537"/>
      <c r="U641" s="2537"/>
      <c r="V641" s="2537"/>
      <c r="W641" s="2537"/>
      <c r="X641" s="2537"/>
      <c r="Y641" s="2537"/>
      <c r="Z641" s="2537"/>
      <c r="AA641" s="2537"/>
      <c r="AB641" s="2537"/>
      <c r="AC641" s="2537"/>
      <c r="AD641" s="2537"/>
      <c r="AE641" s="2537"/>
      <c r="AF641" s="2537"/>
      <c r="AG641" s="2537"/>
      <c r="AH641" s="2537"/>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55">
        <f>IF($C$626="yes",10,0)</f>
        <v>10</v>
      </c>
      <c r="AL643" s="2356"/>
      <c r="AM643" s="235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77" t="s">
        <v>119</v>
      </c>
      <c r="D648" s="1677"/>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77" t="s">
        <v>135</v>
      </c>
      <c r="D653" s="1677"/>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7" t="s">
        <v>135</v>
      </c>
      <c r="D657" s="1677"/>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7" t="s">
        <v>135</v>
      </c>
      <c r="D661" s="167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7" t="s">
        <v>135</v>
      </c>
      <c r="D663" s="1677"/>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7" t="s">
        <v>135</v>
      </c>
      <c r="D668" s="1677"/>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55">
        <f>$AO$654</f>
        <v>2</v>
      </c>
      <c r="AL671" s="2356"/>
      <c r="AM671" s="235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21" t="s">
        <v>784</v>
      </c>
      <c r="B674" s="2521"/>
      <c r="C674" s="2521"/>
      <c r="D674" s="2521"/>
      <c r="E674" s="2521"/>
      <c r="F674" s="2521"/>
      <c r="G674" s="2521"/>
      <c r="H674" s="2521"/>
      <c r="I674" s="2521"/>
      <c r="J674" s="2521"/>
      <c r="K674" s="2521"/>
      <c r="L674" s="2521"/>
      <c r="M674" s="2521"/>
      <c r="N674" s="2521"/>
      <c r="O674" s="2521"/>
      <c r="P674" s="2521"/>
      <c r="Q674" s="2521"/>
      <c r="R674" s="2521"/>
      <c r="S674" s="2521"/>
      <c r="T674" s="2521"/>
      <c r="U674" s="2521"/>
      <c r="V674" s="2521"/>
      <c r="W674" s="2521"/>
      <c r="X674" s="2521"/>
      <c r="Y674" s="2521"/>
      <c r="Z674" s="2521"/>
      <c r="AA674" s="2521"/>
      <c r="AB674" s="2521"/>
      <c r="AC674" s="2521"/>
      <c r="AD674" s="2521"/>
      <c r="AE674" s="2521"/>
      <c r="AF674" s="2521"/>
      <c r="AG674" s="2521"/>
      <c r="AH674" s="2521"/>
      <c r="AI674" s="2521"/>
      <c r="AJ674" s="2521"/>
      <c r="AK674" s="2521"/>
      <c r="AL674" s="2521"/>
      <c r="AM674" s="2521"/>
    </row>
    <row r="675" spans="1:43">
      <c r="A675" s="2522"/>
      <c r="B675" s="2522"/>
      <c r="C675" s="2522"/>
      <c r="D675" s="2522"/>
      <c r="E675" s="2522"/>
      <c r="F675" s="2522"/>
      <c r="G675" s="2522"/>
      <c r="H675" s="2522"/>
      <c r="I675" s="2522"/>
      <c r="J675" s="2522"/>
      <c r="K675" s="2522"/>
      <c r="L675" s="2522"/>
      <c r="M675" s="2522"/>
      <c r="N675" s="2522"/>
      <c r="O675" s="2522"/>
      <c r="P675" s="2522"/>
      <c r="Q675" s="2522"/>
      <c r="R675" s="2522"/>
      <c r="S675" s="2522"/>
      <c r="T675" s="2522"/>
      <c r="U675" s="2522"/>
      <c r="V675" s="2522"/>
      <c r="W675" s="2522"/>
      <c r="X675" s="2522"/>
      <c r="Y675" s="2522"/>
      <c r="Z675" s="2522"/>
      <c r="AA675" s="2522"/>
      <c r="AB675" s="2522"/>
      <c r="AC675" s="2522"/>
      <c r="AD675" s="2522"/>
      <c r="AE675" s="2522"/>
      <c r="AF675" s="2522"/>
      <c r="AG675" s="2522"/>
      <c r="AH675" s="2522"/>
      <c r="AI675" s="2522"/>
      <c r="AJ675" s="2522"/>
      <c r="AK675" s="2522"/>
      <c r="AL675" s="2522"/>
      <c r="AM675" s="2522"/>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88" t="s">
        <v>2149</v>
      </c>
      <c r="B677" s="2388"/>
      <c r="C677" s="2388"/>
      <c r="D677" s="2388"/>
      <c r="E677" s="2388"/>
      <c r="F677" s="2388"/>
      <c r="G677" s="2388"/>
      <c r="H677" s="2388"/>
      <c r="I677" s="2388"/>
      <c r="J677" s="2388"/>
      <c r="K677" s="2388"/>
      <c r="L677" s="2388"/>
      <c r="M677" s="2388"/>
      <c r="N677" s="2388"/>
      <c r="O677" s="2388"/>
      <c r="P677" s="2388"/>
      <c r="Q677" s="2388"/>
      <c r="R677" s="2388"/>
      <c r="S677" s="2388"/>
      <c r="T677" s="2388"/>
      <c r="U677" s="2388"/>
      <c r="V677" s="2388"/>
      <c r="W677" s="2388"/>
      <c r="X677" s="2388"/>
      <c r="Y677" s="2388"/>
      <c r="Z677" s="2388"/>
      <c r="AA677" s="2388"/>
      <c r="AB677" s="2388"/>
      <c r="AC677" s="2388"/>
      <c r="AD677" s="2388"/>
      <c r="AE677" s="2388"/>
      <c r="AF677" s="2388"/>
      <c r="AG677" s="2388"/>
      <c r="AH677" s="2388"/>
      <c r="AI677" s="2388"/>
      <c r="AJ677" s="2388"/>
      <c r="AK677" s="2388"/>
      <c r="AL677" s="2388"/>
      <c r="AM677" s="2388"/>
      <c r="AP677" s="732"/>
      <c r="AQ677" s="728"/>
    </row>
    <row r="678" spans="1:43">
      <c r="A678" s="2388" t="s">
        <v>2150</v>
      </c>
      <c r="B678" s="2388"/>
      <c r="C678" s="2388"/>
      <c r="D678" s="2388"/>
      <c r="E678" s="2388"/>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2388"/>
      <c r="AE678" s="2388"/>
      <c r="AF678" s="2388"/>
      <c r="AG678" s="2388"/>
      <c r="AH678" s="2388"/>
      <c r="AI678" s="2388"/>
      <c r="AJ678" s="2388"/>
      <c r="AK678" s="2388"/>
      <c r="AL678" s="2388"/>
      <c r="AM678" s="2388"/>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95" t="s">
        <v>260</v>
      </c>
      <c r="U679" s="2077"/>
      <c r="V679" s="2077"/>
      <c r="W679" s="2077"/>
      <c r="X679" s="2077"/>
      <c r="Y679" s="2078"/>
      <c r="Z679" s="2395" t="s">
        <v>259</v>
      </c>
      <c r="AA679" s="2077"/>
      <c r="AB679" s="2077"/>
      <c r="AC679" s="2077"/>
      <c r="AD679" s="2077"/>
      <c r="AE679" s="2078"/>
      <c r="AF679" s="2395" t="s">
        <v>261</v>
      </c>
      <c r="AG679" s="2077"/>
      <c r="AH679" s="2077"/>
      <c r="AI679" s="2077"/>
      <c r="AJ679" s="2077"/>
      <c r="AK679" s="207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96"/>
      <c r="U680" s="2079"/>
      <c r="V680" s="2079"/>
      <c r="W680" s="2079"/>
      <c r="X680" s="2079"/>
      <c r="Y680" s="2080"/>
      <c r="Z680" s="2396"/>
      <c r="AA680" s="2079"/>
      <c r="AB680" s="2079"/>
      <c r="AC680" s="2079"/>
      <c r="AD680" s="2079"/>
      <c r="AE680" s="2080"/>
      <c r="AF680" s="2396"/>
      <c r="AG680" s="2079"/>
      <c r="AH680" s="2079"/>
      <c r="AI680" s="2079"/>
      <c r="AJ680" s="2079"/>
      <c r="AK680" s="2080"/>
      <c r="AL680" s="1259"/>
      <c r="AM680" s="458"/>
      <c r="AO680" s="728">
        <f>IF(T687&gt;10,10,T687)</f>
        <v>10</v>
      </c>
      <c r="AP680" s="728"/>
      <c r="AQ680" s="728"/>
    </row>
    <row r="681" spans="1:43">
      <c r="A681" s="935" t="s">
        <v>715</v>
      </c>
      <c r="B681" s="2391" t="s">
        <v>297</v>
      </c>
      <c r="C681" s="2391"/>
      <c r="D681" s="2391"/>
      <c r="E681" s="2391"/>
      <c r="F681" s="2391"/>
      <c r="G681" s="2391"/>
      <c r="H681" s="2391"/>
      <c r="I681" s="2391"/>
      <c r="J681" s="2391"/>
      <c r="K681" s="2391"/>
      <c r="L681" s="2391"/>
      <c r="M681" s="2391"/>
      <c r="N681" s="2391"/>
      <c r="O681" s="2391"/>
      <c r="P681" s="2391"/>
      <c r="Q681" s="2391"/>
      <c r="R681" s="2391"/>
      <c r="S681" s="2392"/>
      <c r="T681" s="2417">
        <f>SUM(T682:Y683)</f>
        <v>10</v>
      </c>
      <c r="U681" s="2417"/>
      <c r="V681" s="2417"/>
      <c r="W681" s="2417"/>
      <c r="X681" s="2417"/>
      <c r="Y681" s="2417"/>
      <c r="Z681" s="1860">
        <v>10</v>
      </c>
      <c r="AA681" s="1860"/>
      <c r="AB681" s="1860"/>
      <c r="AC681" s="1860"/>
      <c r="AD681" s="1860"/>
      <c r="AE681" s="1860"/>
      <c r="AF681" s="1860">
        <f>IF(T681&gt;Z681,Z681,T681)</f>
        <v>10</v>
      </c>
      <c r="AG681" s="1860"/>
      <c r="AH681" s="1860"/>
      <c r="AI681" s="1860"/>
      <c r="AJ681" s="1860"/>
      <c r="AK681" s="1860"/>
      <c r="AL681" s="1259"/>
      <c r="AM681" s="458"/>
    </row>
    <row r="682" spans="1:43">
      <c r="A682" s="937"/>
      <c r="B682" s="938"/>
      <c r="C682" s="946"/>
      <c r="D682" s="936" t="s">
        <v>232</v>
      </c>
      <c r="E682" s="2393" t="s">
        <v>262</v>
      </c>
      <c r="F682" s="2393"/>
      <c r="G682" s="2393"/>
      <c r="H682" s="2393"/>
      <c r="I682" s="2393"/>
      <c r="J682" s="2393"/>
      <c r="K682" s="2393"/>
      <c r="L682" s="2393"/>
      <c r="M682" s="2393"/>
      <c r="N682" s="2393"/>
      <c r="O682" s="2393"/>
      <c r="P682" s="2393"/>
      <c r="Q682" s="2393"/>
      <c r="R682" s="2393"/>
      <c r="S682" s="2394"/>
      <c r="T682" s="2397">
        <f>AJ31</f>
        <v>7</v>
      </c>
      <c r="U682" s="2397"/>
      <c r="V682" s="2397"/>
      <c r="W682" s="2397"/>
      <c r="X682" s="2397"/>
      <c r="Y682" s="2397"/>
      <c r="Z682" s="2421">
        <v>7</v>
      </c>
      <c r="AA682" s="2421"/>
      <c r="AB682" s="2421"/>
      <c r="AC682" s="2421"/>
      <c r="AD682" s="2421"/>
      <c r="AE682" s="2421"/>
      <c r="AF682" s="2523"/>
      <c r="AG682" s="2523"/>
      <c r="AH682" s="2523"/>
      <c r="AI682" s="2523"/>
      <c r="AJ682" s="2523"/>
      <c r="AK682" s="2523"/>
      <c r="AL682" s="1259"/>
      <c r="AM682" s="458"/>
    </row>
    <row r="683" spans="1:43">
      <c r="A683" s="940"/>
      <c r="B683" s="938"/>
      <c r="C683" s="939"/>
      <c r="D683" s="936" t="s">
        <v>474</v>
      </c>
      <c r="E683" s="2393" t="s">
        <v>263</v>
      </c>
      <c r="F683" s="2393"/>
      <c r="G683" s="2393"/>
      <c r="H683" s="2393"/>
      <c r="I683" s="2393"/>
      <c r="J683" s="2393"/>
      <c r="K683" s="2393"/>
      <c r="L683" s="2393"/>
      <c r="M683" s="2393"/>
      <c r="N683" s="2393"/>
      <c r="O683" s="2393"/>
      <c r="P683" s="2393"/>
      <c r="Q683" s="2393"/>
      <c r="R683" s="2393"/>
      <c r="S683" s="2394"/>
      <c r="T683" s="2397">
        <f>AJ47</f>
        <v>3</v>
      </c>
      <c r="U683" s="2397"/>
      <c r="V683" s="2397"/>
      <c r="W683" s="2397"/>
      <c r="X683" s="2397"/>
      <c r="Y683" s="2397"/>
      <c r="Z683" s="2421">
        <v>3</v>
      </c>
      <c r="AA683" s="2421"/>
      <c r="AB683" s="2421"/>
      <c r="AC683" s="2421"/>
      <c r="AD683" s="2421"/>
      <c r="AE683" s="2421"/>
      <c r="AF683" s="2523"/>
      <c r="AG683" s="2523"/>
      <c r="AH683" s="2523"/>
      <c r="AI683" s="2523"/>
      <c r="AJ683" s="2523"/>
      <c r="AK683" s="2523"/>
      <c r="AL683" s="1259"/>
      <c r="AM683" s="458"/>
      <c r="AO683" s="46">
        <f>IF(T690&gt;50,50,T690)</f>
        <v>50</v>
      </c>
    </row>
    <row r="684" spans="1:43">
      <c r="A684" s="935" t="s">
        <v>8</v>
      </c>
      <c r="B684" s="2391" t="s">
        <v>298</v>
      </c>
      <c r="C684" s="2391"/>
      <c r="D684" s="2391"/>
      <c r="E684" s="2391"/>
      <c r="F684" s="2391"/>
      <c r="G684" s="2391"/>
      <c r="H684" s="2391"/>
      <c r="I684" s="2391"/>
      <c r="J684" s="2391"/>
      <c r="K684" s="2391"/>
      <c r="L684" s="2391"/>
      <c r="M684" s="2391"/>
      <c r="N684" s="2391"/>
      <c r="O684" s="2391"/>
      <c r="P684" s="2391"/>
      <c r="Q684" s="2391"/>
      <c r="R684" s="2391"/>
      <c r="S684" s="2392"/>
      <c r="T684" s="2417">
        <f>AK73</f>
        <v>10</v>
      </c>
      <c r="U684" s="2417"/>
      <c r="V684" s="2417"/>
      <c r="W684" s="2417"/>
      <c r="X684" s="2417"/>
      <c r="Y684" s="2417"/>
      <c r="Z684" s="1860">
        <v>10</v>
      </c>
      <c r="AA684" s="1860"/>
      <c r="AB684" s="1860"/>
      <c r="AC684" s="1860"/>
      <c r="AD684" s="1860"/>
      <c r="AE684" s="1860"/>
      <c r="AF684" s="1860">
        <f>IF(T684&gt;Z684,Z684,T684)</f>
        <v>10</v>
      </c>
      <c r="AG684" s="1860"/>
      <c r="AH684" s="1860"/>
      <c r="AI684" s="1860"/>
      <c r="AJ684" s="1860"/>
      <c r="AK684" s="1860"/>
      <c r="AL684" s="1259"/>
      <c r="AM684" s="458"/>
    </row>
    <row r="685" spans="1:43">
      <c r="A685" s="935" t="s">
        <v>130</v>
      </c>
      <c r="B685" s="2391" t="s">
        <v>299</v>
      </c>
      <c r="C685" s="2391"/>
      <c r="D685" s="2391"/>
      <c r="E685" s="2391"/>
      <c r="F685" s="2391"/>
      <c r="G685" s="2391"/>
      <c r="H685" s="2391"/>
      <c r="I685" s="2391"/>
      <c r="J685" s="2391"/>
      <c r="K685" s="2391"/>
      <c r="L685" s="2391"/>
      <c r="M685" s="2391"/>
      <c r="N685" s="2391"/>
      <c r="O685" s="2391"/>
      <c r="P685" s="2391"/>
      <c r="Q685" s="2391"/>
      <c r="R685" s="2391"/>
      <c r="S685" s="2392"/>
      <c r="T685" s="2417">
        <f>AO678</f>
        <v>25</v>
      </c>
      <c r="U685" s="2417">
        <f>IF(AND(AND(A686&gt;15,15+A687),A687&gt;10,A686+10),A685,0)</f>
        <v>0</v>
      </c>
      <c r="V685" s="2417">
        <f>IF(AND(AND(B686&gt;15,15+B687),B687&gt;10,B686+10),#REF!,0)</f>
        <v>0</v>
      </c>
      <c r="W685" s="2417">
        <f>IF(AND(AND(C686&gt;15,15+C687),C687&gt;10,C686+10),B685,0)</f>
        <v>0</v>
      </c>
      <c r="X685" s="2417" t="e">
        <f>IF(AND(AND(D686&gt;15,15+D687),D687&gt;10,D686+10),D685,0)</f>
        <v>#VALUE!</v>
      </c>
      <c r="Y685" s="2417" t="e">
        <f>IF(AND(AND(E686&gt;15,15+E687),E687&gt;10,E686+10),E685,0)</f>
        <v>#VALUE!</v>
      </c>
      <c r="Z685" s="1860">
        <v>25</v>
      </c>
      <c r="AA685" s="1860"/>
      <c r="AB685" s="1860"/>
      <c r="AC685" s="1860"/>
      <c r="AD685" s="1860"/>
      <c r="AE685" s="1860"/>
      <c r="AF685" s="1860">
        <f>IF(T685&gt;Z685,Z685,T685)</f>
        <v>25</v>
      </c>
      <c r="AG685" s="1860"/>
      <c r="AH685" s="1860"/>
      <c r="AI685" s="1860"/>
      <c r="AJ685" s="1860"/>
      <c r="AK685" s="1860"/>
      <c r="AL685" s="1259"/>
      <c r="AM685" s="458"/>
    </row>
    <row r="686" spans="1:43">
      <c r="A686" s="935"/>
      <c r="B686" s="938"/>
      <c r="C686" s="939"/>
      <c r="D686" s="936" t="s">
        <v>1600</v>
      </c>
      <c r="E686" s="2393" t="s">
        <v>323</v>
      </c>
      <c r="F686" s="2393"/>
      <c r="G686" s="2393"/>
      <c r="H686" s="2393"/>
      <c r="I686" s="2393"/>
      <c r="J686" s="2393"/>
      <c r="K686" s="2393"/>
      <c r="L686" s="2393"/>
      <c r="M686" s="2393"/>
      <c r="N686" s="2393"/>
      <c r="O686" s="2393"/>
      <c r="P686" s="2393"/>
      <c r="Q686" s="2393"/>
      <c r="R686" s="2393"/>
      <c r="S686" s="2394"/>
      <c r="T686" s="2397">
        <f>AK285</f>
        <v>20</v>
      </c>
      <c r="U686" s="2397"/>
      <c r="V686" s="2397"/>
      <c r="W686" s="2397"/>
      <c r="X686" s="2397"/>
      <c r="Y686" s="2397"/>
      <c r="Z686" s="2421">
        <v>15</v>
      </c>
      <c r="AA686" s="2421"/>
      <c r="AB686" s="2421"/>
      <c r="AC686" s="2421"/>
      <c r="AD686" s="2421"/>
      <c r="AE686" s="2421"/>
      <c r="AF686" s="2523"/>
      <c r="AG686" s="2523"/>
      <c r="AH686" s="2523"/>
      <c r="AI686" s="2523"/>
      <c r="AJ686" s="2523"/>
      <c r="AK686" s="2523"/>
      <c r="AL686" s="1259"/>
      <c r="AM686" s="458"/>
    </row>
    <row r="687" spans="1:43">
      <c r="A687" s="941"/>
      <c r="B687" s="942"/>
      <c r="C687" s="943"/>
      <c r="D687" s="944" t="s">
        <v>1601</v>
      </c>
      <c r="E687" s="2393" t="s">
        <v>324</v>
      </c>
      <c r="F687" s="2393"/>
      <c r="G687" s="2393"/>
      <c r="H687" s="2393"/>
      <c r="I687" s="2393"/>
      <c r="J687" s="2393"/>
      <c r="K687" s="2393"/>
      <c r="L687" s="2393"/>
      <c r="M687" s="2393"/>
      <c r="N687" s="2393"/>
      <c r="O687" s="2393"/>
      <c r="P687" s="2393"/>
      <c r="Q687" s="2393"/>
      <c r="R687" s="2393"/>
      <c r="S687" s="2394"/>
      <c r="T687" s="2397">
        <f>AK476</f>
        <v>10</v>
      </c>
      <c r="U687" s="2397"/>
      <c r="V687" s="2397"/>
      <c r="W687" s="2397"/>
      <c r="X687" s="2397"/>
      <c r="Y687" s="2397"/>
      <c r="Z687" s="2421">
        <v>10</v>
      </c>
      <c r="AA687" s="2421"/>
      <c r="AB687" s="2421"/>
      <c r="AC687" s="2421"/>
      <c r="AD687" s="2421"/>
      <c r="AE687" s="2421"/>
      <c r="AF687" s="2523"/>
      <c r="AG687" s="2523"/>
      <c r="AH687" s="2523"/>
      <c r="AI687" s="2523"/>
      <c r="AJ687" s="2523"/>
      <c r="AK687" s="2523"/>
      <c r="AL687" s="1259"/>
      <c r="AM687" s="458"/>
    </row>
    <row r="688" spans="1:43" hidden="1">
      <c r="A688" s="935" t="s">
        <v>133</v>
      </c>
      <c r="B688" s="2391" t="s">
        <v>596</v>
      </c>
      <c r="C688" s="2391"/>
      <c r="D688" s="2391"/>
      <c r="E688" s="2391"/>
      <c r="F688" s="2391"/>
      <c r="G688" s="2391"/>
      <c r="H688" s="2391"/>
      <c r="I688" s="2391"/>
      <c r="J688" s="2391"/>
      <c r="K688" s="2391"/>
      <c r="L688" s="2391"/>
      <c r="M688" s="2391"/>
      <c r="N688" s="2391"/>
      <c r="O688" s="2391"/>
      <c r="P688" s="2391"/>
      <c r="Q688" s="2391"/>
      <c r="R688" s="2391"/>
      <c r="S688" s="2392"/>
      <c r="T688" s="2417"/>
      <c r="U688" s="2417"/>
      <c r="V688" s="2417"/>
      <c r="W688" s="2417"/>
      <c r="X688" s="2417"/>
      <c r="Y688" s="2417"/>
      <c r="Z688" s="1860"/>
      <c r="AA688" s="1860"/>
      <c r="AB688" s="1860"/>
      <c r="AC688" s="1860"/>
      <c r="AD688" s="1860"/>
      <c r="AE688" s="1860"/>
      <c r="AF688" s="1860"/>
      <c r="AG688" s="1860"/>
      <c r="AH688" s="1860"/>
      <c r="AI688" s="1860"/>
      <c r="AJ688" s="1860"/>
      <c r="AK688" s="1860"/>
      <c r="AL688" s="1259"/>
      <c r="AM688" s="458"/>
    </row>
    <row r="689" spans="1:39">
      <c r="A689" s="1342" t="s">
        <v>133</v>
      </c>
      <c r="B689" s="2391" t="s">
        <v>597</v>
      </c>
      <c r="C689" s="2391"/>
      <c r="D689" s="2391"/>
      <c r="E689" s="2391"/>
      <c r="F689" s="2391"/>
      <c r="G689" s="2391"/>
      <c r="H689" s="2391"/>
      <c r="I689" s="2391"/>
      <c r="J689" s="2391"/>
      <c r="K689" s="2391"/>
      <c r="L689" s="2391"/>
      <c r="M689" s="2391"/>
      <c r="N689" s="2391"/>
      <c r="O689" s="2391"/>
      <c r="P689" s="2391"/>
      <c r="Q689" s="2391"/>
      <c r="R689" s="2391"/>
      <c r="S689" s="2392"/>
      <c r="T689" s="2513">
        <f>IF(SUM(T690:Y691)&gt;52,52,SUM(T690:Y691))</f>
        <v>52</v>
      </c>
      <c r="U689" s="2514"/>
      <c r="V689" s="2514"/>
      <c r="W689" s="2514"/>
      <c r="X689" s="2514"/>
      <c r="Y689" s="2514"/>
      <c r="Z689" s="2514">
        <v>52</v>
      </c>
      <c r="AA689" s="2514"/>
      <c r="AB689" s="2514"/>
      <c r="AC689" s="2514"/>
      <c r="AD689" s="2514"/>
      <c r="AE689" s="2514"/>
      <c r="AF689" s="2514">
        <f>$AO$683+$T$691</f>
        <v>52</v>
      </c>
      <c r="AG689" s="2514"/>
      <c r="AH689" s="2514"/>
      <c r="AI689" s="2514"/>
      <c r="AJ689" s="2514"/>
      <c r="AK689" s="2514"/>
      <c r="AL689" s="1259"/>
      <c r="AM689" s="458"/>
    </row>
    <row r="690" spans="1:39">
      <c r="A690" s="945"/>
      <c r="B690" s="947"/>
      <c r="C690" s="948"/>
      <c r="D690" s="949" t="s">
        <v>1602</v>
      </c>
      <c r="E690" s="2393" t="s">
        <v>199</v>
      </c>
      <c r="F690" s="2393"/>
      <c r="G690" s="2393"/>
      <c r="H690" s="2393"/>
      <c r="I690" s="2393"/>
      <c r="J690" s="2393"/>
      <c r="K690" s="2393"/>
      <c r="L690" s="2393"/>
      <c r="M690" s="2393"/>
      <c r="N690" s="2393"/>
      <c r="O690" s="2393"/>
      <c r="P690" s="2393"/>
      <c r="Q690" s="2393"/>
      <c r="R690" s="2393"/>
      <c r="S690" s="2394"/>
      <c r="T690" s="2418">
        <f>AC592</f>
        <v>50</v>
      </c>
      <c r="U690" s="2419"/>
      <c r="V690" s="2419"/>
      <c r="W690" s="2419"/>
      <c r="X690" s="2419"/>
      <c r="Y690" s="2420"/>
      <c r="Z690" s="2418">
        <v>50</v>
      </c>
      <c r="AA690" s="2419"/>
      <c r="AB690" s="2419"/>
      <c r="AC690" s="2419"/>
      <c r="AD690" s="2419"/>
      <c r="AE690" s="2420"/>
      <c r="AF690" s="2518"/>
      <c r="AG690" s="2519"/>
      <c r="AH690" s="2519"/>
      <c r="AI690" s="2519"/>
      <c r="AJ690" s="2519"/>
      <c r="AK690" s="2520"/>
      <c r="AL690" s="1259"/>
      <c r="AM690" s="46"/>
    </row>
    <row r="691" spans="1:39">
      <c r="A691" s="950"/>
      <c r="B691" s="938"/>
      <c r="C691" s="939"/>
      <c r="D691" s="936" t="s">
        <v>1603</v>
      </c>
      <c r="E691" s="2393" t="s">
        <v>296</v>
      </c>
      <c r="F691" s="2393"/>
      <c r="G691" s="2393"/>
      <c r="H691" s="2393"/>
      <c r="I691" s="2393"/>
      <c r="J691" s="2393"/>
      <c r="K691" s="2393"/>
      <c r="L691" s="2393"/>
      <c r="M691" s="2393"/>
      <c r="N691" s="2393"/>
      <c r="O691" s="2393"/>
      <c r="P691" s="2393"/>
      <c r="Q691" s="2393"/>
      <c r="R691" s="2393"/>
      <c r="S691" s="2394"/>
      <c r="T691" s="2362">
        <f>IF(AJ616&gt;0,2,0)</f>
        <v>2</v>
      </c>
      <c r="U691" s="2363"/>
      <c r="V691" s="2363"/>
      <c r="W691" s="2363"/>
      <c r="X691" s="2363"/>
      <c r="Y691" s="2364"/>
      <c r="Z691" s="2355">
        <v>2</v>
      </c>
      <c r="AA691" s="2356"/>
      <c r="AB691" s="2356"/>
      <c r="AC691" s="2356"/>
      <c r="AD691" s="2356"/>
      <c r="AE691" s="2357"/>
      <c r="AF691" s="2534"/>
      <c r="AG691" s="2535"/>
      <c r="AH691" s="2535"/>
      <c r="AI691" s="2535"/>
      <c r="AJ691" s="2535"/>
      <c r="AK691" s="2536"/>
      <c r="AL691" s="1259"/>
      <c r="AM691" s="46"/>
    </row>
    <row r="692" spans="1:39">
      <c r="A692" s="945" t="s">
        <v>134</v>
      </c>
      <c r="B692" s="2391" t="s">
        <v>598</v>
      </c>
      <c r="C692" s="2391"/>
      <c r="D692" s="2391"/>
      <c r="E692" s="2391"/>
      <c r="F692" s="2391"/>
      <c r="G692" s="2391"/>
      <c r="H692" s="2391"/>
      <c r="I692" s="2391"/>
      <c r="J692" s="2391"/>
      <c r="K692" s="2391"/>
      <c r="L692" s="2391"/>
      <c r="M692" s="2391"/>
      <c r="N692" s="2391"/>
      <c r="O692" s="2391"/>
      <c r="P692" s="2391"/>
      <c r="Q692" s="2391"/>
      <c r="R692" s="2391"/>
      <c r="S692" s="2392"/>
      <c r="T692" s="2417">
        <f>AK643</f>
        <v>10</v>
      </c>
      <c r="U692" s="2417"/>
      <c r="V692" s="2417"/>
      <c r="W692" s="2417"/>
      <c r="X692" s="2417"/>
      <c r="Y692" s="2417"/>
      <c r="Z692" s="1860">
        <v>10</v>
      </c>
      <c r="AA692" s="1860"/>
      <c r="AB692" s="1860"/>
      <c r="AC692" s="1860"/>
      <c r="AD692" s="1860"/>
      <c r="AE692" s="1860"/>
      <c r="AF692" s="2113">
        <f>IF(T692&gt;Z692,Z692,T692)</f>
        <v>10</v>
      </c>
      <c r="AG692" s="2029"/>
      <c r="AH692" s="2029"/>
      <c r="AI692" s="2029"/>
      <c r="AJ692" s="2029"/>
      <c r="AK692" s="2030"/>
      <c r="AL692" s="1259"/>
      <c r="AM692" s="205"/>
    </row>
    <row r="693" spans="1:39">
      <c r="A693" s="945" t="s">
        <v>136</v>
      </c>
      <c r="B693" s="2391" t="s">
        <v>1068</v>
      </c>
      <c r="C693" s="2391"/>
      <c r="D693" s="2391"/>
      <c r="E693" s="2391"/>
      <c r="F693" s="2391"/>
      <c r="G693" s="2391"/>
      <c r="H693" s="2391"/>
      <c r="I693" s="2391"/>
      <c r="J693" s="2391"/>
      <c r="K693" s="2391"/>
      <c r="L693" s="2391"/>
      <c r="M693" s="2391"/>
      <c r="N693" s="2391"/>
      <c r="O693" s="2391"/>
      <c r="P693" s="2391"/>
      <c r="Q693" s="2391"/>
      <c r="R693" s="2391"/>
      <c r="S693" s="2392"/>
      <c r="T693" s="2515">
        <f>IF(AK671&gt;2,2,AK671)</f>
        <v>2</v>
      </c>
      <c r="U693" s="2516"/>
      <c r="V693" s="2516"/>
      <c r="W693" s="2516"/>
      <c r="X693" s="2516"/>
      <c r="Y693" s="2517"/>
      <c r="Z693" s="2113">
        <v>2</v>
      </c>
      <c r="AA693" s="2029"/>
      <c r="AB693" s="2029"/>
      <c r="AC693" s="2029"/>
      <c r="AD693" s="2029"/>
      <c r="AE693" s="2030"/>
      <c r="AF693" s="2113">
        <f>IF(T693&gt;Z693,Z693,T693)</f>
        <v>2</v>
      </c>
      <c r="AG693" s="2532"/>
      <c r="AH693" s="2532"/>
      <c r="AI693" s="2532"/>
      <c r="AJ693" s="2532"/>
      <c r="AK693" s="2533"/>
      <c r="AL693" s="358"/>
      <c r="AM693" s="205"/>
    </row>
    <row r="694" spans="1:39">
      <c r="A694" s="2390" t="s">
        <v>326</v>
      </c>
      <c r="B694" s="2391"/>
      <c r="C694" s="2391"/>
      <c r="D694" s="2391"/>
      <c r="E694" s="2391"/>
      <c r="F694" s="2391"/>
      <c r="G694" s="2391"/>
      <c r="H694" s="2391"/>
      <c r="I694" s="2391"/>
      <c r="J694" s="2391"/>
      <c r="K694" s="2391"/>
      <c r="L694" s="2391"/>
      <c r="M694" s="2391"/>
      <c r="N694" s="2391"/>
      <c r="O694" s="2391"/>
      <c r="P694" s="2391"/>
      <c r="Q694" s="2391"/>
      <c r="R694" s="2391"/>
      <c r="S694" s="2392"/>
      <c r="T694" s="2025"/>
      <c r="U694" s="2025"/>
      <c r="V694" s="2025"/>
      <c r="W694" s="2025"/>
      <c r="X694" s="2025"/>
      <c r="Y694" s="2025"/>
      <c r="Z694" s="2421" t="s">
        <v>325</v>
      </c>
      <c r="AA694" s="2421"/>
      <c r="AB694" s="2421"/>
      <c r="AC694" s="2421"/>
      <c r="AD694" s="2421"/>
      <c r="AE694" s="2421"/>
      <c r="AF694" s="2113">
        <f>IF(T694&gt;0,T694,0)</f>
        <v>0</v>
      </c>
      <c r="AG694" s="2029"/>
      <c r="AH694" s="2029"/>
      <c r="AI694" s="2029"/>
      <c r="AJ694" s="2029"/>
      <c r="AK694" s="2030"/>
      <c r="AL694" s="1250"/>
      <c r="AM694" s="205"/>
    </row>
    <row r="695" spans="1:39" ht="15.75">
      <c r="A695" s="2404" t="s">
        <v>783</v>
      </c>
      <c r="B695" s="2405"/>
      <c r="C695" s="2405"/>
      <c r="D695" s="2405"/>
      <c r="E695" s="2405"/>
      <c r="F695" s="2405"/>
      <c r="G695" s="2405"/>
      <c r="H695" s="2405"/>
      <c r="I695" s="2405"/>
      <c r="J695" s="2405"/>
      <c r="K695" s="2405"/>
      <c r="L695" s="2405"/>
      <c r="M695" s="2405"/>
      <c r="N695" s="2405"/>
      <c r="O695" s="2405"/>
      <c r="P695" s="2405"/>
      <c r="Q695" s="2405"/>
      <c r="R695" s="2405"/>
      <c r="S695" s="2405"/>
      <c r="T695" s="2405"/>
      <c r="U695" s="2405"/>
      <c r="V695" s="2405"/>
      <c r="W695" s="2405"/>
      <c r="X695" s="2405"/>
      <c r="Y695" s="2405"/>
      <c r="Z695" s="2405"/>
      <c r="AA695" s="2405"/>
      <c r="AB695" s="2405"/>
      <c r="AC695" s="2405"/>
      <c r="AD695" s="2405"/>
      <c r="AE695" s="2406"/>
      <c r="AF695" s="2524">
        <f>SUM(AF681:AK693)-AF694</f>
        <v>109</v>
      </c>
      <c r="AG695" s="2525"/>
      <c r="AH695" s="2525"/>
      <c r="AI695" s="2525"/>
      <c r="AJ695" s="2525"/>
      <c r="AK695" s="2526"/>
      <c r="AL695" s="1260"/>
      <c r="AM695" s="46"/>
    </row>
    <row r="696" spans="1:39" ht="15.75">
      <c r="A696" s="2407"/>
      <c r="B696" s="2408"/>
      <c r="C696" s="2408"/>
      <c r="D696" s="2408"/>
      <c r="E696" s="2408"/>
      <c r="F696" s="2408"/>
      <c r="G696" s="2408"/>
      <c r="H696" s="2408"/>
      <c r="I696" s="2408"/>
      <c r="J696" s="2408"/>
      <c r="K696" s="2408"/>
      <c r="L696" s="2408"/>
      <c r="M696" s="2408"/>
      <c r="N696" s="2408"/>
      <c r="O696" s="2408"/>
      <c r="P696" s="2408"/>
      <c r="Q696" s="2408"/>
      <c r="R696" s="2408"/>
      <c r="S696" s="2408"/>
      <c r="T696" s="2408"/>
      <c r="U696" s="2408"/>
      <c r="V696" s="2408"/>
      <c r="W696" s="2408"/>
      <c r="X696" s="2408"/>
      <c r="Y696" s="2408"/>
      <c r="Z696" s="2408"/>
      <c r="AA696" s="2408"/>
      <c r="AB696" s="2408"/>
      <c r="AC696" s="2408"/>
      <c r="AD696" s="2408"/>
      <c r="AE696" s="2409"/>
      <c r="AF696" s="2527"/>
      <c r="AG696" s="2528"/>
      <c r="AH696" s="2528"/>
      <c r="AI696" s="2528"/>
      <c r="AJ696" s="2528"/>
      <c r="AK696" s="2529"/>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84"/>
    </row>
    <row r="698" spans="1:39" ht="12.4"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84"/>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84"/>
    </row>
    <row r="700" spans="1:39" ht="12.4"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84"/>
    </row>
    <row r="701" spans="1:39" ht="12.4"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84"/>
    </row>
    <row r="702" spans="1:39" ht="12.4"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8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7">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AA319:AK319"/>
    <mergeCell ref="AA316:AK316"/>
    <mergeCell ref="H318:R318"/>
    <mergeCell ref="H314:R314"/>
    <mergeCell ref="H311:M311"/>
    <mergeCell ref="AI311:AK311"/>
    <mergeCell ref="H317:R317"/>
    <mergeCell ref="AA314:AK314"/>
    <mergeCell ref="AA313:AK31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C457:D457"/>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0:AK300"/>
    <mergeCell ref="AA299:AK299"/>
    <mergeCell ref="AA322:AK322"/>
    <mergeCell ref="AA317:AK317"/>
    <mergeCell ref="AA320:AF320"/>
    <mergeCell ref="AA310:AK310"/>
    <mergeCell ref="AS357:AT35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H291:R291"/>
    <mergeCell ref="AK285:AM285"/>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A328:AK328"/>
    <mergeCell ref="H327:R327"/>
    <mergeCell ref="AI329:AK329"/>
    <mergeCell ref="H330:R330"/>
    <mergeCell ref="H331:R331"/>
    <mergeCell ref="P329:R329"/>
    <mergeCell ref="H328:R328"/>
    <mergeCell ref="H316:R316"/>
    <mergeCell ref="H320:M320"/>
    <mergeCell ref="H323:R323"/>
    <mergeCell ref="H325:R325"/>
    <mergeCell ref="H322:R322"/>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AF417:AL417"/>
    <mergeCell ref="AE479:AK479"/>
    <mergeCell ref="AF403:AL403"/>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AE335:AK335"/>
    <mergeCell ref="C485:D485"/>
    <mergeCell ref="C336:AJ343"/>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AJ208:AK208"/>
    <mergeCell ref="AA291:AK291"/>
    <mergeCell ref="AI293:AK293"/>
    <mergeCell ref="H187:I187"/>
    <mergeCell ref="AF198:AL198"/>
    <mergeCell ref="W588:AB588"/>
    <mergeCell ref="Q564:R564"/>
    <mergeCell ref="Q569:R569"/>
    <mergeCell ref="U567:V567"/>
    <mergeCell ref="W566:X566"/>
    <mergeCell ref="Q588:V588"/>
    <mergeCell ref="AA573:AB573"/>
    <mergeCell ref="S572:T572"/>
    <mergeCell ref="AC585:AH585"/>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C344:AJ348"/>
    <mergeCell ref="AA569:AB569"/>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4:AH584"/>
    <mergeCell ref="S565:T565"/>
    <mergeCell ref="Q568:R568"/>
    <mergeCell ref="AA565:AB565"/>
    <mergeCell ref="Y567:Z567"/>
    <mergeCell ref="S570:T570"/>
    <mergeCell ref="AA568:AB568"/>
    <mergeCell ref="E203:AB205"/>
    <mergeCell ref="C512:D512"/>
    <mergeCell ref="V505:X505"/>
    <mergeCell ref="O563:P563"/>
    <mergeCell ref="F487:Z487"/>
    <mergeCell ref="S567:T567"/>
    <mergeCell ref="Y563:Z563"/>
    <mergeCell ref="AC564:AD564"/>
    <mergeCell ref="AC562:AD562"/>
    <mergeCell ref="F510:Z510"/>
    <mergeCell ref="F515:H515"/>
    <mergeCell ref="Y565:Z565"/>
    <mergeCell ref="F508:AE509"/>
    <mergeCell ref="AE563:AF563"/>
    <mergeCell ref="O565:P565"/>
    <mergeCell ref="O564:P564"/>
    <mergeCell ref="F512:AE513"/>
    <mergeCell ref="Q567:R567"/>
    <mergeCell ref="Q566:R566"/>
    <mergeCell ref="S566:T566"/>
    <mergeCell ref="U564:V564"/>
    <mergeCell ref="C461:D461"/>
    <mergeCell ref="C381:D381"/>
    <mergeCell ref="AA331:AK331"/>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O568:P568"/>
    <mergeCell ref="O567:P567"/>
    <mergeCell ref="AA567:AB567"/>
    <mergeCell ref="W568:X568"/>
    <mergeCell ref="S569:T569"/>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606" t="s">
        <v>2260</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row>
    <row r="2" spans="1:57" ht="15" customHeight="1">
      <c r="A2" s="2606"/>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row>
    <row r="3" spans="1:57">
      <c r="A3" s="1461"/>
      <c r="B3" s="1461"/>
      <c r="E3" s="1462"/>
      <c r="I3" s="1464"/>
      <c r="K3" s="1465"/>
    </row>
    <row r="4" spans="1:57" ht="14.25" customHeight="1">
      <c r="A4" s="2605" t="s">
        <v>2261</v>
      </c>
      <c r="B4" s="2605"/>
      <c r="C4" s="2605"/>
      <c r="D4" s="2605"/>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N4" s="2605"/>
      <c r="AO4" s="2605"/>
      <c r="AP4" s="2605"/>
      <c r="AQ4" s="2605"/>
    </row>
    <row r="5" spans="1:57">
      <c r="A5" s="1461"/>
      <c r="B5" s="1461"/>
      <c r="E5" s="1462"/>
      <c r="I5" s="1464"/>
      <c r="K5" s="1465"/>
    </row>
    <row r="6" spans="1:57">
      <c r="A6" s="1461"/>
      <c r="B6" s="1461"/>
      <c r="D6" s="1459" t="s">
        <v>2264</v>
      </c>
      <c r="I6" s="1464"/>
      <c r="K6" s="1465"/>
      <c r="U6" s="2604"/>
      <c r="V6" s="2604"/>
      <c r="W6" s="2604"/>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612"/>
      <c r="Q9" s="2612"/>
      <c r="R9" s="2612"/>
      <c r="S9" s="2612"/>
      <c r="T9" s="2612"/>
    </row>
    <row r="10" spans="1:57">
      <c r="A10" s="1461"/>
      <c r="B10" s="1461"/>
      <c r="E10" s="1462"/>
      <c r="I10" s="1464"/>
      <c r="K10" s="1465"/>
    </row>
    <row r="11" spans="1:57">
      <c r="A11" s="2605" t="s">
        <v>2267</v>
      </c>
      <c r="B11" s="2605"/>
      <c r="C11" s="2605"/>
      <c r="D11" s="2605"/>
      <c r="E11" s="2605"/>
      <c r="F11" s="2605"/>
      <c r="G11" s="2605"/>
      <c r="H11" s="2605"/>
      <c r="I11" s="2605"/>
      <c r="J11" s="2605"/>
      <c r="K11" s="2605"/>
      <c r="L11" s="2605"/>
      <c r="M11" s="2605"/>
      <c r="N11" s="2605"/>
      <c r="O11" s="2605"/>
      <c r="P11" s="2605"/>
      <c r="Q11" s="2605"/>
      <c r="R11" s="2605"/>
      <c r="S11" s="2605"/>
      <c r="T11" s="2605"/>
      <c r="U11" s="2605"/>
      <c r="V11" s="2605"/>
      <c r="W11" s="2605"/>
      <c r="X11" s="2605"/>
      <c r="Y11" s="2605"/>
      <c r="Z11" s="2605"/>
      <c r="AA11" s="2605"/>
      <c r="AB11" s="2605"/>
      <c r="AC11" s="2605"/>
      <c r="AD11" s="2605"/>
      <c r="AE11" s="2605"/>
      <c r="AF11" s="2605"/>
      <c r="AG11" s="2605"/>
      <c r="AH11" s="2605"/>
      <c r="AI11" s="2605"/>
      <c r="AJ11" s="2605"/>
      <c r="AK11" s="2605"/>
      <c r="AL11" s="2605"/>
      <c r="AM11" s="2605"/>
      <c r="AN11" s="2605"/>
      <c r="AO11" s="2605"/>
      <c r="AP11" s="2605"/>
      <c r="AQ11" s="2605"/>
      <c r="BC11" s="1459" t="s">
        <v>119</v>
      </c>
    </row>
    <row r="12" spans="1:57">
      <c r="A12" s="1461"/>
      <c r="B12" s="1461"/>
      <c r="E12" s="1462"/>
      <c r="I12" s="1464"/>
      <c r="K12" s="1465"/>
      <c r="BC12" s="1459" t="s">
        <v>528</v>
      </c>
    </row>
    <row r="13" spans="1:57">
      <c r="A13" s="1461"/>
      <c r="B13" s="1461"/>
      <c r="D13" s="1459" t="s">
        <v>2268</v>
      </c>
      <c r="E13" s="1462"/>
      <c r="I13" s="1464"/>
      <c r="K13" s="1465"/>
      <c r="T13" s="2604"/>
      <c r="U13" s="2604"/>
      <c r="V13" s="2604"/>
    </row>
    <row r="14" spans="1:57">
      <c r="A14" s="1461"/>
      <c r="B14" s="1461"/>
      <c r="E14" s="1462" t="s">
        <v>2275</v>
      </c>
      <c r="I14" s="1464"/>
      <c r="K14" s="1465"/>
      <c r="N14" s="2610"/>
      <c r="O14" s="2610"/>
      <c r="P14" s="2610"/>
      <c r="Q14" s="2610"/>
      <c r="R14" s="2610"/>
      <c r="S14" s="2610"/>
      <c r="T14" s="2610"/>
      <c r="U14" s="2610"/>
      <c r="V14" s="2610"/>
      <c r="W14" s="2610"/>
      <c r="X14" s="2610"/>
      <c r="Y14" s="2610"/>
      <c r="Z14" s="2610"/>
      <c r="AA14" s="2610"/>
      <c r="AB14" s="2610"/>
      <c r="AC14" s="2610"/>
      <c r="AD14" s="2610"/>
      <c r="AE14" s="2610"/>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2480405.7999999998</v>
      </c>
    </row>
    <row r="16" spans="1:57">
      <c r="A16" s="1461"/>
      <c r="B16" s="1461"/>
      <c r="BC16" s="1459" t="s">
        <v>2280</v>
      </c>
      <c r="BE16" s="1459">
        <f>'Basis &amp; Credits'!T11+'Basis &amp; Credits'!AD11</f>
        <v>23866844</v>
      </c>
    </row>
    <row r="17" spans="1:43">
      <c r="A17" s="1461"/>
      <c r="B17" s="1461"/>
      <c r="D17" s="1459" t="s">
        <v>2270</v>
      </c>
      <c r="E17" s="1462"/>
      <c r="I17" s="1464"/>
      <c r="K17" s="1465"/>
      <c r="U17" s="2611" t="str">
        <f>IF(T13="yes",(BE15/BE16)," ")</f>
        <v xml:space="preserve"> </v>
      </c>
      <c r="V17" s="2611"/>
      <c r="W17" s="2611"/>
      <c r="X17" s="2611"/>
      <c r="Y17" s="2611"/>
    </row>
    <row r="18" spans="1:43">
      <c r="A18" s="1461"/>
      <c r="B18" s="1461"/>
      <c r="E18" s="1462"/>
      <c r="I18" s="1464"/>
      <c r="K18" s="1465"/>
    </row>
    <row r="19" spans="1:43">
      <c r="A19" s="2605" t="s">
        <v>2272</v>
      </c>
      <c r="B19" s="2605"/>
      <c r="C19" s="2605"/>
      <c r="D19" s="2605"/>
      <c r="E19" s="2605"/>
      <c r="F19" s="2605"/>
      <c r="G19" s="2605"/>
      <c r="H19" s="2605"/>
      <c r="I19" s="2605"/>
      <c r="J19" s="2605"/>
      <c r="K19" s="2605"/>
      <c r="L19" s="2605"/>
      <c r="M19" s="2605"/>
      <c r="N19" s="2605"/>
      <c r="O19" s="2605"/>
      <c r="P19" s="2605"/>
      <c r="Q19" s="2605"/>
      <c r="R19" s="2605"/>
      <c r="S19" s="2605"/>
      <c r="T19" s="2605"/>
      <c r="U19" s="2605"/>
      <c r="V19" s="2605"/>
      <c r="W19" s="2605"/>
      <c r="X19" s="2605"/>
      <c r="Y19" s="2605"/>
      <c r="Z19" s="2605"/>
      <c r="AA19" s="2605"/>
      <c r="AB19" s="2605"/>
      <c r="AC19" s="2605"/>
      <c r="AD19" s="2605"/>
      <c r="AE19" s="2605"/>
      <c r="AF19" s="2605"/>
      <c r="AG19" s="2605"/>
      <c r="AH19" s="2605"/>
      <c r="AI19" s="2605"/>
      <c r="AJ19" s="2605"/>
      <c r="AK19" s="2605"/>
      <c r="AL19" s="2605"/>
      <c r="AM19" s="2605"/>
      <c r="AN19" s="2605"/>
      <c r="AO19" s="2605"/>
      <c r="AP19" s="2605"/>
      <c r="AQ19" s="2605"/>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613">
        <f>ROUND('Basis &amp; Credits'!AB55,0)</f>
        <v>2480406</v>
      </c>
      <c r="R22" s="2613"/>
      <c r="S22" s="2613"/>
      <c r="T22" s="2613"/>
      <c r="U22" s="2613"/>
      <c r="V22" s="2613"/>
      <c r="W22" s="2613"/>
      <c r="X22" s="2613"/>
      <c r="Y22" s="1489"/>
    </row>
    <row r="23" spans="1:43">
      <c r="C23" s="1461"/>
      <c r="D23" s="1461"/>
      <c r="F23" s="1459"/>
      <c r="G23" s="1470"/>
      <c r="H23" s="1471"/>
      <c r="I23" s="1472"/>
      <c r="J23" s="1473"/>
      <c r="K23" s="1470"/>
      <c r="M23" s="1460"/>
    </row>
    <row r="24" spans="1:43" s="1476" customFormat="1">
      <c r="C24" s="1474"/>
      <c r="D24" s="1474"/>
      <c r="E24" s="1475"/>
      <c r="J24" s="1473"/>
      <c r="L24" s="2616" t="s">
        <v>2250</v>
      </c>
      <c r="M24" s="2616"/>
      <c r="N24" s="2616"/>
      <c r="P24" s="2601" t="s">
        <v>2251</v>
      </c>
      <c r="Q24" s="2601"/>
      <c r="R24" s="2601"/>
      <c r="S24" s="2601"/>
      <c r="T24" s="2601"/>
      <c r="V24" s="2601" t="s">
        <v>2252</v>
      </c>
      <c r="W24" s="2601"/>
      <c r="X24" s="2601"/>
      <c r="AC24" s="1459"/>
      <c r="AD24" s="1459"/>
      <c r="AE24" s="1459"/>
      <c r="AF24" s="1459"/>
      <c r="AG24" s="1459"/>
      <c r="AH24" s="1459"/>
    </row>
    <row r="25" spans="1:43">
      <c r="C25" s="1467" t="s">
        <v>206</v>
      </c>
      <c r="D25" s="1467"/>
      <c r="E25" s="1459" t="s">
        <v>1069</v>
      </c>
      <c r="F25" s="1459"/>
      <c r="J25" s="1473"/>
      <c r="L25" s="2602" t="s">
        <v>2253</v>
      </c>
      <c r="M25" s="2602"/>
      <c r="N25" s="2602"/>
      <c r="P25" s="2602" t="s">
        <v>2254</v>
      </c>
      <c r="Q25" s="2602"/>
      <c r="R25" s="2602"/>
      <c r="S25" s="2602"/>
      <c r="T25" s="2602"/>
      <c r="V25" s="2602" t="s">
        <v>2253</v>
      </c>
      <c r="W25" s="2602"/>
      <c r="X25" s="2602"/>
    </row>
    <row r="26" spans="1:43">
      <c r="C26" s="1461"/>
      <c r="D26" s="1461"/>
      <c r="E26" s="1477" t="s">
        <v>2255</v>
      </c>
      <c r="F26" s="1477"/>
      <c r="J26" s="1478"/>
      <c r="L26" s="2617">
        <f>Application!BN627</f>
        <v>12</v>
      </c>
      <c r="M26" s="2617"/>
      <c r="N26" s="2617"/>
      <c r="P26" s="2603">
        <v>0.9</v>
      </c>
      <c r="Q26" s="2603"/>
      <c r="R26" s="2603"/>
      <c r="S26" s="2603"/>
      <c r="T26" s="2603"/>
      <c r="V26" s="2603">
        <f>L26*P26</f>
        <v>10.8</v>
      </c>
      <c r="W26" s="2603"/>
      <c r="X26" s="2603"/>
    </row>
    <row r="27" spans="1:43">
      <c r="C27" s="1461"/>
      <c r="D27" s="1461"/>
      <c r="E27" s="1476" t="s">
        <v>2256</v>
      </c>
      <c r="F27" s="1476"/>
      <c r="J27" s="1478"/>
      <c r="L27" s="2593">
        <f>Application!BS627</f>
        <v>12</v>
      </c>
      <c r="M27" s="2593">
        <f>Application!BS635+Application!BS644+Application!CX658</f>
        <v>0</v>
      </c>
      <c r="N27" s="2593"/>
      <c r="P27" s="2598">
        <v>1</v>
      </c>
      <c r="Q27" s="2598"/>
      <c r="R27" s="2598"/>
      <c r="S27" s="2598"/>
      <c r="T27" s="2598"/>
      <c r="V27" s="2599">
        <f t="shared" ref="V27:V29" si="0">L27*P27</f>
        <v>12</v>
      </c>
      <c r="W27" s="2599"/>
      <c r="X27" s="2599"/>
    </row>
    <row r="28" spans="1:43">
      <c r="C28" s="1461"/>
      <c r="D28" s="1461"/>
      <c r="E28" s="1476" t="s">
        <v>2257</v>
      </c>
      <c r="F28" s="1476"/>
      <c r="J28" s="1478"/>
      <c r="L28" s="2593">
        <f>Application!BX627</f>
        <v>12</v>
      </c>
      <c r="M28" s="2593">
        <f>Application!BX635+Application!BX644+Application!DC658</f>
        <v>0</v>
      </c>
      <c r="N28" s="2593"/>
      <c r="P28" s="2598">
        <v>1.25</v>
      </c>
      <c r="Q28" s="2598"/>
      <c r="R28" s="2598"/>
      <c r="S28" s="2598"/>
      <c r="T28" s="2598"/>
      <c r="V28" s="2599">
        <f t="shared" si="0"/>
        <v>15</v>
      </c>
      <c r="W28" s="2599"/>
      <c r="X28" s="2599"/>
    </row>
    <row r="29" spans="1:43">
      <c r="C29" s="1461"/>
      <c r="D29" s="1461"/>
      <c r="E29" s="1476" t="s">
        <v>2258</v>
      </c>
      <c r="F29" s="1476"/>
      <c r="J29" s="1478"/>
      <c r="L29" s="2593">
        <f>Application!CC627</f>
        <v>12</v>
      </c>
      <c r="M29" s="2593">
        <f>Application!CC635+Application!CC644+Application!DH658</f>
        <v>0</v>
      </c>
      <c r="N29" s="2593"/>
      <c r="P29" s="2598">
        <v>1.5</v>
      </c>
      <c r="Q29" s="2598"/>
      <c r="R29" s="2598"/>
      <c r="S29" s="2598"/>
      <c r="T29" s="2598"/>
      <c r="V29" s="2599">
        <f t="shared" si="0"/>
        <v>18</v>
      </c>
      <c r="W29" s="2599"/>
      <c r="X29" s="2599"/>
    </row>
    <row r="30" spans="1:43">
      <c r="C30" s="1461"/>
      <c r="D30" s="1461"/>
      <c r="E30" s="1476" t="s">
        <v>2259</v>
      </c>
      <c r="F30" s="1476"/>
      <c r="J30" s="1478"/>
      <c r="L30" s="2594">
        <f>Application!CH627+Application!CM627</f>
        <v>0</v>
      </c>
      <c r="M30" s="2594"/>
      <c r="N30" s="2594"/>
      <c r="P30" s="2598">
        <v>1.75</v>
      </c>
      <c r="Q30" s="2598"/>
      <c r="R30" s="2598">
        <f>1.75+0.25*0</f>
        <v>1.75</v>
      </c>
      <c r="S30" s="2598"/>
      <c r="T30" s="2598"/>
      <c r="V30" s="2600">
        <f>L30*P30</f>
        <v>0</v>
      </c>
      <c r="W30" s="2600"/>
      <c r="X30" s="2600"/>
    </row>
    <row r="31" spans="1:43">
      <c r="C31" s="1461"/>
      <c r="D31" s="1461"/>
      <c r="F31" s="1459"/>
      <c r="J31" s="1463"/>
      <c r="L31" s="2614">
        <f>SUM(L26:N30)</f>
        <v>48</v>
      </c>
      <c r="M31" s="2615"/>
      <c r="N31" s="2615"/>
      <c r="V31" s="2603">
        <f>SUM(V26:X30)</f>
        <v>55.8</v>
      </c>
      <c r="W31" s="2603"/>
      <c r="X31" s="2603"/>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95">
        <f>IF(V31&gt;0,V31/Q22," ")</f>
        <v>2.2496317135178676E-5</v>
      </c>
      <c r="W33" s="2596"/>
      <c r="X33" s="2596"/>
      <c r="Y33" s="2596"/>
      <c r="Z33" s="2596"/>
      <c r="AA33" s="2597"/>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607">
        <f>IF(V31&gt;0,1/V33," ")</f>
        <v>44451.720430107525</v>
      </c>
      <c r="W35" s="2608"/>
      <c r="X35" s="2608"/>
      <c r="Y35" s="2608"/>
      <c r="Z35" s="2608"/>
      <c r="AA35" s="2609"/>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2022-06-30T16:55:44Z</cp:lastPrinted>
  <dcterms:created xsi:type="dcterms:W3CDTF">2007-12-27T18:26:28Z</dcterms:created>
  <dcterms:modified xsi:type="dcterms:W3CDTF">2022-06-30T23:04:34Z</dcterms:modified>
</cp:coreProperties>
</file>